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pellessier\Documents\Covid\"/>
    </mc:Choice>
  </mc:AlternateContent>
  <bookViews>
    <workbookView xWindow="0" yWindow="0" windowWidth="13116" windowHeight="8328" activeTab="1"/>
  </bookViews>
  <sheets>
    <sheet name="Summary" sheetId="1" r:id="rId1"/>
    <sheet name="Charts" sheetId="2" r:id="rId2"/>
    <sheet name="Screenshots" sheetId="3" r:id="rId3"/>
    <sheet name="Death Projection" sheetId="4" r:id="rId4"/>
    <sheet name="Incubation" sheetId="5" r:id="rId5"/>
    <sheet name="Mortalit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F67" i="1"/>
  <c r="G67" i="1"/>
  <c r="H67" i="1"/>
  <c r="I67" i="1"/>
  <c r="J67" i="1"/>
  <c r="L67" i="1"/>
  <c r="F68" i="1"/>
  <c r="G68" i="1"/>
  <c r="H68" i="1"/>
  <c r="I68" i="1"/>
  <c r="J68" i="1"/>
  <c r="L68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F2" i="1"/>
  <c r="G2" i="1"/>
  <c r="F64" i="1"/>
  <c r="G64" i="1"/>
  <c r="H64" i="1"/>
  <c r="I64" i="1"/>
  <c r="L64" i="1"/>
  <c r="F65" i="1"/>
  <c r="G65" i="1"/>
  <c r="H65" i="1"/>
  <c r="I65" i="1"/>
  <c r="L65" i="1"/>
  <c r="F66" i="1"/>
  <c r="G66" i="1"/>
  <c r="H66" i="1"/>
  <c r="I66" i="1"/>
  <c r="L66" i="1"/>
  <c r="F59" i="1"/>
  <c r="G59" i="1"/>
  <c r="H59" i="1"/>
  <c r="I59" i="1"/>
  <c r="L59" i="1"/>
  <c r="F60" i="1"/>
  <c r="G60" i="1"/>
  <c r="H60" i="1"/>
  <c r="I60" i="1"/>
  <c r="L60" i="1"/>
  <c r="F61" i="1"/>
  <c r="G61" i="1"/>
  <c r="H61" i="1"/>
  <c r="I61" i="1"/>
  <c r="L61" i="1"/>
  <c r="F62" i="1"/>
  <c r="G62" i="1"/>
  <c r="H62" i="1"/>
  <c r="I62" i="1"/>
  <c r="L62" i="1"/>
  <c r="F63" i="1"/>
  <c r="G63" i="1"/>
  <c r="H63" i="1"/>
  <c r="I63" i="1"/>
  <c r="L63" i="1"/>
  <c r="F58" i="1" l="1"/>
  <c r="G58" i="1"/>
  <c r="H58" i="1"/>
  <c r="I58" i="1"/>
  <c r="L58" i="1"/>
  <c r="F57" i="1" l="1"/>
  <c r="G57" i="1"/>
  <c r="H57" i="1"/>
  <c r="I57" i="1"/>
  <c r="L57" i="1"/>
  <c r="F56" i="1" l="1"/>
  <c r="G56" i="1"/>
  <c r="H56" i="1"/>
  <c r="I56" i="1"/>
  <c r="L56" i="1"/>
  <c r="L4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H4" i="1"/>
  <c r="I4" i="1"/>
  <c r="M4" i="1" s="1"/>
  <c r="H5" i="1"/>
  <c r="I5" i="1"/>
  <c r="M5" i="1" l="1"/>
  <c r="F3" i="1"/>
  <c r="G3" i="1"/>
  <c r="F4" i="1"/>
  <c r="G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G5" i="1"/>
  <c r="F5" i="1"/>
  <c r="H54" i="1"/>
  <c r="I54" i="1"/>
  <c r="H55" i="1"/>
  <c r="M68" i="1" s="1"/>
  <c r="I55" i="1"/>
  <c r="H53" i="1" l="1"/>
  <c r="I53" i="1"/>
  <c r="M67" i="1" l="1"/>
  <c r="H52" i="1"/>
  <c r="I52" i="1"/>
  <c r="H51" i="1"/>
  <c r="I51" i="1"/>
  <c r="M65" i="1" l="1"/>
  <c r="M66" i="1"/>
  <c r="H50" i="1"/>
  <c r="I50" i="1"/>
  <c r="M64" i="1" l="1"/>
  <c r="H49" i="1"/>
  <c r="I49" i="1"/>
  <c r="M63" i="1" l="1"/>
  <c r="F8" i="4"/>
  <c r="H48" i="1" l="1"/>
  <c r="I48" i="1"/>
  <c r="M62" i="1" l="1"/>
  <c r="H47" i="1"/>
  <c r="I47" i="1"/>
  <c r="M61" i="1" l="1"/>
  <c r="H46" i="1"/>
  <c r="I46" i="1"/>
  <c r="M60" i="1" l="1"/>
  <c r="H45" i="1"/>
  <c r="M59" i="1" s="1"/>
  <c r="I45" i="1"/>
  <c r="H44" i="1" l="1"/>
  <c r="M58" i="1" s="1"/>
  <c r="I44" i="1"/>
  <c r="H43" i="1"/>
  <c r="I43" i="1"/>
  <c r="M57" i="1" l="1"/>
  <c r="H42" i="1"/>
  <c r="M56" i="1" s="1"/>
  <c r="I42" i="1"/>
  <c r="H41" i="1" l="1"/>
  <c r="I41" i="1"/>
  <c r="M55" i="1" l="1"/>
  <c r="H40" i="1"/>
  <c r="M54" i="1" s="1"/>
  <c r="I40" i="1"/>
  <c r="B13" i="4" l="1"/>
  <c r="D13" i="4" s="1"/>
  <c r="D6" i="4"/>
  <c r="C11" i="6" l="1"/>
  <c r="C24" i="5"/>
  <c r="K13" i="4"/>
  <c r="H39" i="1"/>
  <c r="I39" i="1"/>
  <c r="M53" i="1" l="1"/>
  <c r="H38" i="1"/>
  <c r="M52" i="1" s="1"/>
  <c r="I38" i="1"/>
  <c r="H37" i="1" l="1"/>
  <c r="I37" i="1"/>
  <c r="M51" i="1" l="1"/>
  <c r="H36" i="1"/>
  <c r="I36" i="1"/>
  <c r="M50" i="1" l="1"/>
  <c r="H35" i="1"/>
  <c r="I35" i="1"/>
  <c r="M49" i="1" l="1"/>
  <c r="H34" i="1"/>
  <c r="I34" i="1"/>
  <c r="M48" i="1" l="1"/>
  <c r="H33" i="1"/>
  <c r="I33" i="1"/>
  <c r="M47" i="1" l="1"/>
  <c r="H32" i="1"/>
  <c r="I32" i="1"/>
  <c r="M46" i="1" l="1"/>
  <c r="H31" i="1"/>
  <c r="I31" i="1"/>
  <c r="M45" i="1" l="1"/>
  <c r="H30" i="1"/>
  <c r="I30" i="1"/>
  <c r="M44" i="1" l="1"/>
  <c r="V8" i="1"/>
  <c r="H29" i="1"/>
  <c r="I29" i="1"/>
  <c r="M43" i="1" l="1"/>
  <c r="D9" i="4"/>
  <c r="D8" i="4"/>
  <c r="C8" i="4"/>
  <c r="C9" i="4"/>
  <c r="C12" i="4"/>
  <c r="F11" i="4" l="1"/>
  <c r="F12" i="4" s="1"/>
  <c r="D11" i="4"/>
  <c r="D12" i="4" s="1"/>
  <c r="E11" i="4"/>
  <c r="E12" i="4" s="1"/>
  <c r="W8" i="1"/>
  <c r="H28" i="1"/>
  <c r="I28" i="1"/>
  <c r="M42" i="1" l="1"/>
  <c r="H27" i="1"/>
  <c r="I27" i="1"/>
  <c r="M41" i="1" l="1"/>
  <c r="V7" i="1"/>
  <c r="W7" i="1" s="1"/>
  <c r="H25" i="1"/>
  <c r="I25" i="1"/>
  <c r="H26" i="1"/>
  <c r="M40" i="1" s="1"/>
  <c r="I26" i="1"/>
  <c r="M39" i="1" l="1"/>
  <c r="Q4" i="1"/>
  <c r="P4" i="1"/>
  <c r="V6" i="1"/>
  <c r="W6" i="1" s="1"/>
  <c r="H24" i="1" l="1"/>
  <c r="I24" i="1"/>
  <c r="M38" i="1" l="1"/>
  <c r="H23" i="1"/>
  <c r="M37" i="1" s="1"/>
  <c r="I23" i="1"/>
  <c r="H22" i="1" l="1"/>
  <c r="I22" i="1"/>
  <c r="M36" i="1" l="1"/>
  <c r="V5" i="1"/>
  <c r="W5" i="1" s="1"/>
  <c r="V4" i="1"/>
  <c r="W4" i="1" s="1"/>
  <c r="H21" i="1" l="1"/>
  <c r="I21" i="1"/>
  <c r="M35" i="1" l="1"/>
  <c r="H20" i="1"/>
  <c r="M34" i="1" s="1"/>
  <c r="I20" i="1"/>
  <c r="H19" i="1" l="1"/>
  <c r="I19" i="1"/>
  <c r="M33" i="1" l="1"/>
  <c r="I7" i="1"/>
  <c r="I8" i="1"/>
  <c r="I9" i="1"/>
  <c r="M9" i="1" s="1"/>
  <c r="I10" i="1"/>
  <c r="I11" i="1"/>
  <c r="I12" i="1"/>
  <c r="M12" i="1" s="1"/>
  <c r="I13" i="1"/>
  <c r="M13" i="1" s="1"/>
  <c r="I14" i="1"/>
  <c r="I15" i="1"/>
  <c r="I16" i="1"/>
  <c r="M16" i="1" s="1"/>
  <c r="I17" i="1"/>
  <c r="M17" i="1" s="1"/>
  <c r="I18" i="1"/>
  <c r="I6" i="1"/>
  <c r="M6" i="1" s="1"/>
  <c r="H18" i="1"/>
  <c r="M15" i="1" l="1"/>
  <c r="M7" i="1"/>
  <c r="M8" i="1"/>
  <c r="M14" i="1"/>
  <c r="M11" i="1"/>
  <c r="M32" i="1"/>
  <c r="M18" i="1"/>
  <c r="M10" i="1"/>
  <c r="H17" i="1"/>
  <c r="M31" i="1" l="1"/>
  <c r="H14" i="1"/>
  <c r="H15" i="1"/>
  <c r="M28" i="1" s="1"/>
  <c r="H16" i="1"/>
  <c r="M29" i="1" s="1"/>
  <c r="M30" i="1" l="1"/>
  <c r="H10" i="1"/>
  <c r="H11" i="1"/>
  <c r="M24" i="1" s="1"/>
  <c r="H12" i="1"/>
  <c r="M25" i="1" s="1"/>
  <c r="H13" i="1"/>
  <c r="M26" i="1" s="1"/>
  <c r="H9" i="1"/>
  <c r="M27" i="1" l="1"/>
  <c r="M23" i="1"/>
  <c r="H6" i="1"/>
  <c r="M19" i="1" s="1"/>
  <c r="H7" i="1"/>
  <c r="M20" i="1" s="1"/>
  <c r="H8" i="1"/>
  <c r="M21" i="1" s="1"/>
  <c r="M22" i="1" l="1"/>
</calcChain>
</file>

<file path=xl/sharedStrings.xml><?xml version="1.0" encoding="utf-8"?>
<sst xmlns="http://schemas.openxmlformats.org/spreadsheetml/2006/main" count="215" uniqueCount="77">
  <si>
    <t>US CoronaVirus</t>
  </si>
  <si>
    <t>Date</t>
  </si>
  <si>
    <t>Total Cases Reported</t>
  </si>
  <si>
    <t>Total Deaths</t>
  </si>
  <si>
    <t>New Deaths</t>
  </si>
  <si>
    <t>New Cases</t>
  </si>
  <si>
    <t>Total Recovered</t>
  </si>
  <si>
    <t>Monday</t>
  </si>
  <si>
    <t>Tuesday</t>
  </si>
  <si>
    <t>Wednesday</t>
  </si>
  <si>
    <t>Thursday</t>
  </si>
  <si>
    <t>Friday</t>
  </si>
  <si>
    <t>Saturday</t>
  </si>
  <si>
    <t>Sunday</t>
  </si>
  <si>
    <t>growth constant</t>
  </si>
  <si>
    <t>constant</t>
  </si>
  <si>
    <t>k</t>
  </si>
  <si>
    <r>
      <t>x</t>
    </r>
    <r>
      <rPr>
        <vertAlign val="subscript"/>
        <sz val="12"/>
        <color theme="1"/>
        <rFont val="Calibri"/>
        <family val="2"/>
        <scheme val="minor"/>
      </rPr>
      <t>0</t>
    </r>
  </si>
  <si>
    <t>doubling factor</t>
  </si>
  <si>
    <t>Date (m/d)</t>
  </si>
  <si>
    <t>probable number of cases today</t>
  </si>
  <si>
    <t>upper</t>
  </si>
  <si>
    <t>lower</t>
  </si>
  <si>
    <t>calc</t>
  </si>
  <si>
    <t>current deaths</t>
  </si>
  <si>
    <t>days</t>
  </si>
  <si>
    <t>Time to double</t>
  </si>
  <si>
    <t>1 = always fatal, .5 = even odds, 0.01 = 1% mortality</t>
  </si>
  <si>
    <t>Mortality Rate</t>
  </si>
  <si>
    <t>Time from infection to death</t>
  </si>
  <si>
    <t>Factor</t>
  </si>
  <si>
    <t>History of exponential components from MS Trendline</t>
  </si>
  <si>
    <t>Day of Week</t>
  </si>
  <si>
    <t>From Github:</t>
  </si>
  <si>
    <t>Incubation Period</t>
  </si>
  <si>
    <t>Peer Review</t>
  </si>
  <si>
    <t>Value</t>
  </si>
  <si>
    <t>Lower Bound</t>
  </si>
  <si>
    <t>Upper Bound</t>
  </si>
  <si>
    <t>Country</t>
  </si>
  <si>
    <t>Location</t>
  </si>
  <si>
    <t>Start Date</t>
  </si>
  <si>
    <t>End Date</t>
  </si>
  <si>
    <t>Published Date</t>
  </si>
  <si>
    <t>Source</t>
  </si>
  <si>
    <t>No</t>
  </si>
  <si>
    <t>China</t>
  </si>
  <si>
    <t>excluding Wuhan</t>
  </si>
  <si>
    <t>Linton NM. et al.</t>
  </si>
  <si>
    <t>including Wuhan</t>
  </si>
  <si>
    <t>Mainland China</t>
  </si>
  <si>
    <t>Famulare et al.</t>
  </si>
  <si>
    <t>Yes</t>
  </si>
  <si>
    <t>Lauer SA. et al.</t>
  </si>
  <si>
    <t>Unspecified</t>
  </si>
  <si>
    <t>Sanche S. et al.</t>
  </si>
  <si>
    <t>Singapore</t>
  </si>
  <si>
    <t>Tindale LC. et al.</t>
  </si>
  <si>
    <t>Tianjin</t>
  </si>
  <si>
    <t>Qin J. et al.</t>
  </si>
  <si>
    <t>Shenzhen</t>
  </si>
  <si>
    <t>Qifang Bi et al.</t>
  </si>
  <si>
    <t>https://github.com/midas-network/COVID-19/tree/master/parameter_estimates/2019_novel_coronavirus</t>
  </si>
  <si>
    <t>Time From Symptom Onset To Death</t>
  </si>
  <si>
    <t>Dorigatt I. et al.</t>
  </si>
  <si>
    <t>Jung S. et al.</t>
  </si>
  <si>
    <t>prediction was 24000, for 18 days after Friday, 3/28</t>
  </si>
  <si>
    <t>is 18 days after 3/28</t>
  </si>
  <si>
    <t>Ref</t>
  </si>
  <si>
    <t xml:space="preserve">lookup deaths on &lt;&lt;-- </t>
  </si>
  <si>
    <t>actuals were 28326</t>
  </si>
  <si>
    <t>sf</t>
  </si>
  <si>
    <t>Days since 3/1/2020</t>
  </si>
  <si>
    <t>deaths(t)/cases(t-d)</t>
  </si>
  <si>
    <t>d:</t>
  </si>
  <si>
    <t>New Recoveries</t>
  </si>
  <si>
    <t>smoothed new deaths(t)/new cases(t-d)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</si>
</sst>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/d;@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3" borderId="1" applyNumberFormat="0" applyAlignment="0" applyProtection="0"/>
    <xf numFmtId="0" fontId="5" fillId="0" borderId="2" applyNumberFormat="0" applyFill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1" applyNumberFormat="0" applyAlignment="0" applyProtection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/>
    <xf numFmtId="165" fontId="5" fillId="0" borderId="2" xfId="2" applyNumberFormat="1"/>
    <xf numFmtId="166" fontId="0" fillId="0" borderId="0" xfId="3" applyNumberFormat="1" applyFont="1"/>
    <xf numFmtId="166" fontId="2" fillId="3" borderId="1" xfId="3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/>
    <xf numFmtId="0" fontId="0" fillId="0" borderId="5" xfId="0" applyBorder="1"/>
    <xf numFmtId="0" fontId="0" fillId="0" borderId="6" xfId="0" applyBorder="1"/>
    <xf numFmtId="0" fontId="3" fillId="0" borderId="0" xfId="0" applyFont="1" applyBorder="1"/>
    <xf numFmtId="0" fontId="0" fillId="0" borderId="0" xfId="0" applyBorder="1"/>
    <xf numFmtId="0" fontId="0" fillId="0" borderId="7" xfId="0" applyBorder="1"/>
    <xf numFmtId="14" fontId="0" fillId="0" borderId="0" xfId="0" applyNumberFormat="1" applyBorder="1"/>
    <xf numFmtId="0" fontId="2" fillId="3" borderId="1" xfId="1" applyBorder="1"/>
    <xf numFmtId="165" fontId="0" fillId="0" borderId="7" xfId="0" applyNumberFormat="1" applyBorder="1"/>
    <xf numFmtId="0" fontId="0" fillId="2" borderId="0" xfId="0" applyFill="1" applyBorder="1"/>
    <xf numFmtId="0" fontId="0" fillId="0" borderId="9" xfId="0" applyBorder="1"/>
    <xf numFmtId="14" fontId="0" fillId="0" borderId="9" xfId="0" applyNumberFormat="1" applyBorder="1"/>
    <xf numFmtId="0" fontId="2" fillId="3" borderId="9" xfId="1" applyBorder="1"/>
    <xf numFmtId="165" fontId="0" fillId="0" borderId="10" xfId="0" applyNumberFormat="1" applyFill="1" applyBorder="1"/>
    <xf numFmtId="14" fontId="0" fillId="0" borderId="0" xfId="0" applyNumberForma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8" fillId="0" borderId="0" xfId="4" applyAlignment="1">
      <alignment vertical="center" wrapText="1"/>
    </xf>
    <xf numFmtId="0" fontId="8" fillId="0" borderId="0" xfId="4"/>
    <xf numFmtId="0" fontId="8" fillId="0" borderId="0" xfId="4" applyAlignment="1">
      <alignment vertical="center"/>
    </xf>
    <xf numFmtId="165" fontId="9" fillId="4" borderId="1" xfId="5" applyNumberFormat="1"/>
    <xf numFmtId="0" fontId="5" fillId="0" borderId="2" xfId="2"/>
    <xf numFmtId="14" fontId="9" fillId="4" borderId="1" xfId="5" applyNumberFormat="1"/>
    <xf numFmtId="0" fontId="9" fillId="4" borderId="1" xfId="5"/>
    <xf numFmtId="10" fontId="0" fillId="0" borderId="0" xfId="6" applyNumberFormat="1" applyFont="1"/>
    <xf numFmtId="0" fontId="0" fillId="0" borderId="0" xfId="0" applyFill="1" applyBorder="1"/>
    <xf numFmtId="0" fontId="3" fillId="0" borderId="6" xfId="0" quotePrefix="1" applyFont="1" applyBorder="1"/>
    <xf numFmtId="0" fontId="0" fillId="0" borderId="6" xfId="0" applyFill="1" applyBorder="1"/>
    <xf numFmtId="0" fontId="0" fillId="0" borderId="8" xfId="0" applyBorder="1"/>
  </cellXfs>
  <cellStyles count="7">
    <cellStyle name="Calculation" xfId="1" builtinId="22"/>
    <cellStyle name="Comma" xfId="3" builtinId="3"/>
    <cellStyle name="Hyperlink" xfId="4" builtinId="8"/>
    <cellStyle name="Input" xfId="5" builtinId="20"/>
    <cellStyle name="Linked Cell" xfId="2" builtinId="24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Covid-19</a:t>
            </a:r>
            <a:r>
              <a:rPr lang="en-US" baseline="0"/>
              <a:t> Cases since March 3</a:t>
            </a:r>
            <a:endParaRPr lang="en-US"/>
          </a:p>
        </c:rich>
      </c:tx>
      <c:layout>
        <c:manualLayout>
          <c:xMode val="edge"/>
          <c:yMode val="edge"/>
          <c:x val="0.17911251158300223"/>
          <c:y val="3.6660371515456119E-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43137447171537E-2"/>
          <c:y val="1.5824385588165117E-2"/>
          <c:w val="0.89019685039370078"/>
          <c:h val="0.78509801186269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1"/>
            <c:dispEq val="1"/>
            <c:trendlineLbl>
              <c:layout>
                <c:manualLayout>
                  <c:x val="-0.10484254394263563"/>
                  <c:y val="5.044370662564665E-2"/>
                </c:manualLayout>
              </c:layout>
              <c:numFmt formatCode="#,##0.0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Summary!$K$36:$K$101</c:f>
              <c:numCache>
                <c:formatCode>General</c:formatCode>
                <c:ptCount val="66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</c:numCache>
            </c:numRef>
          </c:xVal>
          <c:yVal>
            <c:numRef>
              <c:f>Summary!$C$36:$C$101</c:f>
              <c:numCache>
                <c:formatCode>General</c:formatCode>
                <c:ptCount val="66"/>
                <c:pt idx="0">
                  <c:v>275586</c:v>
                </c:pt>
                <c:pt idx="1">
                  <c:v>308850</c:v>
                </c:pt>
                <c:pt idx="2">
                  <c:v>337072</c:v>
                </c:pt>
                <c:pt idx="3">
                  <c:v>366667</c:v>
                </c:pt>
                <c:pt idx="4">
                  <c:v>396223</c:v>
                </c:pt>
                <c:pt idx="5">
                  <c:v>429052</c:v>
                </c:pt>
                <c:pt idx="6">
                  <c:v>461437</c:v>
                </c:pt>
                <c:pt idx="7">
                  <c:v>496535</c:v>
                </c:pt>
                <c:pt idx="8">
                  <c:v>526396</c:v>
                </c:pt>
                <c:pt idx="9">
                  <c:v>555313</c:v>
                </c:pt>
                <c:pt idx="10">
                  <c:v>580619</c:v>
                </c:pt>
                <c:pt idx="11">
                  <c:v>607670</c:v>
                </c:pt>
                <c:pt idx="12">
                  <c:v>636350</c:v>
                </c:pt>
                <c:pt idx="13">
                  <c:v>667801</c:v>
                </c:pt>
                <c:pt idx="14">
                  <c:v>699706</c:v>
                </c:pt>
                <c:pt idx="15">
                  <c:v>732197</c:v>
                </c:pt>
                <c:pt idx="16">
                  <c:v>759086</c:v>
                </c:pt>
                <c:pt idx="17">
                  <c:v>784326</c:v>
                </c:pt>
                <c:pt idx="18">
                  <c:v>811865</c:v>
                </c:pt>
                <c:pt idx="19">
                  <c:v>840220</c:v>
                </c:pt>
                <c:pt idx="20">
                  <c:v>869170</c:v>
                </c:pt>
                <c:pt idx="21">
                  <c:v>905333</c:v>
                </c:pt>
                <c:pt idx="22">
                  <c:v>938154</c:v>
                </c:pt>
                <c:pt idx="23">
                  <c:v>965783</c:v>
                </c:pt>
                <c:pt idx="24">
                  <c:v>988197</c:v>
                </c:pt>
                <c:pt idx="25">
                  <c:v>1012582</c:v>
                </c:pt>
                <c:pt idx="26">
                  <c:v>1039909</c:v>
                </c:pt>
                <c:pt idx="27">
                  <c:v>1069424</c:v>
                </c:pt>
                <c:pt idx="28">
                  <c:v>1103461</c:v>
                </c:pt>
                <c:pt idx="29">
                  <c:v>1132539</c:v>
                </c:pt>
                <c:pt idx="30">
                  <c:v>1158040</c:v>
                </c:pt>
                <c:pt idx="31">
                  <c:v>1180375</c:v>
                </c:pt>
                <c:pt idx="32">
                  <c:v>1204351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Total Deaths x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Summary!$K$5:$K$101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</c:numCache>
            </c:numRef>
          </c:xVal>
          <c:yVal>
            <c:numRef>
              <c:f>Summary!$F$5:$F$101</c:f>
              <c:numCache>
                <c:formatCode>General</c:formatCode>
                <c:ptCount val="97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36</c:v>
                </c:pt>
                <c:pt idx="9">
                  <c:v>40</c:v>
                </c:pt>
                <c:pt idx="10">
                  <c:v>47</c:v>
                </c:pt>
                <c:pt idx="11">
                  <c:v>54</c:v>
                </c:pt>
                <c:pt idx="12">
                  <c:v>63</c:v>
                </c:pt>
                <c:pt idx="13">
                  <c:v>85</c:v>
                </c:pt>
                <c:pt idx="14">
                  <c:v>108</c:v>
                </c:pt>
                <c:pt idx="15">
                  <c:v>118</c:v>
                </c:pt>
                <c:pt idx="16">
                  <c:v>200</c:v>
                </c:pt>
                <c:pt idx="17">
                  <c:v>244</c:v>
                </c:pt>
                <c:pt idx="18">
                  <c:v>307</c:v>
                </c:pt>
                <c:pt idx="19">
                  <c:v>417</c:v>
                </c:pt>
                <c:pt idx="20">
                  <c:v>552</c:v>
                </c:pt>
                <c:pt idx="21">
                  <c:v>706</c:v>
                </c:pt>
                <c:pt idx="22">
                  <c:v>942</c:v>
                </c:pt>
                <c:pt idx="23">
                  <c:v>1209</c:v>
                </c:pt>
                <c:pt idx="24">
                  <c:v>1581</c:v>
                </c:pt>
                <c:pt idx="25">
                  <c:v>2026</c:v>
                </c:pt>
                <c:pt idx="26">
                  <c:v>2467</c:v>
                </c:pt>
                <c:pt idx="27">
                  <c:v>2978</c:v>
                </c:pt>
                <c:pt idx="28">
                  <c:v>3873</c:v>
                </c:pt>
                <c:pt idx="29">
                  <c:v>5116</c:v>
                </c:pt>
                <c:pt idx="30">
                  <c:v>5926</c:v>
                </c:pt>
                <c:pt idx="31">
                  <c:v>7087</c:v>
                </c:pt>
                <c:pt idx="32">
                  <c:v>8407</c:v>
                </c:pt>
                <c:pt idx="33">
                  <c:v>9619</c:v>
                </c:pt>
                <c:pt idx="34">
                  <c:v>10783</c:v>
                </c:pt>
                <c:pt idx="35">
                  <c:v>12722</c:v>
                </c:pt>
                <c:pt idx="36">
                  <c:v>14695</c:v>
                </c:pt>
                <c:pt idx="37">
                  <c:v>16478</c:v>
                </c:pt>
                <c:pt idx="38">
                  <c:v>18586</c:v>
                </c:pt>
                <c:pt idx="39">
                  <c:v>20463</c:v>
                </c:pt>
                <c:pt idx="40">
                  <c:v>22020</c:v>
                </c:pt>
                <c:pt idx="41">
                  <c:v>23529</c:v>
                </c:pt>
                <c:pt idx="42">
                  <c:v>25832</c:v>
                </c:pt>
                <c:pt idx="43">
                  <c:v>28326</c:v>
                </c:pt>
                <c:pt idx="44">
                  <c:v>32917</c:v>
                </c:pt>
                <c:pt idx="45">
                  <c:v>36773</c:v>
                </c:pt>
                <c:pt idx="46">
                  <c:v>38664</c:v>
                </c:pt>
                <c:pt idx="47">
                  <c:v>40661</c:v>
                </c:pt>
                <c:pt idx="48">
                  <c:v>42094</c:v>
                </c:pt>
                <c:pt idx="49">
                  <c:v>44444</c:v>
                </c:pt>
                <c:pt idx="50">
                  <c:v>46622</c:v>
                </c:pt>
                <c:pt idx="51">
                  <c:v>49954</c:v>
                </c:pt>
                <c:pt idx="52">
                  <c:v>51949</c:v>
                </c:pt>
                <c:pt idx="53">
                  <c:v>53755</c:v>
                </c:pt>
                <c:pt idx="54">
                  <c:v>54881</c:v>
                </c:pt>
                <c:pt idx="55">
                  <c:v>56259</c:v>
                </c:pt>
                <c:pt idx="56">
                  <c:v>58355</c:v>
                </c:pt>
                <c:pt idx="57">
                  <c:v>60967</c:v>
                </c:pt>
                <c:pt idx="58">
                  <c:v>62996</c:v>
                </c:pt>
                <c:pt idx="59">
                  <c:v>64943</c:v>
                </c:pt>
                <c:pt idx="60">
                  <c:v>66369</c:v>
                </c:pt>
                <c:pt idx="61">
                  <c:v>67682</c:v>
                </c:pt>
                <c:pt idx="62">
                  <c:v>68922</c:v>
                </c:pt>
                <c:pt idx="63">
                  <c:v>71064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Summary!$G$2</c:f>
              <c:strCache>
                <c:ptCount val="1"/>
                <c:pt idx="0">
                  <c:v>Total Recovered x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Summary!$K$5:$K$101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</c:numCache>
            </c:numRef>
          </c:xVal>
          <c:yVal>
            <c:numRef>
              <c:f>Summary!$G$5:$G$101</c:f>
              <c:numCache>
                <c:formatCode>General</c:formatCode>
                <c:ptCount val="9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17</c:v>
                </c:pt>
                <c:pt idx="15">
                  <c:v>106</c:v>
                </c:pt>
                <c:pt idx="16">
                  <c:v>108</c:v>
                </c:pt>
                <c:pt idx="17">
                  <c:v>147</c:v>
                </c:pt>
                <c:pt idx="18">
                  <c:v>171</c:v>
                </c:pt>
                <c:pt idx="19">
                  <c:v>178</c:v>
                </c:pt>
                <c:pt idx="20">
                  <c:v>0</c:v>
                </c:pt>
                <c:pt idx="21">
                  <c:v>348</c:v>
                </c:pt>
                <c:pt idx="22">
                  <c:v>361</c:v>
                </c:pt>
                <c:pt idx="23">
                  <c:v>681</c:v>
                </c:pt>
                <c:pt idx="24">
                  <c:v>869</c:v>
                </c:pt>
                <c:pt idx="25">
                  <c:v>1072</c:v>
                </c:pt>
                <c:pt idx="26">
                  <c:v>2665</c:v>
                </c:pt>
                <c:pt idx="27">
                  <c:v>5644</c:v>
                </c:pt>
                <c:pt idx="28">
                  <c:v>7024</c:v>
                </c:pt>
                <c:pt idx="29">
                  <c:v>8566</c:v>
                </c:pt>
                <c:pt idx="30">
                  <c:v>9001</c:v>
                </c:pt>
                <c:pt idx="31">
                  <c:v>9707</c:v>
                </c:pt>
                <c:pt idx="32">
                  <c:v>14652</c:v>
                </c:pt>
                <c:pt idx="33">
                  <c:v>17448</c:v>
                </c:pt>
                <c:pt idx="34">
                  <c:v>19581</c:v>
                </c:pt>
                <c:pt idx="35">
                  <c:v>21763</c:v>
                </c:pt>
                <c:pt idx="36">
                  <c:v>23559</c:v>
                </c:pt>
                <c:pt idx="37">
                  <c:v>25410</c:v>
                </c:pt>
                <c:pt idx="38">
                  <c:v>28790</c:v>
                </c:pt>
                <c:pt idx="39">
                  <c:v>31270</c:v>
                </c:pt>
                <c:pt idx="40">
                  <c:v>32988</c:v>
                </c:pt>
                <c:pt idx="41">
                  <c:v>43482</c:v>
                </c:pt>
                <c:pt idx="42">
                  <c:v>47763</c:v>
                </c:pt>
                <c:pt idx="43">
                  <c:v>52096</c:v>
                </c:pt>
                <c:pt idx="44">
                  <c:v>54703</c:v>
                </c:pt>
                <c:pt idx="45">
                  <c:v>58545</c:v>
                </c:pt>
                <c:pt idx="46">
                  <c:v>64840</c:v>
                </c:pt>
                <c:pt idx="47">
                  <c:v>70337</c:v>
                </c:pt>
                <c:pt idx="48">
                  <c:v>72329</c:v>
                </c:pt>
                <c:pt idx="49">
                  <c:v>75204</c:v>
                </c:pt>
                <c:pt idx="50">
                  <c:v>77366</c:v>
                </c:pt>
                <c:pt idx="51">
                  <c:v>80203</c:v>
                </c:pt>
                <c:pt idx="52">
                  <c:v>99079</c:v>
                </c:pt>
                <c:pt idx="53">
                  <c:v>100372</c:v>
                </c:pt>
                <c:pt idx="54">
                  <c:v>106988</c:v>
                </c:pt>
                <c:pt idx="55">
                  <c:v>111424</c:v>
                </c:pt>
                <c:pt idx="56">
                  <c:v>115936</c:v>
                </c:pt>
                <c:pt idx="57">
                  <c:v>120720</c:v>
                </c:pt>
                <c:pt idx="58">
                  <c:v>153947</c:v>
                </c:pt>
                <c:pt idx="59">
                  <c:v>164015</c:v>
                </c:pt>
                <c:pt idx="60">
                  <c:v>175382</c:v>
                </c:pt>
                <c:pt idx="61">
                  <c:v>180152</c:v>
                </c:pt>
                <c:pt idx="62">
                  <c:v>187180</c:v>
                </c:pt>
                <c:pt idx="63">
                  <c:v>189791</c:v>
                </c:pt>
              </c:numCache>
            </c:numRef>
          </c:yVal>
          <c:smooth val="0"/>
        </c:ser>
        <c:ser>
          <c:idx val="3"/>
          <c:order val="3"/>
          <c:tx>
            <c:v>First Total Cases Reported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Summary!$K$5:$K$36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xVal>
          <c:yVal>
            <c:numRef>
              <c:f>Summary!$C$5:$C$36</c:f>
              <c:numCache>
                <c:formatCode>General</c:formatCode>
                <c:ptCount val="32"/>
                <c:pt idx="0">
                  <c:v>122</c:v>
                </c:pt>
                <c:pt idx="1">
                  <c:v>153</c:v>
                </c:pt>
                <c:pt idx="2">
                  <c:v>221</c:v>
                </c:pt>
                <c:pt idx="3">
                  <c:v>278</c:v>
                </c:pt>
                <c:pt idx="4">
                  <c:v>417</c:v>
                </c:pt>
                <c:pt idx="5">
                  <c:v>537</c:v>
                </c:pt>
                <c:pt idx="6">
                  <c:v>605</c:v>
                </c:pt>
                <c:pt idx="7">
                  <c:v>959</c:v>
                </c:pt>
                <c:pt idx="8">
                  <c:v>1281</c:v>
                </c:pt>
                <c:pt idx="9">
                  <c:v>1663</c:v>
                </c:pt>
                <c:pt idx="10">
                  <c:v>2179</c:v>
                </c:pt>
                <c:pt idx="11">
                  <c:v>2726</c:v>
                </c:pt>
                <c:pt idx="12">
                  <c:v>3499</c:v>
                </c:pt>
                <c:pt idx="13">
                  <c:v>4632</c:v>
                </c:pt>
                <c:pt idx="14">
                  <c:v>6428</c:v>
                </c:pt>
                <c:pt idx="15">
                  <c:v>7786</c:v>
                </c:pt>
                <c:pt idx="16">
                  <c:v>13680</c:v>
                </c:pt>
                <c:pt idx="17">
                  <c:v>19101</c:v>
                </c:pt>
                <c:pt idx="18">
                  <c:v>25493</c:v>
                </c:pt>
                <c:pt idx="19">
                  <c:v>33276</c:v>
                </c:pt>
                <c:pt idx="20">
                  <c:v>43667</c:v>
                </c:pt>
                <c:pt idx="21">
                  <c:v>53740</c:v>
                </c:pt>
                <c:pt idx="22">
                  <c:v>65778</c:v>
                </c:pt>
                <c:pt idx="23">
                  <c:v>83836</c:v>
                </c:pt>
                <c:pt idx="24">
                  <c:v>101657</c:v>
                </c:pt>
                <c:pt idx="25">
                  <c:v>121478</c:v>
                </c:pt>
                <c:pt idx="26">
                  <c:v>140886</c:v>
                </c:pt>
                <c:pt idx="27">
                  <c:v>161807</c:v>
                </c:pt>
                <c:pt idx="28">
                  <c:v>188172</c:v>
                </c:pt>
                <c:pt idx="29">
                  <c:v>215417</c:v>
                </c:pt>
                <c:pt idx="30">
                  <c:v>243453</c:v>
                </c:pt>
                <c:pt idx="31">
                  <c:v>275586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3144"/>
        <c:axId val="365849248"/>
      </c:scatterChart>
      <c:valAx>
        <c:axId val="36564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March 3, 2020</a:t>
                </a:r>
              </a:p>
            </c:rich>
          </c:tx>
          <c:layout>
            <c:manualLayout>
              <c:xMode val="edge"/>
              <c:yMode val="edge"/>
              <c:x val="0.40239815913421773"/>
              <c:y val="0.85456335003579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9248"/>
        <c:crosses val="autoZero"/>
        <c:crossBetween val="midCat"/>
      </c:valAx>
      <c:valAx>
        <c:axId val="3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938172238636529"/>
          <c:y val="0.43899922325956836"/>
          <c:w val="0.41468579135556299"/>
          <c:h val="0.1704557384872345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New Cases per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Summary!$H$2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Summary!$C$6:$C$101</c:f>
              <c:numCache>
                <c:formatCode>General</c:formatCode>
                <c:ptCount val="96"/>
                <c:pt idx="0">
                  <c:v>153</c:v>
                </c:pt>
                <c:pt idx="1">
                  <c:v>221</c:v>
                </c:pt>
                <c:pt idx="2">
                  <c:v>278</c:v>
                </c:pt>
                <c:pt idx="3">
                  <c:v>417</c:v>
                </c:pt>
                <c:pt idx="4">
                  <c:v>537</c:v>
                </c:pt>
                <c:pt idx="5">
                  <c:v>605</c:v>
                </c:pt>
                <c:pt idx="6">
                  <c:v>959</c:v>
                </c:pt>
                <c:pt idx="7">
                  <c:v>1281</c:v>
                </c:pt>
                <c:pt idx="8">
                  <c:v>1663</c:v>
                </c:pt>
                <c:pt idx="9">
                  <c:v>2179</c:v>
                </c:pt>
                <c:pt idx="10">
                  <c:v>2726</c:v>
                </c:pt>
                <c:pt idx="11">
                  <c:v>3499</c:v>
                </c:pt>
                <c:pt idx="12">
                  <c:v>4632</c:v>
                </c:pt>
                <c:pt idx="13">
                  <c:v>6428</c:v>
                </c:pt>
                <c:pt idx="14">
                  <c:v>7786</c:v>
                </c:pt>
                <c:pt idx="15">
                  <c:v>13680</c:v>
                </c:pt>
                <c:pt idx="16">
                  <c:v>19101</c:v>
                </c:pt>
                <c:pt idx="17">
                  <c:v>25493</c:v>
                </c:pt>
                <c:pt idx="18">
                  <c:v>33276</c:v>
                </c:pt>
                <c:pt idx="19">
                  <c:v>43667</c:v>
                </c:pt>
                <c:pt idx="20">
                  <c:v>53740</c:v>
                </c:pt>
                <c:pt idx="21">
                  <c:v>65778</c:v>
                </c:pt>
                <c:pt idx="22">
                  <c:v>83836</c:v>
                </c:pt>
                <c:pt idx="23">
                  <c:v>101657</c:v>
                </c:pt>
                <c:pt idx="24">
                  <c:v>121478</c:v>
                </c:pt>
                <c:pt idx="25">
                  <c:v>140886</c:v>
                </c:pt>
                <c:pt idx="26">
                  <c:v>161807</c:v>
                </c:pt>
                <c:pt idx="27">
                  <c:v>188172</c:v>
                </c:pt>
                <c:pt idx="28">
                  <c:v>215417</c:v>
                </c:pt>
                <c:pt idx="29">
                  <c:v>243453</c:v>
                </c:pt>
                <c:pt idx="30">
                  <c:v>275586</c:v>
                </c:pt>
                <c:pt idx="31">
                  <c:v>308850</c:v>
                </c:pt>
                <c:pt idx="32">
                  <c:v>337072</c:v>
                </c:pt>
                <c:pt idx="33">
                  <c:v>366667</c:v>
                </c:pt>
                <c:pt idx="34">
                  <c:v>396223</c:v>
                </c:pt>
                <c:pt idx="35">
                  <c:v>429052</c:v>
                </c:pt>
                <c:pt idx="36">
                  <c:v>461437</c:v>
                </c:pt>
                <c:pt idx="37">
                  <c:v>496535</c:v>
                </c:pt>
                <c:pt idx="38">
                  <c:v>526396</c:v>
                </c:pt>
                <c:pt idx="39">
                  <c:v>555313</c:v>
                </c:pt>
                <c:pt idx="40">
                  <c:v>580619</c:v>
                </c:pt>
                <c:pt idx="41">
                  <c:v>607670</c:v>
                </c:pt>
                <c:pt idx="42">
                  <c:v>636350</c:v>
                </c:pt>
                <c:pt idx="43">
                  <c:v>667801</c:v>
                </c:pt>
                <c:pt idx="44">
                  <c:v>699706</c:v>
                </c:pt>
                <c:pt idx="45">
                  <c:v>732197</c:v>
                </c:pt>
                <c:pt idx="46">
                  <c:v>759086</c:v>
                </c:pt>
                <c:pt idx="47">
                  <c:v>784326</c:v>
                </c:pt>
                <c:pt idx="48">
                  <c:v>811865</c:v>
                </c:pt>
                <c:pt idx="49">
                  <c:v>840220</c:v>
                </c:pt>
                <c:pt idx="50">
                  <c:v>869170</c:v>
                </c:pt>
                <c:pt idx="51">
                  <c:v>905333</c:v>
                </c:pt>
                <c:pt idx="52">
                  <c:v>938154</c:v>
                </c:pt>
                <c:pt idx="53">
                  <c:v>965783</c:v>
                </c:pt>
                <c:pt idx="54">
                  <c:v>988197</c:v>
                </c:pt>
                <c:pt idx="55">
                  <c:v>1012582</c:v>
                </c:pt>
                <c:pt idx="56">
                  <c:v>1039909</c:v>
                </c:pt>
                <c:pt idx="57">
                  <c:v>1069424</c:v>
                </c:pt>
                <c:pt idx="58">
                  <c:v>1103461</c:v>
                </c:pt>
                <c:pt idx="59">
                  <c:v>1132539</c:v>
                </c:pt>
                <c:pt idx="60">
                  <c:v>1158040</c:v>
                </c:pt>
                <c:pt idx="61">
                  <c:v>1180375</c:v>
                </c:pt>
                <c:pt idx="62">
                  <c:v>1204351</c:v>
                </c:pt>
              </c:numCache>
            </c:numRef>
          </c:xVal>
          <c:yVal>
            <c:numRef>
              <c:f>Summary!$H$6:$H$101</c:f>
              <c:numCache>
                <c:formatCode>General</c:formatCode>
                <c:ptCount val="96"/>
                <c:pt idx="0">
                  <c:v>31</c:v>
                </c:pt>
                <c:pt idx="1">
                  <c:v>68</c:v>
                </c:pt>
                <c:pt idx="2">
                  <c:v>57</c:v>
                </c:pt>
                <c:pt idx="3">
                  <c:v>139</c:v>
                </c:pt>
                <c:pt idx="4">
                  <c:v>120</c:v>
                </c:pt>
                <c:pt idx="5">
                  <c:v>68</c:v>
                </c:pt>
                <c:pt idx="6">
                  <c:v>354</c:v>
                </c:pt>
                <c:pt idx="7">
                  <c:v>322</c:v>
                </c:pt>
                <c:pt idx="8">
                  <c:v>382</c:v>
                </c:pt>
                <c:pt idx="9">
                  <c:v>516</c:v>
                </c:pt>
                <c:pt idx="10">
                  <c:v>547</c:v>
                </c:pt>
                <c:pt idx="11">
                  <c:v>773</c:v>
                </c:pt>
                <c:pt idx="12">
                  <c:v>1133</c:v>
                </c:pt>
                <c:pt idx="13">
                  <c:v>1796</c:v>
                </c:pt>
                <c:pt idx="14">
                  <c:v>1358</c:v>
                </c:pt>
                <c:pt idx="15">
                  <c:v>5894</c:v>
                </c:pt>
                <c:pt idx="16">
                  <c:v>5421</c:v>
                </c:pt>
                <c:pt idx="17">
                  <c:v>6392</c:v>
                </c:pt>
                <c:pt idx="18">
                  <c:v>7783</c:v>
                </c:pt>
                <c:pt idx="19">
                  <c:v>10391</c:v>
                </c:pt>
                <c:pt idx="20">
                  <c:v>10073</c:v>
                </c:pt>
                <c:pt idx="21">
                  <c:v>12038</c:v>
                </c:pt>
                <c:pt idx="22">
                  <c:v>18058</c:v>
                </c:pt>
                <c:pt idx="23">
                  <c:v>17821</c:v>
                </c:pt>
                <c:pt idx="24">
                  <c:v>19821</c:v>
                </c:pt>
                <c:pt idx="25">
                  <c:v>19408</c:v>
                </c:pt>
                <c:pt idx="26">
                  <c:v>20921</c:v>
                </c:pt>
                <c:pt idx="27">
                  <c:v>26365</c:v>
                </c:pt>
                <c:pt idx="28">
                  <c:v>27245</c:v>
                </c:pt>
                <c:pt idx="29">
                  <c:v>28036</c:v>
                </c:pt>
                <c:pt idx="30">
                  <c:v>32133</c:v>
                </c:pt>
                <c:pt idx="31">
                  <c:v>33264</c:v>
                </c:pt>
                <c:pt idx="32">
                  <c:v>28222</c:v>
                </c:pt>
                <c:pt idx="33">
                  <c:v>29595</c:v>
                </c:pt>
                <c:pt idx="34">
                  <c:v>29556</c:v>
                </c:pt>
                <c:pt idx="35">
                  <c:v>32829</c:v>
                </c:pt>
                <c:pt idx="36">
                  <c:v>32385</c:v>
                </c:pt>
                <c:pt idx="37">
                  <c:v>35098</c:v>
                </c:pt>
                <c:pt idx="38">
                  <c:v>29861</c:v>
                </c:pt>
                <c:pt idx="39">
                  <c:v>28917</c:v>
                </c:pt>
                <c:pt idx="40">
                  <c:v>25306</c:v>
                </c:pt>
                <c:pt idx="41">
                  <c:v>27051</c:v>
                </c:pt>
                <c:pt idx="42">
                  <c:v>28680</c:v>
                </c:pt>
                <c:pt idx="43">
                  <c:v>31451</c:v>
                </c:pt>
                <c:pt idx="44">
                  <c:v>31905</c:v>
                </c:pt>
                <c:pt idx="45">
                  <c:v>32491</c:v>
                </c:pt>
                <c:pt idx="46">
                  <c:v>26889</c:v>
                </c:pt>
                <c:pt idx="47">
                  <c:v>25240</c:v>
                </c:pt>
                <c:pt idx="48">
                  <c:v>27539</c:v>
                </c:pt>
                <c:pt idx="49">
                  <c:v>28355</c:v>
                </c:pt>
                <c:pt idx="50">
                  <c:v>28950</c:v>
                </c:pt>
                <c:pt idx="51">
                  <c:v>36163</c:v>
                </c:pt>
                <c:pt idx="52">
                  <c:v>32821</c:v>
                </c:pt>
                <c:pt idx="53">
                  <c:v>27629</c:v>
                </c:pt>
                <c:pt idx="54">
                  <c:v>22414</c:v>
                </c:pt>
                <c:pt idx="55">
                  <c:v>24385</c:v>
                </c:pt>
                <c:pt idx="56">
                  <c:v>27327</c:v>
                </c:pt>
                <c:pt idx="57">
                  <c:v>29515</c:v>
                </c:pt>
                <c:pt idx="58">
                  <c:v>34037</c:v>
                </c:pt>
                <c:pt idx="59">
                  <c:v>29078</c:v>
                </c:pt>
                <c:pt idx="60">
                  <c:v>25501</c:v>
                </c:pt>
                <c:pt idx="61">
                  <c:v>22335</c:v>
                </c:pt>
                <c:pt idx="62">
                  <c:v>23976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35152"/>
        <c:axId val="427932016"/>
      </c:scatterChart>
      <c:valAx>
        <c:axId val="42793515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32016"/>
        <c:crosses val="autoZero"/>
        <c:crossBetween val="midCat"/>
      </c:valAx>
      <c:valAx>
        <c:axId val="42793201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Deaths Present/Cases</a:t>
            </a:r>
            <a:r>
              <a:rPr lang="en-US" baseline="0"/>
              <a:t> Past</a:t>
            </a:r>
          </a:p>
        </c:rich>
      </c:tx>
      <c:layout>
        <c:manualLayout>
          <c:xMode val="edge"/>
          <c:yMode val="edge"/>
          <c:x val="0.28077609753494304"/>
          <c:y val="6.2592379887255009E-2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5235128880609"/>
          <c:y val="3.2670364381035863E-2"/>
          <c:w val="0.89019685039370078"/>
          <c:h val="0.78509801186269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Summary!$L$2</c:f>
              <c:strCache>
                <c:ptCount val="1"/>
                <c:pt idx="0">
                  <c:v>deaths(t)/cases(t-d)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Summary!$K$36:$K$101</c:f>
              <c:numCache>
                <c:formatCode>General</c:formatCode>
                <c:ptCount val="66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</c:numCache>
            </c:numRef>
          </c:xVal>
          <c:yVal>
            <c:numRef>
              <c:f>Summary!$L$36:$L$101</c:f>
              <c:numCache>
                <c:formatCode>0.00%</c:formatCode>
                <c:ptCount val="66"/>
                <c:pt idx="0">
                  <c:v>0.27799788177146667</c:v>
                </c:pt>
                <c:pt idx="1">
                  <c:v>0.25264454862363267</c:v>
                </c:pt>
                <c:pt idx="2">
                  <c:v>0.22028076121556325</c:v>
                </c:pt>
                <c:pt idx="3">
                  <c:v>0.20065128395980647</c:v>
                </c:pt>
                <c:pt idx="4">
                  <c:v>0.19340813037793791</c:v>
                </c:pt>
                <c:pt idx="5">
                  <c:v>0.17528269478505654</c:v>
                </c:pt>
                <c:pt idx="6">
                  <c:v>0.16209410075056316</c:v>
                </c:pt>
                <c:pt idx="7">
                  <c:v>0.15299889691960683</c:v>
                </c:pt>
                <c:pt idx="8">
                  <c:v>0.1452450917763298</c:v>
                </c:pt>
                <c:pt idx="9">
                  <c:v>0.13608805552293782</c:v>
                </c:pt>
                <c:pt idx="10">
                  <c:v>0.12503985715196736</c:v>
                </c:pt>
                <c:pt idx="11">
                  <c:v>0.11991625544873431</c:v>
                </c:pt>
                <c:pt idx="12">
                  <c:v>0.1163509999876773</c:v>
                </c:pt>
                <c:pt idx="13">
                  <c:v>0.11944365824098467</c:v>
                </c:pt>
                <c:pt idx="14">
                  <c:v>0.11906427068156063</c:v>
                </c:pt>
                <c:pt idx="15">
                  <c:v>0.11470546352114681</c:v>
                </c:pt>
                <c:pt idx="16">
                  <c:v>0.11089353555133132</c:v>
                </c:pt>
                <c:pt idx="17">
                  <c:v>0.10623815376694437</c:v>
                </c:pt>
                <c:pt idx="18">
                  <c:v>0.10358651165826054</c:v>
                </c:pt>
                <c:pt idx="19">
                  <c:v>0.10103654453370665</c:v>
                </c:pt>
                <c:pt idx="20">
                  <c:v>0.10060519399438106</c:v>
                </c:pt>
                <c:pt idx="21">
                  <c:v>9.8688059939665201E-2</c:v>
                </c:pt>
                <c:pt idx="22">
                  <c:v>9.6801263431614243E-2</c:v>
                </c:pt>
                <c:pt idx="23">
                  <c:v>9.4521536498116662E-2</c:v>
                </c:pt>
                <c:pt idx="24">
                  <c:v>9.2581499827208841E-2</c:v>
                </c:pt>
                <c:pt idx="25">
                  <c:v>9.1702679343128785E-2</c:v>
                </c:pt>
                <c:pt idx="26">
                  <c:v>9.1295161283076839E-2</c:v>
                </c:pt>
                <c:pt idx="27">
                  <c:v>9.0032099195948012E-2</c:v>
                </c:pt>
                <c:pt idx="28">
                  <c:v>8.8696074963431973E-2</c:v>
                </c:pt>
                <c:pt idx="29">
                  <c:v>8.7432781002416068E-2</c:v>
                </c:pt>
                <c:pt idx="30">
                  <c:v>8.6293199511427651E-2</c:v>
                </c:pt>
                <c:pt idx="31">
                  <c:v>8.4893424399376749E-2</c:v>
                </c:pt>
                <c:pt idx="32">
                  <c:v>8.4577848658684632E-2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Summary!$M$2</c:f>
              <c:strCache>
                <c:ptCount val="1"/>
                <c:pt idx="0">
                  <c:v>smoothed new deaths(t)/new cases(t-d)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Summary!$K$36:$K$101</c:f>
              <c:numCache>
                <c:formatCode>General</c:formatCode>
                <c:ptCount val="66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</c:numCache>
            </c:numRef>
          </c:xVal>
          <c:yVal>
            <c:numRef>
              <c:f>Summary!$M$36:$M$101</c:f>
              <c:numCache>
                <c:formatCode>0.00%</c:formatCode>
                <c:ptCount val="66"/>
                <c:pt idx="0">
                  <c:v>0.18649181849831728</c:v>
                </c:pt>
                <c:pt idx="1">
                  <c:v>0.16001361404191181</c:v>
                </c:pt>
                <c:pt idx="2">
                  <c:v>0.14227376044997495</c:v>
                </c:pt>
                <c:pt idx="3">
                  <c:v>0.11978609625668449</c:v>
                </c:pt>
                <c:pt idx="4">
                  <c:v>0.13407283122048222</c:v>
                </c:pt>
                <c:pt idx="5">
                  <c:v>0.12047277732947263</c:v>
                </c:pt>
                <c:pt idx="6">
                  <c:v>0.10558614680089734</c:v>
                </c:pt>
                <c:pt idx="7">
                  <c:v>0.10572814308638191</c:v>
                </c:pt>
                <c:pt idx="8">
                  <c:v>9.7679932260795937E-2</c:v>
                </c:pt>
                <c:pt idx="9">
                  <c:v>9.2773323066106431E-2</c:v>
                </c:pt>
                <c:pt idx="10">
                  <c:v>7.2470567537056316E-2</c:v>
                </c:pt>
                <c:pt idx="11">
                  <c:v>6.7133479212253835E-2</c:v>
                </c:pt>
                <c:pt idx="12">
                  <c:v>7.6412282189855324E-2</c:v>
                </c:pt>
                <c:pt idx="13">
                  <c:v>0.10643387563063318</c:v>
                </c:pt>
                <c:pt idx="14">
                  <c:v>0.11218086742540757</c:v>
                </c:pt>
                <c:pt idx="15">
                  <c:v>0.10910817941952507</c:v>
                </c:pt>
                <c:pt idx="16">
                  <c:v>9.0005695091760707E-2</c:v>
                </c:pt>
                <c:pt idx="17">
                  <c:v>5.9957631893268429E-2</c:v>
                </c:pt>
                <c:pt idx="18">
                  <c:v>6.2866403454389222E-2</c:v>
                </c:pt>
                <c:pt idx="19">
                  <c:v>6.0799853125669351E-2</c:v>
                </c:pt>
                <c:pt idx="20">
                  <c:v>7.8703889133656432E-2</c:v>
                </c:pt>
                <c:pt idx="21">
                  <c:v>7.5007245869854189E-2</c:v>
                </c:pt>
                <c:pt idx="22">
                  <c:v>8.0472478254492941E-2</c:v>
                </c:pt>
                <c:pt idx="23">
                  <c:v>5.9261486649025738E-2</c:v>
                </c:pt>
                <c:pt idx="24">
                  <c:v>5.5496182223195085E-2</c:v>
                </c:pt>
                <c:pt idx="25">
                  <c:v>5.5567635476311272E-2</c:v>
                </c:pt>
                <c:pt idx="26">
                  <c:v>6.8527547263289454E-2</c:v>
                </c:pt>
                <c:pt idx="27">
                  <c:v>7.1060153786112842E-2</c:v>
                </c:pt>
                <c:pt idx="28">
                  <c:v>6.8410504563815533E-2</c:v>
                </c:pt>
                <c:pt idx="29">
                  <c:v>5.8799838904550948E-2</c:v>
                </c:pt>
                <c:pt idx="30">
                  <c:v>5.930294363309626E-2</c:v>
                </c:pt>
                <c:pt idx="31">
                  <c:v>5.1000397339109702E-2</c:v>
                </c:pt>
                <c:pt idx="32">
                  <c:v>5.6272697853367373E-2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30840"/>
        <c:axId val="427929664"/>
      </c:scatterChart>
      <c:valAx>
        <c:axId val="4279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March 3, 2020</a:t>
                </a:r>
              </a:p>
            </c:rich>
          </c:tx>
          <c:layout>
            <c:manualLayout>
              <c:xMode val="edge"/>
              <c:yMode val="edge"/>
              <c:x val="0.33770309672473936"/>
              <c:y val="0.9013799188022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9664"/>
        <c:crosses val="autoZero"/>
        <c:crossBetween val="midCat"/>
      </c:valAx>
      <c:valAx>
        <c:axId val="4279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247073321010475"/>
          <c:y val="0.32525478461065688"/>
          <c:w val="0.35797905113986445"/>
          <c:h val="0.1863426380723522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91440</xdr:colOff>
      <xdr:row>1</xdr:row>
      <xdr:rowOff>93591</xdr:rowOff>
    </xdr:from>
    <xdr:to>
      <xdr:col>17</xdr:col>
      <xdr:colOff>114300</xdr:colOff>
      <xdr:row>1</xdr:row>
      <xdr:rowOff>369525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760" y="543171"/>
          <a:ext cx="1234440" cy="275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45720</xdr:rowOff>
    </xdr:from>
    <xdr:to>
      <xdr:col>7</xdr:col>
      <xdr:colOff>38100</xdr:colOff>
      <xdr:row>21</xdr:row>
      <xdr:rowOff>144780</xdr:rowOff>
    </xdr:to>
    <xdr:graphicFrame macro="">
      <xdr:nvGraphicFramePr>
        <xdr:cNvPr id="3" name="Chart 2" descr="Richard Pellessier" title="Exponential fit to Covid-19 Ca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53340</xdr:rowOff>
    </xdr:from>
    <xdr:to>
      <xdr:col>13</xdr:col>
      <xdr:colOff>601980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68580</xdr:colOff>
      <xdr:row>0</xdr:row>
      <xdr:rowOff>60960</xdr:rowOff>
    </xdr:from>
    <xdr:to>
      <xdr:col>20</xdr:col>
      <xdr:colOff>533400</xdr:colOff>
      <xdr:row>22</xdr:row>
      <xdr:rowOff>7620</xdr:rowOff>
    </xdr:to>
    <xdr:graphicFrame macro="">
      <xdr:nvGraphicFramePr>
        <xdr:cNvPr id="4" name="Chart 3" descr="Richard Pellessier" title="Exponential fit to Covid-19 Ca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0.13874</cdr:x>
      <cdr:y>0.26555</cdr:y>
    </cdr:from>
    <cdr:to>
      <cdr:x>0.66173</cdr:x>
      <cdr:y>0.39072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962" y="1046129"/>
          <a:ext cx="2155985" cy="4931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data from JHU viaGitHub,</a:t>
          </a:r>
          <a:endParaRPr lang="en-US" sz="800">
            <a:effectLst/>
          </a:endParaRPr>
        </a:p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https://github.com/CSSEGISandData/COVID-19,</a:t>
          </a:r>
        </a:p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logarithm fit by Richard Pellessier</a:t>
          </a:r>
          <a:endParaRPr lang="en-US" sz="8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0.11841</cdr:x>
      <cdr:y>0.65259</cdr:y>
    </cdr:from>
    <cdr:to>
      <cdr:x>0.6414</cdr:x>
      <cdr:y>0.80998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8122" y="2590800"/>
          <a:ext cx="2155985" cy="624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data from JHU viaGitHub,</a:t>
          </a:r>
          <a:endParaRPr lang="en-US" sz="800">
            <a:effectLst/>
          </a:endParaRPr>
        </a:p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https://github.com/CSSEGISandData/COVID-19,</a:t>
          </a:r>
        </a:p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graph by Richard Pellessier, </a:t>
          </a:r>
        </a:p>
        <a:p xmlns:a="http://schemas.openxmlformats.org/drawingml/2006/main">
          <a:pPr rtl="0"/>
          <a:r>
            <a:rPr lang="en-US" sz="800" b="0" i="0" baseline="0">
              <a:effectLst/>
              <a:latin typeface="+mn-lt"/>
              <a:ea typeface="+mn-ea"/>
              <a:cs typeface="+mn-cs"/>
            </a:rPr>
            <a:t>smoothed data is average of 3 days</a:t>
          </a:r>
        </a:p>
        <a:p xmlns:a="http://schemas.openxmlformats.org/drawingml/2006/main">
          <a:pPr rtl="0"/>
          <a:endParaRPr lang="en-US" sz="8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218209</xdr:colOff>
      <xdr:row>28</xdr:row>
      <xdr:rowOff>100335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923809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rxiv.org/content/10.1101/2020.03.03.20029983v1" TargetMode="External"/><Relationship Id="rId13" Type="http://schemas.openxmlformats.org/officeDocument/2006/relationships/hyperlink" Target="https://www.medrxiv.org/content/10.1101/2020.03.03.20029983v1" TargetMode="External"/><Relationship Id="rId18" Type="http://schemas.openxmlformats.org/officeDocument/2006/relationships/hyperlink" Target="https://github.com/midas-network/COVID-19/tree/master/parameter_estimates/2019_novel_coronavirus" TargetMode="External"/><Relationship Id="rId3" Type="http://schemas.openxmlformats.org/officeDocument/2006/relationships/hyperlink" Target="https://institutefordiseasemodeling.github.io/nCoV-public/analyses/individual_dynamics_estimates/nCoV_incubation_period.html" TargetMode="External"/><Relationship Id="rId7" Type="http://schemas.openxmlformats.org/officeDocument/2006/relationships/hyperlink" Target="https://www.medrxiv.org/content/10.1101/2020.03.03.20029983v1" TargetMode="External"/><Relationship Id="rId12" Type="http://schemas.openxmlformats.org/officeDocument/2006/relationships/hyperlink" Target="https://www.medrxiv.org/content/10.1101/2020.03.03.20029983v1" TargetMode="External"/><Relationship Id="rId17" Type="http://schemas.openxmlformats.org/officeDocument/2006/relationships/hyperlink" Target="https://www.medrxiv.org/content/10.1101/2020.03.03.20028423v1.article-info" TargetMode="External"/><Relationship Id="rId2" Type="http://schemas.openxmlformats.org/officeDocument/2006/relationships/hyperlink" Target="https://www.medrxiv.org/content/medrxiv/early/2020/01/28/2020.01.26.20018754.full.pdf" TargetMode="External"/><Relationship Id="rId16" Type="http://schemas.openxmlformats.org/officeDocument/2006/relationships/hyperlink" Target="https://www.medrxiv.org/content/10.1101/2020.03.06.20032417v1" TargetMode="External"/><Relationship Id="rId1" Type="http://schemas.openxmlformats.org/officeDocument/2006/relationships/hyperlink" Target="https://www.medrxiv.org/content/medrxiv/early/2020/01/28/2020.01.26.20018754.full.pdf" TargetMode="External"/><Relationship Id="rId6" Type="http://schemas.openxmlformats.org/officeDocument/2006/relationships/hyperlink" Target="https://www.medrxiv.org/content/10.1101/2020.03.03.20029983v1" TargetMode="External"/><Relationship Id="rId11" Type="http://schemas.openxmlformats.org/officeDocument/2006/relationships/hyperlink" Target="https://www.medrxiv.org/content/10.1101/2020.03.03.20029983v1" TargetMode="External"/><Relationship Id="rId5" Type="http://schemas.openxmlformats.org/officeDocument/2006/relationships/hyperlink" Target="https://www.medrxiv.org/content/10.1101/2020.02.07.20021154v1" TargetMode="External"/><Relationship Id="rId15" Type="http://schemas.openxmlformats.org/officeDocument/2006/relationships/hyperlink" Target="https://www.medrxiv.org/content/10.1101/2020.03.06.20032417v1" TargetMode="External"/><Relationship Id="rId10" Type="http://schemas.openxmlformats.org/officeDocument/2006/relationships/hyperlink" Target="https://www.medrxiv.org/content/10.1101/2020.03.03.20029983v1" TargetMode="External"/><Relationship Id="rId19" Type="http://schemas.openxmlformats.org/officeDocument/2006/relationships/hyperlink" Target="https://github.com/midas-network/COVID-19/tree/master/parameter_estimates/2019_novel_coronavirus" TargetMode="External"/><Relationship Id="rId4" Type="http://schemas.openxmlformats.org/officeDocument/2006/relationships/hyperlink" Target="https://annals.org/aim/fullarticle/2762808/incubation-period-coronavirus-disease-2019-covid-19-from-publicly-reported" TargetMode="External"/><Relationship Id="rId9" Type="http://schemas.openxmlformats.org/officeDocument/2006/relationships/hyperlink" Target="https://www.medrxiv.org/content/10.1101/2020.03.03.20029983v1" TargetMode="External"/><Relationship Id="rId14" Type="http://schemas.openxmlformats.org/officeDocument/2006/relationships/hyperlink" Target="https://www.medrxiv.org/content/10.1101/2020.03.03.20029983v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medrxiv/early/2020/01/28/2020.01.26.20018754.full.pdf" TargetMode="External"/><Relationship Id="rId2" Type="http://schemas.openxmlformats.org/officeDocument/2006/relationships/hyperlink" Target="https://www.imperial.ac.uk/mrc-global-infectious-disease-analysis/news--wuhan-coronavirus/" TargetMode="External"/><Relationship Id="rId1" Type="http://schemas.openxmlformats.org/officeDocument/2006/relationships/hyperlink" Target="https://github.com/midas-network/COVID-19/tree/master/parameter_estimates/2019_novel_coronavirus" TargetMode="External"/><Relationship Id="rId4" Type="http://schemas.openxmlformats.org/officeDocument/2006/relationships/hyperlink" Target="http://medrxiv.org/content/early/2020/02/02/2020.01.29.20019547.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M70" sqref="M70"/>
    </sheetView>
  </sheetViews>
  <sheetFormatPr defaultRowHeight="14.4" x14ac:dyDescent="0.3"/>
  <cols>
    <col min="1" max="1" width="8.33203125" customWidth="1"/>
    <col min="2" max="2" width="10.44140625" bestFit="1" customWidth="1"/>
    <col min="3" max="3" width="10.5546875" customWidth="1"/>
    <col min="4" max="4" width="6.6640625" customWidth="1"/>
    <col min="5" max="5" width="9.6640625" customWidth="1"/>
    <col min="6" max="6" width="7.88671875" style="4" customWidth="1"/>
    <col min="7" max="7" width="9.6640625" style="4" customWidth="1"/>
    <col min="8" max="8" width="6.44140625" customWidth="1"/>
    <col min="9" max="10" width="6.6640625" customWidth="1"/>
    <col min="11" max="11" width="9.44140625" customWidth="1"/>
    <col min="12" max="13" width="9.5546875" customWidth="1"/>
    <col min="14" max="15" width="7.33203125" customWidth="1"/>
    <col min="16" max="16" width="8.109375" customWidth="1"/>
    <col min="17" max="18" width="9.5546875" customWidth="1"/>
    <col min="19" max="19" width="11.109375" customWidth="1"/>
    <col min="20" max="20" width="9.5546875" bestFit="1" customWidth="1"/>
  </cols>
  <sheetData>
    <row r="1" spans="1:23" ht="35.4" customHeight="1" thickBot="1" x14ac:dyDescent="0.55000000000000004">
      <c r="A1" s="3" t="s">
        <v>0</v>
      </c>
      <c r="E1" t="s">
        <v>71</v>
      </c>
      <c r="F1" s="1">
        <v>1</v>
      </c>
      <c r="G1" s="1">
        <v>1</v>
      </c>
      <c r="K1" t="s">
        <v>74</v>
      </c>
      <c r="L1" s="22">
        <v>13</v>
      </c>
      <c r="M1" s="22">
        <v>13</v>
      </c>
    </row>
    <row r="2" spans="1:23" ht="42.6" customHeight="1" x14ac:dyDescent="0.3">
      <c r="A2" s="2" t="s">
        <v>19</v>
      </c>
      <c r="B2" s="2" t="s">
        <v>32</v>
      </c>
      <c r="C2" s="2" t="s">
        <v>2</v>
      </c>
      <c r="D2" s="2" t="s">
        <v>3</v>
      </c>
      <c r="E2" s="2" t="s">
        <v>6</v>
      </c>
      <c r="F2" s="5" t="str">
        <f>"Total Deaths x "&amp;F1</f>
        <v>Total Deaths x 1</v>
      </c>
      <c r="G2" s="5" t="str">
        <f>"Total Recovered x "&amp;G1</f>
        <v>Total Recovered x 1</v>
      </c>
      <c r="H2" s="2" t="s">
        <v>5</v>
      </c>
      <c r="I2" s="2" t="s">
        <v>4</v>
      </c>
      <c r="J2" s="2" t="s">
        <v>75</v>
      </c>
      <c r="K2" s="2" t="s">
        <v>72</v>
      </c>
      <c r="L2" s="6" t="s">
        <v>73</v>
      </c>
      <c r="M2" s="6" t="s">
        <v>76</v>
      </c>
      <c r="N2" s="2"/>
      <c r="O2" s="2"/>
      <c r="P2" s="11"/>
      <c r="Q2" s="12"/>
      <c r="R2" s="12"/>
      <c r="S2" s="13" t="s">
        <v>31</v>
      </c>
      <c r="T2" s="12"/>
      <c r="U2" s="12"/>
      <c r="V2" s="12"/>
      <c r="W2" s="14"/>
    </row>
    <row r="3" spans="1:23" ht="18" x14ac:dyDescent="0.4">
      <c r="A3" s="7">
        <v>43891</v>
      </c>
      <c r="B3" t="s">
        <v>13</v>
      </c>
      <c r="C3" s="2">
        <v>76</v>
      </c>
      <c r="D3" s="2">
        <v>1</v>
      </c>
      <c r="E3" s="2">
        <v>7</v>
      </c>
      <c r="F3" s="1">
        <f t="shared" ref="F3:F4" si="0">D3*$F$1</f>
        <v>1</v>
      </c>
      <c r="G3" s="1">
        <f t="shared" ref="G3:G4" si="1">E3*$G$1</f>
        <v>7</v>
      </c>
      <c r="K3" s="2">
        <v>0</v>
      </c>
      <c r="L3" s="38" t="str">
        <f t="shared" ref="L3:L34" ca="1" si="2">IFERROR(D3/OFFSET(C3,-$L$1,0), "insufficient data")</f>
        <v>insufficient data</v>
      </c>
      <c r="M3" s="38" t="str">
        <f ca="1">IFERROR(I3/OFFSET(H3,-$M$1,0), "insufficient data")</f>
        <v>insufficient data</v>
      </c>
      <c r="P3" s="40" t="s">
        <v>17</v>
      </c>
      <c r="Q3" s="16" t="s">
        <v>16</v>
      </c>
      <c r="R3" s="16"/>
      <c r="S3" s="17" t="s">
        <v>1</v>
      </c>
      <c r="T3" s="17" t="s">
        <v>15</v>
      </c>
      <c r="U3" s="17" t="s">
        <v>14</v>
      </c>
      <c r="V3" s="17" t="s">
        <v>18</v>
      </c>
      <c r="W3" s="18"/>
    </row>
    <row r="4" spans="1:23" x14ac:dyDescent="0.3">
      <c r="A4" s="7">
        <v>43892</v>
      </c>
      <c r="B4" t="s">
        <v>7</v>
      </c>
      <c r="C4" s="2">
        <v>101</v>
      </c>
      <c r="D4" s="2">
        <v>6</v>
      </c>
      <c r="E4" s="2">
        <v>7</v>
      </c>
      <c r="F4" s="1">
        <f t="shared" si="0"/>
        <v>6</v>
      </c>
      <c r="G4" s="1">
        <f t="shared" si="1"/>
        <v>7</v>
      </c>
      <c r="H4">
        <f t="shared" ref="H4:H5" si="3">C4-C3</f>
        <v>25</v>
      </c>
      <c r="I4">
        <f t="shared" ref="I4:J19" si="4">D4-D3</f>
        <v>5</v>
      </c>
      <c r="J4">
        <f t="shared" si="4"/>
        <v>0</v>
      </c>
      <c r="K4">
        <f t="shared" ref="K4:K5" si="5">K3+1</f>
        <v>1</v>
      </c>
      <c r="L4" s="38" t="str">
        <f t="shared" ca="1" si="2"/>
        <v>insufficient data</v>
      </c>
      <c r="M4" s="38" t="str">
        <f t="shared" ref="M4" ca="1" si="6">IFERROR(I4/OFFSET(H4,-$M$1,0), "insufficient data")</f>
        <v>insufficient data</v>
      </c>
      <c r="P4" s="15">
        <f>T6</f>
        <v>117.55</v>
      </c>
      <c r="Q4" s="17">
        <f>U6</f>
        <v>0.29239999999999999</v>
      </c>
      <c r="R4" s="17"/>
      <c r="S4" s="19">
        <v>43541</v>
      </c>
      <c r="T4" s="17">
        <v>91.9</v>
      </c>
      <c r="U4" s="17">
        <v>0.28599999999999998</v>
      </c>
      <c r="V4" s="20">
        <f>LN(2)/U4</f>
        <v>2.4235915404193893</v>
      </c>
      <c r="W4" s="21">
        <f>V4*24</f>
        <v>58.166196970065343</v>
      </c>
    </row>
    <row r="5" spans="1:23" x14ac:dyDescent="0.3">
      <c r="A5" s="7">
        <v>43893</v>
      </c>
      <c r="B5" t="s">
        <v>8</v>
      </c>
      <c r="C5">
        <v>122</v>
      </c>
      <c r="D5">
        <v>7</v>
      </c>
      <c r="E5">
        <v>8</v>
      </c>
      <c r="F5" s="1">
        <f>D5*$F$1</f>
        <v>7</v>
      </c>
      <c r="G5" s="1">
        <f>E5*$G$1</f>
        <v>8</v>
      </c>
      <c r="H5">
        <f t="shared" si="3"/>
        <v>21</v>
      </c>
      <c r="I5">
        <f t="shared" si="4"/>
        <v>1</v>
      </c>
      <c r="J5">
        <f t="shared" si="4"/>
        <v>1</v>
      </c>
      <c r="K5">
        <f t="shared" si="5"/>
        <v>2</v>
      </c>
      <c r="L5" s="38" t="str">
        <f t="shared" ca="1" si="2"/>
        <v>insufficient data</v>
      </c>
      <c r="M5" s="38" t="str">
        <f ca="1">IFERROR((I5+I4+I3)/(OFFSET(H5,-$M$1,0)+OFFSET(H4,-$M$1,0)+OFFSET(H4,-$M$1,0)), "insufficient data")</f>
        <v>insufficient data</v>
      </c>
      <c r="P5" s="15"/>
      <c r="Q5" s="17"/>
      <c r="R5" s="17"/>
      <c r="S5" s="19">
        <v>43909</v>
      </c>
      <c r="T5" s="17">
        <v>92.456999999999994</v>
      </c>
      <c r="U5" s="17">
        <v>0.28439999999999999</v>
      </c>
      <c r="V5" s="20">
        <f t="shared" ref="V5:V6" si="7">LN(2)/U5</f>
        <v>2.4372263732768822</v>
      </c>
      <c r="W5" s="21">
        <f>V5*24</f>
        <v>58.493432958645172</v>
      </c>
    </row>
    <row r="6" spans="1:23" x14ac:dyDescent="0.3">
      <c r="A6" s="7">
        <v>43894</v>
      </c>
      <c r="B6" t="s">
        <v>9</v>
      </c>
      <c r="C6">
        <v>153</v>
      </c>
      <c r="D6">
        <v>11</v>
      </c>
      <c r="E6">
        <v>8</v>
      </c>
      <c r="F6" s="1">
        <f t="shared" ref="F6:F55" si="8">D6*$F$1</f>
        <v>11</v>
      </c>
      <c r="G6" s="1">
        <f t="shared" ref="G6:G55" si="9">E6*$G$1</f>
        <v>8</v>
      </c>
      <c r="H6">
        <f t="shared" ref="H6:H13" si="10">C6-C5</f>
        <v>31</v>
      </c>
      <c r="I6">
        <f>D6-D5</f>
        <v>4</v>
      </c>
      <c r="J6">
        <f t="shared" si="4"/>
        <v>0</v>
      </c>
      <c r="K6">
        <f>K5+1</f>
        <v>3</v>
      </c>
      <c r="L6" s="38" t="str">
        <f t="shared" ca="1" si="2"/>
        <v>insufficient data</v>
      </c>
      <c r="M6" s="38" t="str">
        <f t="shared" ref="M6:M68" ca="1" si="11">IFERROR((I6+I5+I4)/(OFFSET(H6,-$M$1,0)+OFFSET(H5,-$M$1,0)+OFFSET(H5,-$M$1,0)), "insufficient data")</f>
        <v>insufficient data</v>
      </c>
      <c r="P6" s="41"/>
      <c r="Q6" s="39"/>
      <c r="R6" s="17"/>
      <c r="S6" s="19">
        <v>43912</v>
      </c>
      <c r="T6" s="17">
        <v>117.55</v>
      </c>
      <c r="U6" s="17">
        <v>0.29239999999999999</v>
      </c>
      <c r="V6" s="20">
        <f t="shared" si="7"/>
        <v>2.3705443931598675</v>
      </c>
      <c r="W6" s="21">
        <f>V6*24</f>
        <v>56.893065435836817</v>
      </c>
    </row>
    <row r="7" spans="1:23" x14ac:dyDescent="0.3">
      <c r="A7" s="7">
        <v>43895</v>
      </c>
      <c r="B7" t="s">
        <v>10</v>
      </c>
      <c r="C7">
        <v>221</v>
      </c>
      <c r="D7">
        <v>12</v>
      </c>
      <c r="E7">
        <v>8</v>
      </c>
      <c r="F7" s="1">
        <f t="shared" si="8"/>
        <v>12</v>
      </c>
      <c r="G7" s="1">
        <f t="shared" si="9"/>
        <v>8</v>
      </c>
      <c r="H7">
        <f t="shared" si="10"/>
        <v>68</v>
      </c>
      <c r="I7">
        <f t="shared" ref="I7:I18" si="12">D7-D6</f>
        <v>1</v>
      </c>
      <c r="J7">
        <f t="shared" si="4"/>
        <v>0</v>
      </c>
      <c r="K7">
        <f t="shared" ref="K7:K68" si="13">K6+1</f>
        <v>4</v>
      </c>
      <c r="L7" s="38" t="str">
        <f t="shared" ca="1" si="2"/>
        <v>insufficient data</v>
      </c>
      <c r="M7" s="38" t="str">
        <f t="shared" ca="1" si="11"/>
        <v>insufficient data</v>
      </c>
      <c r="P7" s="41"/>
      <c r="Q7" s="39"/>
      <c r="R7" s="17"/>
      <c r="S7" s="19">
        <v>43914</v>
      </c>
      <c r="T7" s="17">
        <v>116.95</v>
      </c>
      <c r="U7" s="17">
        <v>0.29320000000000002</v>
      </c>
      <c r="V7" s="20">
        <f>LN(2)/U7</f>
        <v>2.3640763320598404</v>
      </c>
      <c r="W7" s="21">
        <f>V7*24</f>
        <v>56.737831969436172</v>
      </c>
    </row>
    <row r="8" spans="1:23" ht="15" thickBot="1" x14ac:dyDescent="0.35">
      <c r="A8" s="7">
        <v>43896</v>
      </c>
      <c r="B8" t="s">
        <v>11</v>
      </c>
      <c r="C8">
        <v>278</v>
      </c>
      <c r="D8">
        <v>14</v>
      </c>
      <c r="E8">
        <v>8</v>
      </c>
      <c r="F8" s="1">
        <f t="shared" si="8"/>
        <v>14</v>
      </c>
      <c r="G8" s="1">
        <f t="shared" si="9"/>
        <v>8</v>
      </c>
      <c r="H8">
        <f t="shared" si="10"/>
        <v>57</v>
      </c>
      <c r="I8">
        <f t="shared" si="12"/>
        <v>2</v>
      </c>
      <c r="J8">
        <f t="shared" si="4"/>
        <v>0</v>
      </c>
      <c r="K8">
        <f t="shared" si="13"/>
        <v>5</v>
      </c>
      <c r="L8" s="38" t="str">
        <f t="shared" ca="1" si="2"/>
        <v>insufficient data</v>
      </c>
      <c r="M8" s="38" t="str">
        <f t="shared" ca="1" si="11"/>
        <v>insufficient data</v>
      </c>
      <c r="P8" s="42"/>
      <c r="Q8" s="23"/>
      <c r="R8" s="23"/>
      <c r="S8" s="24">
        <v>43916</v>
      </c>
      <c r="T8" s="23">
        <v>119.42</v>
      </c>
      <c r="U8" s="23">
        <v>0.2903</v>
      </c>
      <c r="V8" s="25">
        <f>LN(2)/U8</f>
        <v>2.3876926646915098</v>
      </c>
      <c r="W8" s="26">
        <f>V8*24</f>
        <v>57.304623952596231</v>
      </c>
    </row>
    <row r="9" spans="1:23" x14ac:dyDescent="0.3">
      <c r="A9" s="7">
        <v>43897</v>
      </c>
      <c r="B9" t="s">
        <v>12</v>
      </c>
      <c r="C9">
        <v>417</v>
      </c>
      <c r="D9">
        <v>17</v>
      </c>
      <c r="E9">
        <v>8</v>
      </c>
      <c r="F9" s="1">
        <f t="shared" si="8"/>
        <v>17</v>
      </c>
      <c r="G9" s="1">
        <f t="shared" si="9"/>
        <v>8</v>
      </c>
      <c r="H9">
        <f t="shared" si="10"/>
        <v>139</v>
      </c>
      <c r="I9">
        <f t="shared" si="12"/>
        <v>3</v>
      </c>
      <c r="J9">
        <f t="shared" si="4"/>
        <v>0</v>
      </c>
      <c r="K9">
        <f t="shared" si="13"/>
        <v>6</v>
      </c>
      <c r="L9" s="38" t="str">
        <f t="shared" ca="1" si="2"/>
        <v>insufficient data</v>
      </c>
      <c r="M9" s="38" t="str">
        <f t="shared" ca="1" si="11"/>
        <v>insufficient data</v>
      </c>
    </row>
    <row r="10" spans="1:23" x14ac:dyDescent="0.3">
      <c r="A10" s="7">
        <v>43898</v>
      </c>
      <c r="B10" t="s">
        <v>13</v>
      </c>
      <c r="C10">
        <v>537</v>
      </c>
      <c r="D10">
        <v>21</v>
      </c>
      <c r="E10">
        <v>8</v>
      </c>
      <c r="F10" s="1">
        <f t="shared" si="8"/>
        <v>21</v>
      </c>
      <c r="G10" s="1">
        <f t="shared" si="9"/>
        <v>8</v>
      </c>
      <c r="H10">
        <f t="shared" si="10"/>
        <v>120</v>
      </c>
      <c r="I10">
        <f t="shared" si="12"/>
        <v>4</v>
      </c>
      <c r="J10">
        <f t="shared" si="4"/>
        <v>0</v>
      </c>
      <c r="K10">
        <f t="shared" si="13"/>
        <v>7</v>
      </c>
      <c r="L10" s="38" t="str">
        <f t="shared" ca="1" si="2"/>
        <v>insufficient data</v>
      </c>
      <c r="M10" s="38" t="str">
        <f t="shared" ca="1" si="11"/>
        <v>insufficient data</v>
      </c>
    </row>
    <row r="11" spans="1:23" x14ac:dyDescent="0.3">
      <c r="A11" s="7">
        <v>43899</v>
      </c>
      <c r="B11" t="s">
        <v>7</v>
      </c>
      <c r="C11">
        <v>605</v>
      </c>
      <c r="D11">
        <v>22</v>
      </c>
      <c r="E11">
        <v>8</v>
      </c>
      <c r="F11" s="1">
        <f t="shared" si="8"/>
        <v>22</v>
      </c>
      <c r="G11" s="1">
        <f t="shared" si="9"/>
        <v>8</v>
      </c>
      <c r="H11">
        <f t="shared" si="10"/>
        <v>68</v>
      </c>
      <c r="I11">
        <f t="shared" si="12"/>
        <v>1</v>
      </c>
      <c r="J11">
        <f t="shared" si="4"/>
        <v>0</v>
      </c>
      <c r="K11">
        <f t="shared" si="13"/>
        <v>8</v>
      </c>
      <c r="L11" s="38" t="str">
        <f t="shared" ca="1" si="2"/>
        <v>insufficient data</v>
      </c>
      <c r="M11" s="38" t="str">
        <f t="shared" ca="1" si="11"/>
        <v>insufficient data</v>
      </c>
    </row>
    <row r="12" spans="1:23" x14ac:dyDescent="0.3">
      <c r="A12" s="7">
        <v>43900</v>
      </c>
      <c r="B12" t="s">
        <v>8</v>
      </c>
      <c r="C12">
        <v>959</v>
      </c>
      <c r="D12">
        <v>28</v>
      </c>
      <c r="E12">
        <v>8</v>
      </c>
      <c r="F12" s="1">
        <f t="shared" si="8"/>
        <v>28</v>
      </c>
      <c r="G12" s="1">
        <f t="shared" si="9"/>
        <v>8</v>
      </c>
      <c r="H12">
        <f t="shared" si="10"/>
        <v>354</v>
      </c>
      <c r="I12">
        <f t="shared" si="12"/>
        <v>6</v>
      </c>
      <c r="J12">
        <f t="shared" si="4"/>
        <v>0</v>
      </c>
      <c r="K12">
        <f t="shared" si="13"/>
        <v>9</v>
      </c>
      <c r="L12" s="38" t="str">
        <f t="shared" ca="1" si="2"/>
        <v>insufficient data</v>
      </c>
      <c r="M12" s="38" t="str">
        <f t="shared" ca="1" si="11"/>
        <v>insufficient data</v>
      </c>
    </row>
    <row r="13" spans="1:23" x14ac:dyDescent="0.3">
      <c r="A13" s="7">
        <v>43901</v>
      </c>
      <c r="B13" t="s">
        <v>9</v>
      </c>
      <c r="C13">
        <v>1281</v>
      </c>
      <c r="D13">
        <v>36</v>
      </c>
      <c r="E13">
        <v>8</v>
      </c>
      <c r="F13" s="1">
        <f t="shared" si="8"/>
        <v>36</v>
      </c>
      <c r="G13" s="1">
        <f t="shared" si="9"/>
        <v>8</v>
      </c>
      <c r="H13">
        <f t="shared" si="10"/>
        <v>322</v>
      </c>
      <c r="I13">
        <f t="shared" si="12"/>
        <v>8</v>
      </c>
      <c r="J13">
        <f t="shared" si="4"/>
        <v>0</v>
      </c>
      <c r="K13">
        <f t="shared" si="13"/>
        <v>10</v>
      </c>
      <c r="L13" s="38" t="str">
        <f t="shared" ca="1" si="2"/>
        <v>insufficient data</v>
      </c>
      <c r="M13" s="38" t="str">
        <f t="shared" ca="1" si="11"/>
        <v>insufficient data</v>
      </c>
    </row>
    <row r="14" spans="1:23" x14ac:dyDescent="0.3">
      <c r="A14" s="7">
        <v>43902</v>
      </c>
      <c r="B14" t="s">
        <v>10</v>
      </c>
      <c r="C14">
        <v>1663</v>
      </c>
      <c r="D14">
        <v>40</v>
      </c>
      <c r="E14">
        <v>12</v>
      </c>
      <c r="F14" s="1">
        <f t="shared" si="8"/>
        <v>40</v>
      </c>
      <c r="G14" s="1">
        <f t="shared" si="9"/>
        <v>12</v>
      </c>
      <c r="H14">
        <f t="shared" ref="H14:H16" si="14">C14-C13</f>
        <v>382</v>
      </c>
      <c r="I14">
        <f t="shared" si="12"/>
        <v>4</v>
      </c>
      <c r="J14">
        <f t="shared" si="4"/>
        <v>4</v>
      </c>
      <c r="K14">
        <f t="shared" si="13"/>
        <v>11</v>
      </c>
      <c r="L14" s="38" t="str">
        <f t="shared" ca="1" si="2"/>
        <v>insufficient data</v>
      </c>
      <c r="M14" s="38" t="str">
        <f t="shared" ca="1" si="11"/>
        <v>insufficient data</v>
      </c>
    </row>
    <row r="15" spans="1:23" x14ac:dyDescent="0.3">
      <c r="A15" s="7">
        <v>43903</v>
      </c>
      <c r="B15" t="s">
        <v>11</v>
      </c>
      <c r="C15">
        <v>2179</v>
      </c>
      <c r="D15">
        <v>47</v>
      </c>
      <c r="E15">
        <v>12</v>
      </c>
      <c r="F15" s="1">
        <f t="shared" si="8"/>
        <v>47</v>
      </c>
      <c r="G15" s="1">
        <f t="shared" si="9"/>
        <v>12</v>
      </c>
      <c r="H15">
        <f t="shared" si="14"/>
        <v>516</v>
      </c>
      <c r="I15">
        <f t="shared" si="12"/>
        <v>7</v>
      </c>
      <c r="J15">
        <f t="shared" si="4"/>
        <v>0</v>
      </c>
      <c r="K15">
        <f t="shared" si="13"/>
        <v>12</v>
      </c>
      <c r="L15" s="38" t="str">
        <f t="shared" ca="1" si="2"/>
        <v>insufficient data</v>
      </c>
      <c r="M15" s="38" t="str">
        <f t="shared" ca="1" si="11"/>
        <v>insufficient data</v>
      </c>
    </row>
    <row r="16" spans="1:23" x14ac:dyDescent="0.3">
      <c r="A16" s="7">
        <v>43904</v>
      </c>
      <c r="B16" t="s">
        <v>12</v>
      </c>
      <c r="C16">
        <v>2726</v>
      </c>
      <c r="D16">
        <v>54</v>
      </c>
      <c r="E16">
        <v>12</v>
      </c>
      <c r="F16" s="1">
        <f t="shared" si="8"/>
        <v>54</v>
      </c>
      <c r="G16" s="1">
        <f t="shared" si="9"/>
        <v>12</v>
      </c>
      <c r="H16">
        <f t="shared" si="14"/>
        <v>547</v>
      </c>
      <c r="I16">
        <f t="shared" si="12"/>
        <v>7</v>
      </c>
      <c r="J16">
        <f t="shared" si="4"/>
        <v>0</v>
      </c>
      <c r="K16">
        <f t="shared" si="13"/>
        <v>13</v>
      </c>
      <c r="L16" s="38">
        <f t="shared" ca="1" si="2"/>
        <v>0.71052631578947367</v>
      </c>
      <c r="M16" s="38" t="str">
        <f t="shared" ca="1" si="11"/>
        <v>insufficient data</v>
      </c>
    </row>
    <row r="17" spans="1:13" x14ac:dyDescent="0.3">
      <c r="A17" s="7">
        <v>43905</v>
      </c>
      <c r="B17" t="s">
        <v>13</v>
      </c>
      <c r="C17">
        <v>3499</v>
      </c>
      <c r="D17">
        <v>63</v>
      </c>
      <c r="E17">
        <v>12</v>
      </c>
      <c r="F17" s="1">
        <f t="shared" si="8"/>
        <v>63</v>
      </c>
      <c r="G17" s="1">
        <f t="shared" si="9"/>
        <v>12</v>
      </c>
      <c r="H17">
        <f t="shared" ref="H17" si="15">C17-C16</f>
        <v>773</v>
      </c>
      <c r="I17">
        <f t="shared" si="12"/>
        <v>9</v>
      </c>
      <c r="J17">
        <f t="shared" si="4"/>
        <v>0</v>
      </c>
      <c r="K17">
        <f t="shared" si="13"/>
        <v>14</v>
      </c>
      <c r="L17" s="38">
        <f t="shared" ca="1" si="2"/>
        <v>0.62376237623762376</v>
      </c>
      <c r="M17" s="38">
        <f t="shared" ca="1" si="11"/>
        <v>0.92</v>
      </c>
    </row>
    <row r="18" spans="1:13" x14ac:dyDescent="0.3">
      <c r="A18" s="7">
        <v>43906</v>
      </c>
      <c r="B18" t="s">
        <v>7</v>
      </c>
      <c r="C18">
        <v>4632</v>
      </c>
      <c r="D18">
        <v>85</v>
      </c>
      <c r="E18">
        <v>17</v>
      </c>
      <c r="F18" s="1">
        <f t="shared" si="8"/>
        <v>85</v>
      </c>
      <c r="G18" s="1">
        <f t="shared" si="9"/>
        <v>17</v>
      </c>
      <c r="H18">
        <f t="shared" ref="H18" si="16">C18-C17</f>
        <v>1133</v>
      </c>
      <c r="I18">
        <f t="shared" si="12"/>
        <v>22</v>
      </c>
      <c r="J18">
        <f t="shared" si="4"/>
        <v>5</v>
      </c>
      <c r="K18">
        <f t="shared" si="13"/>
        <v>15</v>
      </c>
      <c r="L18" s="38">
        <f t="shared" ca="1" si="2"/>
        <v>0.69672131147540983</v>
      </c>
      <c r="M18" s="38">
        <f t="shared" ca="1" si="11"/>
        <v>0.53521126760563376</v>
      </c>
    </row>
    <row r="19" spans="1:13" x14ac:dyDescent="0.3">
      <c r="A19" s="7">
        <v>43907</v>
      </c>
      <c r="B19" t="s">
        <v>8</v>
      </c>
      <c r="C19">
        <v>6428</v>
      </c>
      <c r="D19">
        <v>108</v>
      </c>
      <c r="E19">
        <v>17</v>
      </c>
      <c r="F19" s="1">
        <f t="shared" si="8"/>
        <v>108</v>
      </c>
      <c r="G19" s="1">
        <f t="shared" si="9"/>
        <v>17</v>
      </c>
      <c r="H19">
        <f t="shared" ref="H19" si="17">C19-C18</f>
        <v>1796</v>
      </c>
      <c r="I19">
        <f t="shared" ref="I19" si="18">D19-D18</f>
        <v>23</v>
      </c>
      <c r="J19">
        <f t="shared" si="4"/>
        <v>0</v>
      </c>
      <c r="K19">
        <f t="shared" si="13"/>
        <v>16</v>
      </c>
      <c r="L19" s="38">
        <f t="shared" ca="1" si="2"/>
        <v>0.70588235294117652</v>
      </c>
      <c r="M19" s="38">
        <f t="shared" ca="1" si="11"/>
        <v>0.73972602739726023</v>
      </c>
    </row>
    <row r="20" spans="1:13" x14ac:dyDescent="0.3">
      <c r="A20" s="7">
        <v>43908</v>
      </c>
      <c r="B20" t="s">
        <v>9</v>
      </c>
      <c r="C20">
        <v>7786</v>
      </c>
      <c r="D20">
        <v>118</v>
      </c>
      <c r="E20">
        <v>106</v>
      </c>
      <c r="F20" s="1">
        <f t="shared" si="8"/>
        <v>118</v>
      </c>
      <c r="G20" s="1">
        <f t="shared" si="9"/>
        <v>106</v>
      </c>
      <c r="H20">
        <f t="shared" ref="H20" si="19">C20-C19</f>
        <v>1358</v>
      </c>
      <c r="I20">
        <f t="shared" ref="I20:J35" si="20">D20-D19</f>
        <v>10</v>
      </c>
      <c r="J20">
        <f t="shared" si="20"/>
        <v>89</v>
      </c>
      <c r="K20">
        <f t="shared" si="13"/>
        <v>17</v>
      </c>
      <c r="L20" s="38">
        <f t="shared" ca="1" si="2"/>
        <v>0.5339366515837104</v>
      </c>
      <c r="M20" s="38">
        <f t="shared" ca="1" si="11"/>
        <v>0.42307692307692307</v>
      </c>
    </row>
    <row r="21" spans="1:13" x14ac:dyDescent="0.3">
      <c r="A21" s="7">
        <v>43909</v>
      </c>
      <c r="B21" t="s">
        <v>10</v>
      </c>
      <c r="C21">
        <v>13680</v>
      </c>
      <c r="D21">
        <v>200</v>
      </c>
      <c r="E21">
        <v>108</v>
      </c>
      <c r="F21" s="1">
        <f t="shared" si="8"/>
        <v>200</v>
      </c>
      <c r="G21" s="1">
        <f t="shared" si="9"/>
        <v>108</v>
      </c>
      <c r="H21">
        <f t="shared" ref="H21" si="21">C21-C20</f>
        <v>5894</v>
      </c>
      <c r="I21">
        <f t="shared" ref="I21" si="22">D21-D20</f>
        <v>82</v>
      </c>
      <c r="J21">
        <f t="shared" si="20"/>
        <v>2</v>
      </c>
      <c r="K21">
        <f t="shared" si="13"/>
        <v>18</v>
      </c>
      <c r="L21" s="38">
        <f t="shared" ca="1" si="2"/>
        <v>0.71942446043165464</v>
      </c>
      <c r="M21" s="38">
        <f t="shared" ca="1" si="11"/>
        <v>0.59585492227979275</v>
      </c>
    </row>
    <row r="22" spans="1:13" x14ac:dyDescent="0.3">
      <c r="A22" s="7">
        <v>43910</v>
      </c>
      <c r="B22" t="s">
        <v>11</v>
      </c>
      <c r="C22">
        <v>19101</v>
      </c>
      <c r="D22">
        <v>244</v>
      </c>
      <c r="E22">
        <v>147</v>
      </c>
      <c r="F22" s="1">
        <f t="shared" si="8"/>
        <v>244</v>
      </c>
      <c r="G22" s="1">
        <f t="shared" si="9"/>
        <v>147</v>
      </c>
      <c r="H22">
        <f t="shared" ref="H22:H23" si="23">C22-C21</f>
        <v>5421</v>
      </c>
      <c r="I22">
        <f t="shared" ref="I22:I23" si="24">D22-D21</f>
        <v>44</v>
      </c>
      <c r="J22">
        <f t="shared" si="20"/>
        <v>39</v>
      </c>
      <c r="K22">
        <f t="shared" si="13"/>
        <v>19</v>
      </c>
      <c r="L22" s="38">
        <f t="shared" ca="1" si="2"/>
        <v>0.5851318944844125</v>
      </c>
      <c r="M22" s="38">
        <f t="shared" ca="1" si="11"/>
        <v>0.53754940711462451</v>
      </c>
    </row>
    <row r="23" spans="1:13" x14ac:dyDescent="0.3">
      <c r="A23" s="7">
        <v>43911</v>
      </c>
      <c r="B23" t="s">
        <v>12</v>
      </c>
      <c r="C23">
        <v>25493</v>
      </c>
      <c r="D23">
        <v>307</v>
      </c>
      <c r="E23">
        <v>171</v>
      </c>
      <c r="F23" s="1">
        <f t="shared" si="8"/>
        <v>307</v>
      </c>
      <c r="G23" s="1">
        <f t="shared" si="9"/>
        <v>171</v>
      </c>
      <c r="H23">
        <f t="shared" si="23"/>
        <v>6392</v>
      </c>
      <c r="I23">
        <f t="shared" si="24"/>
        <v>63</v>
      </c>
      <c r="J23">
        <f t="shared" si="20"/>
        <v>24</v>
      </c>
      <c r="K23">
        <f t="shared" si="13"/>
        <v>20</v>
      </c>
      <c r="L23" s="38">
        <f t="shared" ca="1" si="2"/>
        <v>0.57169459962756053</v>
      </c>
      <c r="M23" s="38">
        <f t="shared" ca="1" si="11"/>
        <v>0.47487437185929648</v>
      </c>
    </row>
    <row r="24" spans="1:13" x14ac:dyDescent="0.3">
      <c r="A24" s="7">
        <v>43912</v>
      </c>
      <c r="B24" t="s">
        <v>13</v>
      </c>
      <c r="C24">
        <v>33276</v>
      </c>
      <c r="D24">
        <v>417</v>
      </c>
      <c r="E24">
        <v>178</v>
      </c>
      <c r="F24" s="1">
        <f t="shared" si="8"/>
        <v>417</v>
      </c>
      <c r="G24" s="1">
        <f t="shared" si="9"/>
        <v>178</v>
      </c>
      <c r="H24">
        <f t="shared" ref="H24" si="25">C24-C23</f>
        <v>7783</v>
      </c>
      <c r="I24">
        <f t="shared" ref="I24" si="26">D24-D23</f>
        <v>110</v>
      </c>
      <c r="J24">
        <f t="shared" si="20"/>
        <v>7</v>
      </c>
      <c r="K24">
        <f t="shared" si="13"/>
        <v>21</v>
      </c>
      <c r="L24" s="38">
        <f t="shared" ca="1" si="2"/>
        <v>0.68925619834710738</v>
      </c>
      <c r="M24" s="38">
        <f t="shared" ca="1" si="11"/>
        <v>0.70454545454545459</v>
      </c>
    </row>
    <row r="25" spans="1:13" x14ac:dyDescent="0.3">
      <c r="A25" s="7">
        <v>43913</v>
      </c>
      <c r="B25" t="s">
        <v>7</v>
      </c>
      <c r="C25">
        <v>43667</v>
      </c>
      <c r="D25">
        <v>552</v>
      </c>
      <c r="F25" s="1">
        <f t="shared" si="8"/>
        <v>552</v>
      </c>
      <c r="G25" s="1">
        <f t="shared" si="9"/>
        <v>0</v>
      </c>
      <c r="H25">
        <f t="shared" ref="H25:H26" si="27">C25-C24</f>
        <v>10391</v>
      </c>
      <c r="I25">
        <f t="shared" ref="I25:I26" si="28">D25-D24</f>
        <v>135</v>
      </c>
      <c r="J25">
        <f t="shared" si="20"/>
        <v>-178</v>
      </c>
      <c r="K25">
        <f t="shared" si="13"/>
        <v>22</v>
      </c>
      <c r="L25" s="38">
        <f t="shared" ca="1" si="2"/>
        <v>0.57559958289885294</v>
      </c>
      <c r="M25" s="38">
        <f t="shared" ca="1" si="11"/>
        <v>0.62857142857142856</v>
      </c>
    </row>
    <row r="26" spans="1:13" x14ac:dyDescent="0.3">
      <c r="A26" s="7">
        <v>43914</v>
      </c>
      <c r="B26" t="s">
        <v>8</v>
      </c>
      <c r="C26">
        <v>53740</v>
      </c>
      <c r="D26">
        <v>706</v>
      </c>
      <c r="E26">
        <v>348</v>
      </c>
      <c r="F26" s="1">
        <f t="shared" si="8"/>
        <v>706</v>
      </c>
      <c r="G26" s="1">
        <f t="shared" si="9"/>
        <v>348</v>
      </c>
      <c r="H26">
        <f t="shared" si="27"/>
        <v>10073</v>
      </c>
      <c r="I26">
        <f t="shared" si="28"/>
        <v>154</v>
      </c>
      <c r="J26">
        <f t="shared" si="20"/>
        <v>348</v>
      </c>
      <c r="K26">
        <f t="shared" si="13"/>
        <v>23</v>
      </c>
      <c r="L26" s="38">
        <f t="shared" ca="1" si="2"/>
        <v>0.55113192818110845</v>
      </c>
      <c r="M26" s="38">
        <f t="shared" ca="1" si="11"/>
        <v>0.38737864077669903</v>
      </c>
    </row>
    <row r="27" spans="1:13" x14ac:dyDescent="0.3">
      <c r="A27" s="7">
        <v>43915</v>
      </c>
      <c r="B27" t="s">
        <v>9</v>
      </c>
      <c r="C27">
        <v>65778</v>
      </c>
      <c r="D27">
        <v>942</v>
      </c>
      <c r="E27">
        <v>361</v>
      </c>
      <c r="F27" s="1">
        <f t="shared" si="8"/>
        <v>942</v>
      </c>
      <c r="G27" s="1">
        <f t="shared" si="9"/>
        <v>361</v>
      </c>
      <c r="H27">
        <f t="shared" ref="H27" si="29">C27-C26</f>
        <v>12038</v>
      </c>
      <c r="I27">
        <f t="shared" ref="I27" si="30">D27-D26</f>
        <v>236</v>
      </c>
      <c r="J27">
        <f t="shared" si="20"/>
        <v>13</v>
      </c>
      <c r="K27">
        <f t="shared" si="13"/>
        <v>24</v>
      </c>
      <c r="L27" s="38">
        <f t="shared" ca="1" si="2"/>
        <v>0.56644618159951898</v>
      </c>
      <c r="M27" s="38">
        <f t="shared" ca="1" si="11"/>
        <v>0.51169590643274854</v>
      </c>
    </row>
    <row r="28" spans="1:13" x14ac:dyDescent="0.3">
      <c r="A28" s="7">
        <v>43916</v>
      </c>
      <c r="B28" t="s">
        <v>10</v>
      </c>
      <c r="C28">
        <v>83836</v>
      </c>
      <c r="D28">
        <v>1209</v>
      </c>
      <c r="E28">
        <v>681</v>
      </c>
      <c r="F28" s="1">
        <f t="shared" si="8"/>
        <v>1209</v>
      </c>
      <c r="G28" s="1">
        <f t="shared" si="9"/>
        <v>681</v>
      </c>
      <c r="H28">
        <f t="shared" ref="H28" si="31">C28-C27</f>
        <v>18058</v>
      </c>
      <c r="I28">
        <f t="shared" ref="I28" si="32">D28-D27</f>
        <v>267</v>
      </c>
      <c r="J28">
        <f t="shared" si="20"/>
        <v>320</v>
      </c>
      <c r="K28">
        <f t="shared" si="13"/>
        <v>25</v>
      </c>
      <c r="L28" s="38">
        <f t="shared" ca="1" si="2"/>
        <v>0.55484167049105093</v>
      </c>
      <c r="M28" s="38">
        <f t="shared" ca="1" si="11"/>
        <v>0.51328125000000002</v>
      </c>
    </row>
    <row r="29" spans="1:13" x14ac:dyDescent="0.3">
      <c r="A29" s="7">
        <v>43917</v>
      </c>
      <c r="B29" t="s">
        <v>11</v>
      </c>
      <c r="C29">
        <v>101657</v>
      </c>
      <c r="D29">
        <v>1581</v>
      </c>
      <c r="E29">
        <v>869</v>
      </c>
      <c r="F29" s="1">
        <f t="shared" si="8"/>
        <v>1581</v>
      </c>
      <c r="G29" s="1">
        <f t="shared" si="9"/>
        <v>869</v>
      </c>
      <c r="H29">
        <f t="shared" ref="H29" si="33">C29-C28</f>
        <v>17821</v>
      </c>
      <c r="I29">
        <f t="shared" ref="I29" si="34">D29-D28</f>
        <v>372</v>
      </c>
      <c r="J29">
        <f t="shared" si="20"/>
        <v>188</v>
      </c>
      <c r="K29">
        <f t="shared" si="13"/>
        <v>26</v>
      </c>
      <c r="L29" s="38">
        <f t="shared" ca="1" si="2"/>
        <v>0.57997065297138661</v>
      </c>
      <c r="M29" s="38">
        <f t="shared" ca="1" si="11"/>
        <v>0.55414819506016466</v>
      </c>
    </row>
    <row r="30" spans="1:13" x14ac:dyDescent="0.3">
      <c r="A30" s="7">
        <v>43918</v>
      </c>
      <c r="B30" t="s">
        <v>12</v>
      </c>
      <c r="C30">
        <v>121478</v>
      </c>
      <c r="D30">
        <v>2026</v>
      </c>
      <c r="E30">
        <v>1072</v>
      </c>
      <c r="F30" s="1">
        <f t="shared" si="8"/>
        <v>2026</v>
      </c>
      <c r="G30" s="1">
        <f t="shared" si="9"/>
        <v>1072</v>
      </c>
      <c r="H30">
        <f t="shared" ref="H30" si="35">C30-C29</f>
        <v>19821</v>
      </c>
      <c r="I30">
        <f t="shared" ref="I30" si="36">D30-D29</f>
        <v>445</v>
      </c>
      <c r="J30">
        <f t="shared" si="20"/>
        <v>203</v>
      </c>
      <c r="K30">
        <f t="shared" si="13"/>
        <v>27</v>
      </c>
      <c r="L30" s="38">
        <f t="shared" ca="1" si="2"/>
        <v>0.57902257787939415</v>
      </c>
      <c r="M30" s="38">
        <f t="shared" ca="1" si="11"/>
        <v>0.58061060524906272</v>
      </c>
    </row>
    <row r="31" spans="1:13" x14ac:dyDescent="0.3">
      <c r="A31" s="7">
        <v>43919</v>
      </c>
      <c r="B31" t="s">
        <v>13</v>
      </c>
      <c r="C31">
        <v>140886</v>
      </c>
      <c r="D31">
        <v>2467</v>
      </c>
      <c r="E31">
        <v>2665</v>
      </c>
      <c r="F31" s="1">
        <f t="shared" si="8"/>
        <v>2467</v>
      </c>
      <c r="G31" s="1">
        <f t="shared" si="9"/>
        <v>2665</v>
      </c>
      <c r="H31">
        <f t="shared" ref="H31" si="37">C31-C30</f>
        <v>19408</v>
      </c>
      <c r="I31">
        <f t="shared" ref="I31" si="38">D31-D30</f>
        <v>441</v>
      </c>
      <c r="J31">
        <f t="shared" si="20"/>
        <v>1593</v>
      </c>
      <c r="K31">
        <f t="shared" si="13"/>
        <v>28</v>
      </c>
      <c r="L31" s="38">
        <f t="shared" ca="1" si="2"/>
        <v>0.53259930915371334</v>
      </c>
      <c r="M31" s="38">
        <f t="shared" ca="1" si="11"/>
        <v>0.46957820082120194</v>
      </c>
    </row>
    <row r="32" spans="1:13" x14ac:dyDescent="0.3">
      <c r="A32" s="7">
        <v>43920</v>
      </c>
      <c r="B32" t="s">
        <v>7</v>
      </c>
      <c r="C32">
        <v>161807</v>
      </c>
      <c r="D32">
        <v>2978</v>
      </c>
      <c r="E32">
        <v>5644</v>
      </c>
      <c r="F32" s="1">
        <f t="shared" si="8"/>
        <v>2978</v>
      </c>
      <c r="G32" s="1">
        <f t="shared" si="9"/>
        <v>5644</v>
      </c>
      <c r="H32">
        <f t="shared" ref="H32" si="39">C32-C31</f>
        <v>20921</v>
      </c>
      <c r="I32">
        <f t="shared" ref="I32" si="40">D32-D31</f>
        <v>511</v>
      </c>
      <c r="J32">
        <f t="shared" si="20"/>
        <v>2979</v>
      </c>
      <c r="K32">
        <f t="shared" si="13"/>
        <v>29</v>
      </c>
      <c r="L32" s="38">
        <f t="shared" ca="1" si="2"/>
        <v>0.46328562538892348</v>
      </c>
      <c r="M32" s="38">
        <f t="shared" ca="1" si="11"/>
        <v>0.34391925160019693</v>
      </c>
    </row>
    <row r="33" spans="1:13" x14ac:dyDescent="0.3">
      <c r="A33" s="7">
        <v>43921</v>
      </c>
      <c r="B33" t="s">
        <v>8</v>
      </c>
      <c r="C33">
        <v>188172</v>
      </c>
      <c r="D33">
        <v>3873</v>
      </c>
      <c r="E33">
        <v>7024</v>
      </c>
      <c r="F33" s="1">
        <f t="shared" si="8"/>
        <v>3873</v>
      </c>
      <c r="G33" s="1">
        <f t="shared" si="9"/>
        <v>7024</v>
      </c>
      <c r="H33">
        <f t="shared" ref="H33" si="41">C33-C32</f>
        <v>26365</v>
      </c>
      <c r="I33">
        <f t="shared" ref="I33" si="42">D33-D32</f>
        <v>895</v>
      </c>
      <c r="J33">
        <f t="shared" si="20"/>
        <v>1380</v>
      </c>
      <c r="K33">
        <f t="shared" si="13"/>
        <v>30</v>
      </c>
      <c r="L33" s="38">
        <f t="shared" ca="1" si="2"/>
        <v>0.49743128692525046</v>
      </c>
      <c r="M33" s="38">
        <f t="shared" ca="1" si="11"/>
        <v>0.37313131313131315</v>
      </c>
    </row>
    <row r="34" spans="1:13" x14ac:dyDescent="0.3">
      <c r="A34" s="7">
        <v>43922</v>
      </c>
      <c r="B34" t="s">
        <v>9</v>
      </c>
      <c r="C34">
        <v>215417</v>
      </c>
      <c r="D34">
        <v>5116</v>
      </c>
      <c r="E34">
        <v>8566</v>
      </c>
      <c r="F34" s="1">
        <f t="shared" si="8"/>
        <v>5116</v>
      </c>
      <c r="G34" s="1">
        <f t="shared" si="9"/>
        <v>8566</v>
      </c>
      <c r="H34">
        <f t="shared" ref="H34" si="43">C34-C33</f>
        <v>27245</v>
      </c>
      <c r="I34">
        <f t="shared" ref="I34" si="44">D34-D33</f>
        <v>1243</v>
      </c>
      <c r="J34">
        <f t="shared" si="20"/>
        <v>1542</v>
      </c>
      <c r="K34">
        <f t="shared" si="13"/>
        <v>31</v>
      </c>
      <c r="L34" s="38">
        <f t="shared" ca="1" si="2"/>
        <v>0.37397660818713452</v>
      </c>
      <c r="M34" s="38">
        <f t="shared" ca="1" si="11"/>
        <v>0.30766550522648084</v>
      </c>
    </row>
    <row r="35" spans="1:13" x14ac:dyDescent="0.3">
      <c r="A35" s="7">
        <v>43923</v>
      </c>
      <c r="B35" t="s">
        <v>10</v>
      </c>
      <c r="C35">
        <v>243453</v>
      </c>
      <c r="D35">
        <v>5926</v>
      </c>
      <c r="E35">
        <v>9001</v>
      </c>
      <c r="F35" s="1">
        <f t="shared" si="8"/>
        <v>5926</v>
      </c>
      <c r="G35" s="1">
        <f t="shared" si="9"/>
        <v>9001</v>
      </c>
      <c r="H35">
        <f t="shared" ref="H35" si="45">C35-C34</f>
        <v>28036</v>
      </c>
      <c r="I35">
        <f t="shared" ref="I35" si="46">D35-D34</f>
        <v>810</v>
      </c>
      <c r="J35">
        <f t="shared" si="20"/>
        <v>435</v>
      </c>
      <c r="K35">
        <f t="shared" si="13"/>
        <v>32</v>
      </c>
      <c r="L35" s="38">
        <f t="shared" ref="L35:L56" ca="1" si="47">IFERROR(D35/OFFSET(C35,-$L$1,0), "insufficient data")</f>
        <v>0.3102455368828857</v>
      </c>
      <c r="M35" s="38">
        <f t="shared" ca="1" si="11"/>
        <v>0.17130571212737522</v>
      </c>
    </row>
    <row r="36" spans="1:13" x14ac:dyDescent="0.3">
      <c r="A36" s="7">
        <v>43924</v>
      </c>
      <c r="B36" t="s">
        <v>11</v>
      </c>
      <c r="C36">
        <v>275586</v>
      </c>
      <c r="D36">
        <v>7087</v>
      </c>
      <c r="E36">
        <v>9707</v>
      </c>
      <c r="F36" s="1">
        <f t="shared" si="8"/>
        <v>7087</v>
      </c>
      <c r="G36" s="1">
        <f t="shared" si="9"/>
        <v>9707</v>
      </c>
      <c r="H36">
        <f t="shared" ref="H36" si="48">C36-C35</f>
        <v>32133</v>
      </c>
      <c r="I36">
        <f t="shared" ref="I36:J51" si="49">D36-D35</f>
        <v>1161</v>
      </c>
      <c r="J36">
        <f t="shared" si="49"/>
        <v>706</v>
      </c>
      <c r="K36">
        <f t="shared" si="13"/>
        <v>33</v>
      </c>
      <c r="L36" s="38">
        <f t="shared" ca="1" si="47"/>
        <v>0.27799788177146667</v>
      </c>
      <c r="M36" s="38">
        <f t="shared" ca="1" si="11"/>
        <v>0.18649181849831728</v>
      </c>
    </row>
    <row r="37" spans="1:13" x14ac:dyDescent="0.3">
      <c r="A37" s="7">
        <v>43925</v>
      </c>
      <c r="B37" t="s">
        <v>12</v>
      </c>
      <c r="C37">
        <v>308850</v>
      </c>
      <c r="D37">
        <v>8407</v>
      </c>
      <c r="E37">
        <v>14652</v>
      </c>
      <c r="F37" s="1">
        <f t="shared" si="8"/>
        <v>8407</v>
      </c>
      <c r="G37" s="1">
        <f t="shared" si="9"/>
        <v>14652</v>
      </c>
      <c r="H37">
        <f t="shared" ref="H37" si="50">C37-C36</f>
        <v>33264</v>
      </c>
      <c r="I37">
        <f t="shared" ref="I37" si="51">D37-D36</f>
        <v>1320</v>
      </c>
      <c r="J37">
        <f t="shared" si="49"/>
        <v>4945</v>
      </c>
      <c r="K37">
        <f t="shared" si="13"/>
        <v>34</v>
      </c>
      <c r="L37" s="38">
        <f t="shared" ca="1" si="47"/>
        <v>0.25264454862363267</v>
      </c>
      <c r="M37" s="38">
        <f t="shared" ca="1" si="11"/>
        <v>0.16001361404191181</v>
      </c>
    </row>
    <row r="38" spans="1:13" x14ac:dyDescent="0.3">
      <c r="A38" s="7">
        <v>43926</v>
      </c>
      <c r="B38" t="s">
        <v>13</v>
      </c>
      <c r="C38">
        <v>337072</v>
      </c>
      <c r="D38">
        <v>9619</v>
      </c>
      <c r="E38">
        <v>17448</v>
      </c>
      <c r="F38" s="1">
        <f t="shared" si="8"/>
        <v>9619</v>
      </c>
      <c r="G38" s="1">
        <f t="shared" si="9"/>
        <v>17448</v>
      </c>
      <c r="H38">
        <f t="shared" ref="H38" si="52">C38-C37</f>
        <v>28222</v>
      </c>
      <c r="I38">
        <f t="shared" ref="I38" si="53">D38-D37</f>
        <v>1212</v>
      </c>
      <c r="J38">
        <f t="shared" si="49"/>
        <v>2796</v>
      </c>
      <c r="K38">
        <f t="shared" si="13"/>
        <v>35</v>
      </c>
      <c r="L38" s="38">
        <f t="shared" ca="1" si="47"/>
        <v>0.22028076121556325</v>
      </c>
      <c r="M38" s="38">
        <f t="shared" ca="1" si="11"/>
        <v>0.14227376044997495</v>
      </c>
    </row>
    <row r="39" spans="1:13" x14ac:dyDescent="0.3">
      <c r="A39" s="7">
        <v>43927</v>
      </c>
      <c r="B39" t="s">
        <v>7</v>
      </c>
      <c r="C39">
        <v>366667</v>
      </c>
      <c r="D39">
        <v>10783</v>
      </c>
      <c r="E39">
        <v>19581</v>
      </c>
      <c r="F39" s="1">
        <f t="shared" si="8"/>
        <v>10783</v>
      </c>
      <c r="G39" s="1">
        <f t="shared" si="9"/>
        <v>19581</v>
      </c>
      <c r="H39">
        <f t="shared" ref="H39" si="54">C39-C38</f>
        <v>29595</v>
      </c>
      <c r="I39">
        <f t="shared" ref="I39" si="55">D39-D38</f>
        <v>1164</v>
      </c>
      <c r="J39">
        <f t="shared" si="49"/>
        <v>2133</v>
      </c>
      <c r="K39">
        <f t="shared" si="13"/>
        <v>36</v>
      </c>
      <c r="L39" s="38">
        <f t="shared" ca="1" si="47"/>
        <v>0.20065128395980647</v>
      </c>
      <c r="M39" s="38">
        <f t="shared" ca="1" si="11"/>
        <v>0.11978609625668449</v>
      </c>
    </row>
    <row r="40" spans="1:13" x14ac:dyDescent="0.3">
      <c r="A40" s="7">
        <v>43928</v>
      </c>
      <c r="B40" t="s">
        <v>8</v>
      </c>
      <c r="C40">
        <v>396223</v>
      </c>
      <c r="D40">
        <v>12722</v>
      </c>
      <c r="E40">
        <v>21763</v>
      </c>
      <c r="F40" s="1">
        <f t="shared" si="8"/>
        <v>12722</v>
      </c>
      <c r="G40" s="1">
        <f t="shared" si="9"/>
        <v>21763</v>
      </c>
      <c r="H40">
        <f t="shared" ref="H40" si="56">C40-C39</f>
        <v>29556</v>
      </c>
      <c r="I40">
        <f t="shared" ref="I40" si="57">D40-D39</f>
        <v>1939</v>
      </c>
      <c r="J40">
        <f t="shared" si="49"/>
        <v>2182</v>
      </c>
      <c r="K40">
        <f t="shared" si="13"/>
        <v>37</v>
      </c>
      <c r="L40" s="38">
        <f t="shared" ca="1" si="47"/>
        <v>0.19340813037793791</v>
      </c>
      <c r="M40" s="38">
        <f t="shared" ca="1" si="11"/>
        <v>0.13407283122048222</v>
      </c>
    </row>
    <row r="41" spans="1:13" x14ac:dyDescent="0.3">
      <c r="A41" s="7">
        <v>43929</v>
      </c>
      <c r="B41" t="s">
        <v>9</v>
      </c>
      <c r="C41">
        <v>429052</v>
      </c>
      <c r="D41">
        <v>14695</v>
      </c>
      <c r="E41">
        <v>23559</v>
      </c>
      <c r="F41" s="1">
        <f t="shared" si="8"/>
        <v>14695</v>
      </c>
      <c r="G41" s="1">
        <f t="shared" si="9"/>
        <v>23559</v>
      </c>
      <c r="H41">
        <f t="shared" ref="H41" si="58">C41-C40</f>
        <v>32829</v>
      </c>
      <c r="I41">
        <f t="shared" ref="I41" si="59">D41-D40</f>
        <v>1973</v>
      </c>
      <c r="J41">
        <f t="shared" si="49"/>
        <v>1796</v>
      </c>
      <c r="K41">
        <f t="shared" si="13"/>
        <v>38</v>
      </c>
      <c r="L41" s="38">
        <f t="shared" ca="1" si="47"/>
        <v>0.17528269478505654</v>
      </c>
      <c r="M41" s="38">
        <f t="shared" ca="1" si="11"/>
        <v>0.12047277732947263</v>
      </c>
    </row>
    <row r="42" spans="1:13" x14ac:dyDescent="0.3">
      <c r="A42" s="7">
        <v>43930</v>
      </c>
      <c r="B42" t="s">
        <v>10</v>
      </c>
      <c r="C42">
        <v>461437</v>
      </c>
      <c r="D42">
        <v>16478</v>
      </c>
      <c r="E42">
        <v>25410</v>
      </c>
      <c r="F42" s="1">
        <f t="shared" si="8"/>
        <v>16478</v>
      </c>
      <c r="G42" s="1">
        <f t="shared" si="9"/>
        <v>25410</v>
      </c>
      <c r="H42">
        <f t="shared" ref="H42" si="60">C42-C41</f>
        <v>32385</v>
      </c>
      <c r="I42">
        <f t="shared" ref="I42" si="61">D42-D41</f>
        <v>1783</v>
      </c>
      <c r="J42">
        <f t="shared" si="49"/>
        <v>1851</v>
      </c>
      <c r="K42">
        <f t="shared" si="13"/>
        <v>39</v>
      </c>
      <c r="L42" s="38">
        <f t="shared" ca="1" si="47"/>
        <v>0.16209410075056316</v>
      </c>
      <c r="M42" s="38">
        <f t="shared" ca="1" si="11"/>
        <v>0.10558614680089734</v>
      </c>
    </row>
    <row r="43" spans="1:13" x14ac:dyDescent="0.3">
      <c r="A43" s="7">
        <v>43931</v>
      </c>
      <c r="B43" t="s">
        <v>11</v>
      </c>
      <c r="C43">
        <v>496535</v>
      </c>
      <c r="D43">
        <v>18586</v>
      </c>
      <c r="E43">
        <v>28790</v>
      </c>
      <c r="F43" s="1">
        <f t="shared" si="8"/>
        <v>18586</v>
      </c>
      <c r="G43" s="1">
        <f t="shared" si="9"/>
        <v>28790</v>
      </c>
      <c r="H43">
        <f t="shared" ref="H43" si="62">C43-C42</f>
        <v>35098</v>
      </c>
      <c r="I43">
        <f t="shared" ref="I43" si="63">D43-D42</f>
        <v>2108</v>
      </c>
      <c r="J43">
        <f t="shared" si="49"/>
        <v>3380</v>
      </c>
      <c r="K43">
        <f t="shared" si="13"/>
        <v>40</v>
      </c>
      <c r="L43" s="38">
        <f t="shared" ca="1" si="47"/>
        <v>0.15299889691960683</v>
      </c>
      <c r="M43" s="38">
        <f t="shared" ca="1" si="11"/>
        <v>0.10572814308638191</v>
      </c>
    </row>
    <row r="44" spans="1:13" x14ac:dyDescent="0.3">
      <c r="A44" s="7">
        <v>43932</v>
      </c>
      <c r="B44" t="s">
        <v>12</v>
      </c>
      <c r="C44">
        <v>526396</v>
      </c>
      <c r="D44">
        <v>20463</v>
      </c>
      <c r="E44">
        <v>31270</v>
      </c>
      <c r="F44" s="1">
        <f t="shared" si="8"/>
        <v>20463</v>
      </c>
      <c r="G44" s="1">
        <f t="shared" si="9"/>
        <v>31270</v>
      </c>
      <c r="H44">
        <f t="shared" ref="H44" si="64">C44-C43</f>
        <v>29861</v>
      </c>
      <c r="I44">
        <f t="shared" ref="I44" si="65">D44-D43</f>
        <v>1877</v>
      </c>
      <c r="J44">
        <f t="shared" si="49"/>
        <v>2480</v>
      </c>
      <c r="K44">
        <f t="shared" si="13"/>
        <v>41</v>
      </c>
      <c r="L44" s="38">
        <f t="shared" ca="1" si="47"/>
        <v>0.1452450917763298</v>
      </c>
      <c r="M44" s="38">
        <f t="shared" ca="1" si="11"/>
        <v>9.7679932260795937E-2</v>
      </c>
    </row>
    <row r="45" spans="1:13" x14ac:dyDescent="0.3">
      <c r="A45" s="7">
        <v>43933</v>
      </c>
      <c r="B45" t="s">
        <v>13</v>
      </c>
      <c r="C45">
        <v>555313</v>
      </c>
      <c r="D45">
        <v>22020</v>
      </c>
      <c r="E45">
        <v>32988</v>
      </c>
      <c r="F45" s="1">
        <f t="shared" si="8"/>
        <v>22020</v>
      </c>
      <c r="G45" s="1">
        <f t="shared" si="9"/>
        <v>32988</v>
      </c>
      <c r="H45">
        <f t="shared" ref="H45" si="66">C45-C44</f>
        <v>28917</v>
      </c>
      <c r="I45">
        <f t="shared" ref="I45" si="67">D45-D44</f>
        <v>1557</v>
      </c>
      <c r="J45">
        <f t="shared" si="49"/>
        <v>1718</v>
      </c>
      <c r="K45">
        <f t="shared" si="13"/>
        <v>42</v>
      </c>
      <c r="L45" s="38">
        <f t="shared" ca="1" si="47"/>
        <v>0.13608805552293782</v>
      </c>
      <c r="M45" s="38">
        <f t="shared" ca="1" si="11"/>
        <v>9.2773323066106431E-2</v>
      </c>
    </row>
    <row r="46" spans="1:13" x14ac:dyDescent="0.3">
      <c r="A46" s="7">
        <v>43934</v>
      </c>
      <c r="B46" t="s">
        <v>7</v>
      </c>
      <c r="C46">
        <v>580619</v>
      </c>
      <c r="D46">
        <v>23529</v>
      </c>
      <c r="E46">
        <v>43482</v>
      </c>
      <c r="F46" s="1">
        <f t="shared" si="8"/>
        <v>23529</v>
      </c>
      <c r="G46" s="1">
        <f t="shared" si="9"/>
        <v>43482</v>
      </c>
      <c r="H46">
        <f t="shared" ref="H46" si="68">C46-C45</f>
        <v>25306</v>
      </c>
      <c r="I46">
        <f t="shared" ref="I46" si="69">D46-D45</f>
        <v>1509</v>
      </c>
      <c r="J46">
        <f t="shared" si="49"/>
        <v>10494</v>
      </c>
      <c r="K46">
        <f t="shared" si="13"/>
        <v>43</v>
      </c>
      <c r="L46" s="38">
        <f t="shared" ca="1" si="47"/>
        <v>0.12503985715196736</v>
      </c>
      <c r="M46" s="38">
        <f t="shared" ca="1" si="11"/>
        <v>7.2470567537056316E-2</v>
      </c>
    </row>
    <row r="47" spans="1:13" x14ac:dyDescent="0.3">
      <c r="A47" s="7">
        <v>43935</v>
      </c>
      <c r="B47" t="s">
        <v>8</v>
      </c>
      <c r="C47">
        <v>607670</v>
      </c>
      <c r="D47">
        <v>25832</v>
      </c>
      <c r="E47">
        <v>47763</v>
      </c>
      <c r="F47" s="1">
        <f t="shared" si="8"/>
        <v>25832</v>
      </c>
      <c r="G47" s="1">
        <f t="shared" si="9"/>
        <v>47763</v>
      </c>
      <c r="H47">
        <f t="shared" ref="H47" si="70">C47-C46</f>
        <v>27051</v>
      </c>
      <c r="I47">
        <f t="shared" ref="I47" si="71">D47-D46</f>
        <v>2303</v>
      </c>
      <c r="J47">
        <f t="shared" si="49"/>
        <v>4281</v>
      </c>
      <c r="K47">
        <f t="shared" si="13"/>
        <v>44</v>
      </c>
      <c r="L47" s="38">
        <f t="shared" ca="1" si="47"/>
        <v>0.11991625544873431</v>
      </c>
      <c r="M47" s="38">
        <f t="shared" ca="1" si="11"/>
        <v>6.7133479212253835E-2</v>
      </c>
    </row>
    <row r="48" spans="1:13" x14ac:dyDescent="0.3">
      <c r="A48" s="7">
        <v>43936</v>
      </c>
      <c r="B48" t="s">
        <v>9</v>
      </c>
      <c r="C48">
        <v>636350</v>
      </c>
      <c r="D48">
        <v>28326</v>
      </c>
      <c r="E48">
        <v>52096</v>
      </c>
      <c r="F48" s="1">
        <f t="shared" si="8"/>
        <v>28326</v>
      </c>
      <c r="G48" s="1">
        <f t="shared" si="9"/>
        <v>52096</v>
      </c>
      <c r="H48">
        <f t="shared" ref="H48" si="72">C48-C47</f>
        <v>28680</v>
      </c>
      <c r="I48">
        <f t="shared" ref="I48" si="73">D48-D47</f>
        <v>2494</v>
      </c>
      <c r="J48">
        <f t="shared" si="49"/>
        <v>4333</v>
      </c>
      <c r="K48">
        <f t="shared" si="13"/>
        <v>45</v>
      </c>
      <c r="L48" s="38">
        <f t="shared" ca="1" si="47"/>
        <v>0.1163509999876773</v>
      </c>
      <c r="M48" s="38">
        <f t="shared" ca="1" si="11"/>
        <v>7.6412282189855324E-2</v>
      </c>
    </row>
    <row r="49" spans="1:13" x14ac:dyDescent="0.3">
      <c r="A49" s="7">
        <v>43937</v>
      </c>
      <c r="B49" t="s">
        <v>10</v>
      </c>
      <c r="C49">
        <v>667801</v>
      </c>
      <c r="D49">
        <v>32917</v>
      </c>
      <c r="E49">
        <v>54703</v>
      </c>
      <c r="F49" s="1">
        <f t="shared" si="8"/>
        <v>32917</v>
      </c>
      <c r="G49" s="1">
        <f t="shared" si="9"/>
        <v>54703</v>
      </c>
      <c r="H49">
        <f t="shared" ref="H49" si="74">C49-C48</f>
        <v>31451</v>
      </c>
      <c r="I49">
        <f t="shared" ref="I49" si="75">D49-D48</f>
        <v>4591</v>
      </c>
      <c r="J49">
        <f t="shared" si="49"/>
        <v>2607</v>
      </c>
      <c r="K49">
        <f t="shared" si="13"/>
        <v>46</v>
      </c>
      <c r="L49" s="38">
        <f t="shared" ca="1" si="47"/>
        <v>0.11944365824098467</v>
      </c>
      <c r="M49" s="38">
        <f t="shared" ca="1" si="11"/>
        <v>0.10643387563063318</v>
      </c>
    </row>
    <row r="50" spans="1:13" x14ac:dyDescent="0.3">
      <c r="A50" s="7">
        <v>43938</v>
      </c>
      <c r="B50" t="s">
        <v>11</v>
      </c>
      <c r="C50">
        <v>699706</v>
      </c>
      <c r="D50">
        <v>36773</v>
      </c>
      <c r="E50">
        <v>58545</v>
      </c>
      <c r="F50" s="1">
        <f t="shared" si="8"/>
        <v>36773</v>
      </c>
      <c r="G50" s="1">
        <f t="shared" si="9"/>
        <v>58545</v>
      </c>
      <c r="H50">
        <f t="shared" ref="H50" si="76">C50-C49</f>
        <v>31905</v>
      </c>
      <c r="I50">
        <f t="shared" ref="I50" si="77">D50-D49</f>
        <v>3856</v>
      </c>
      <c r="J50">
        <f t="shared" si="49"/>
        <v>3842</v>
      </c>
      <c r="K50">
        <f t="shared" si="13"/>
        <v>47</v>
      </c>
      <c r="L50" s="38">
        <f t="shared" ca="1" si="47"/>
        <v>0.11906427068156063</v>
      </c>
      <c r="M50" s="38">
        <f t="shared" ca="1" si="11"/>
        <v>0.11218086742540757</v>
      </c>
    </row>
    <row r="51" spans="1:13" x14ac:dyDescent="0.3">
      <c r="A51" s="7">
        <v>43939</v>
      </c>
      <c r="B51" t="s">
        <v>12</v>
      </c>
      <c r="C51">
        <v>732197</v>
      </c>
      <c r="D51">
        <v>38664</v>
      </c>
      <c r="E51">
        <v>64840</v>
      </c>
      <c r="F51" s="1">
        <f t="shared" si="8"/>
        <v>38664</v>
      </c>
      <c r="G51" s="1">
        <f t="shared" si="9"/>
        <v>64840</v>
      </c>
      <c r="H51">
        <f t="shared" ref="H51" si="78">C51-C50</f>
        <v>32491</v>
      </c>
      <c r="I51">
        <f t="shared" ref="I51" si="79">D51-D50</f>
        <v>1891</v>
      </c>
      <c r="J51">
        <f t="shared" si="49"/>
        <v>6295</v>
      </c>
      <c r="K51">
        <f t="shared" si="13"/>
        <v>48</v>
      </c>
      <c r="L51" s="38">
        <f t="shared" ca="1" si="47"/>
        <v>0.11470546352114681</v>
      </c>
      <c r="M51" s="38">
        <f t="shared" ca="1" si="11"/>
        <v>0.10910817941952507</v>
      </c>
    </row>
    <row r="52" spans="1:13" x14ac:dyDescent="0.3">
      <c r="A52" s="7">
        <v>43940</v>
      </c>
      <c r="B52" t="s">
        <v>13</v>
      </c>
      <c r="C52">
        <v>759086</v>
      </c>
      <c r="D52">
        <v>40661</v>
      </c>
      <c r="E52">
        <v>70337</v>
      </c>
      <c r="F52" s="1">
        <f t="shared" si="8"/>
        <v>40661</v>
      </c>
      <c r="G52" s="1">
        <f t="shared" si="9"/>
        <v>70337</v>
      </c>
      <c r="H52">
        <f t="shared" ref="H52" si="80">C52-C51</f>
        <v>26889</v>
      </c>
      <c r="I52">
        <f t="shared" ref="I52:J66" si="81">D52-D51</f>
        <v>1997</v>
      </c>
      <c r="J52">
        <f t="shared" si="81"/>
        <v>5497</v>
      </c>
      <c r="K52">
        <f t="shared" si="13"/>
        <v>49</v>
      </c>
      <c r="L52" s="38">
        <f t="shared" ca="1" si="47"/>
        <v>0.11089353555133132</v>
      </c>
      <c r="M52" s="38">
        <f t="shared" ca="1" si="11"/>
        <v>9.0005695091760707E-2</v>
      </c>
    </row>
    <row r="53" spans="1:13" x14ac:dyDescent="0.3">
      <c r="A53" s="7">
        <v>43941</v>
      </c>
      <c r="B53" t="s">
        <v>7</v>
      </c>
      <c r="C53">
        <v>784326</v>
      </c>
      <c r="D53">
        <v>42094</v>
      </c>
      <c r="E53">
        <v>72329</v>
      </c>
      <c r="F53" s="1">
        <f t="shared" si="8"/>
        <v>42094</v>
      </c>
      <c r="G53" s="1">
        <f t="shared" si="9"/>
        <v>72329</v>
      </c>
      <c r="H53">
        <f t="shared" ref="H53" si="82">C53-C52</f>
        <v>25240</v>
      </c>
      <c r="I53">
        <f t="shared" ref="I53" si="83">D53-D52</f>
        <v>1433</v>
      </c>
      <c r="J53">
        <f t="shared" si="81"/>
        <v>1992</v>
      </c>
      <c r="K53">
        <f t="shared" si="13"/>
        <v>50</v>
      </c>
      <c r="L53" s="38">
        <f t="shared" ca="1" si="47"/>
        <v>0.10623815376694437</v>
      </c>
      <c r="M53" s="38">
        <f t="shared" ca="1" si="11"/>
        <v>5.9957631893268429E-2</v>
      </c>
    </row>
    <row r="54" spans="1:13" x14ac:dyDescent="0.3">
      <c r="A54" s="7">
        <v>43942</v>
      </c>
      <c r="B54" t="s">
        <v>8</v>
      </c>
      <c r="C54">
        <v>811865</v>
      </c>
      <c r="D54">
        <v>44444</v>
      </c>
      <c r="E54">
        <v>75204</v>
      </c>
      <c r="F54" s="1">
        <f t="shared" si="8"/>
        <v>44444</v>
      </c>
      <c r="G54" s="1">
        <f t="shared" si="9"/>
        <v>75204</v>
      </c>
      <c r="H54">
        <f t="shared" ref="H54:H55" si="84">C54-C53</f>
        <v>27539</v>
      </c>
      <c r="I54">
        <f t="shared" ref="I54:I55" si="85">D54-D53</f>
        <v>2350</v>
      </c>
      <c r="J54">
        <f t="shared" si="81"/>
        <v>2875</v>
      </c>
      <c r="K54">
        <f t="shared" si="13"/>
        <v>51</v>
      </c>
      <c r="L54" s="38">
        <f t="shared" ca="1" si="47"/>
        <v>0.10358651165826054</v>
      </c>
      <c r="M54" s="38">
        <f t="shared" ca="1" si="11"/>
        <v>6.2866403454389222E-2</v>
      </c>
    </row>
    <row r="55" spans="1:13" x14ac:dyDescent="0.3">
      <c r="A55" s="7">
        <v>43943</v>
      </c>
      <c r="B55" t="s">
        <v>9</v>
      </c>
      <c r="C55">
        <v>840220</v>
      </c>
      <c r="D55">
        <v>46622</v>
      </c>
      <c r="E55">
        <v>77366</v>
      </c>
      <c r="F55" s="1">
        <f t="shared" si="8"/>
        <v>46622</v>
      </c>
      <c r="G55" s="1">
        <f t="shared" si="9"/>
        <v>77366</v>
      </c>
      <c r="H55">
        <f t="shared" si="84"/>
        <v>28355</v>
      </c>
      <c r="I55">
        <f t="shared" si="85"/>
        <v>2178</v>
      </c>
      <c r="J55">
        <f t="shared" si="81"/>
        <v>2162</v>
      </c>
      <c r="K55">
        <f t="shared" si="13"/>
        <v>52</v>
      </c>
      <c r="L55" s="38">
        <f t="shared" ca="1" si="47"/>
        <v>0.10103654453370665</v>
      </c>
      <c r="M55" s="38">
        <f t="shared" ca="1" si="11"/>
        <v>6.0799853125669351E-2</v>
      </c>
    </row>
    <row r="56" spans="1:13" x14ac:dyDescent="0.3">
      <c r="A56" s="7">
        <v>43944</v>
      </c>
      <c r="B56" t="s">
        <v>10</v>
      </c>
      <c r="C56">
        <v>869170</v>
      </c>
      <c r="D56">
        <v>49954</v>
      </c>
      <c r="E56">
        <v>80203</v>
      </c>
      <c r="F56" s="1">
        <f t="shared" ref="F56" si="86">D56*$F$1</f>
        <v>49954</v>
      </c>
      <c r="G56" s="1">
        <f t="shared" ref="G56" si="87">E56*$G$1</f>
        <v>80203</v>
      </c>
      <c r="H56">
        <f t="shared" ref="H56" si="88">C56-C55</f>
        <v>28950</v>
      </c>
      <c r="I56">
        <f t="shared" ref="I56" si="89">D56-D55</f>
        <v>3332</v>
      </c>
      <c r="J56">
        <f t="shared" si="81"/>
        <v>2837</v>
      </c>
      <c r="K56">
        <f t="shared" si="13"/>
        <v>53</v>
      </c>
      <c r="L56" s="38">
        <f t="shared" ca="1" si="47"/>
        <v>0.10060519399438106</v>
      </c>
      <c r="M56" s="38">
        <f t="shared" ca="1" si="11"/>
        <v>7.8703889133656432E-2</v>
      </c>
    </row>
    <row r="57" spans="1:13" x14ac:dyDescent="0.3">
      <c r="A57" s="7">
        <v>43945</v>
      </c>
      <c r="B57" t="s">
        <v>11</v>
      </c>
      <c r="C57">
        <v>905333</v>
      </c>
      <c r="D57">
        <v>51949</v>
      </c>
      <c r="E57">
        <v>99079</v>
      </c>
      <c r="F57" s="1">
        <f t="shared" ref="F57" si="90">D57*$F$1</f>
        <v>51949</v>
      </c>
      <c r="G57" s="1">
        <f t="shared" ref="G57" si="91">E57*$G$1</f>
        <v>99079</v>
      </c>
      <c r="H57">
        <f t="shared" ref="H57" si="92">C57-C56</f>
        <v>36163</v>
      </c>
      <c r="I57">
        <f t="shared" ref="I57" si="93">D57-D56</f>
        <v>1995</v>
      </c>
      <c r="J57">
        <f t="shared" si="81"/>
        <v>18876</v>
      </c>
      <c r="K57">
        <f t="shared" si="13"/>
        <v>54</v>
      </c>
      <c r="L57" s="38">
        <f t="shared" ref="L57" ca="1" si="94">IFERROR(D57/OFFSET(C57,-$L$1,0), "insufficient data")</f>
        <v>9.8688059939665201E-2</v>
      </c>
      <c r="M57" s="38">
        <f t="shared" ca="1" si="11"/>
        <v>7.5007245869854189E-2</v>
      </c>
    </row>
    <row r="58" spans="1:13" x14ac:dyDescent="0.3">
      <c r="A58" s="7">
        <v>43946</v>
      </c>
      <c r="B58" t="s">
        <v>12</v>
      </c>
      <c r="C58">
        <v>938154</v>
      </c>
      <c r="D58">
        <v>53755</v>
      </c>
      <c r="E58">
        <v>100372</v>
      </c>
      <c r="F58" s="1">
        <f t="shared" ref="F58" si="95">D58*$F$1</f>
        <v>53755</v>
      </c>
      <c r="G58" s="1">
        <f t="shared" ref="G58" si="96">E58*$G$1</f>
        <v>100372</v>
      </c>
      <c r="H58">
        <f t="shared" ref="H58" si="97">C58-C57</f>
        <v>32821</v>
      </c>
      <c r="I58">
        <f t="shared" ref="I58" si="98">D58-D57</f>
        <v>1806</v>
      </c>
      <c r="J58">
        <f t="shared" si="81"/>
        <v>1293</v>
      </c>
      <c r="K58">
        <f t="shared" si="13"/>
        <v>55</v>
      </c>
      <c r="L58" s="38">
        <f t="shared" ref="L58" ca="1" si="99">IFERROR(D58/OFFSET(C58,-$L$1,0), "insufficient data")</f>
        <v>9.6801263431614243E-2</v>
      </c>
      <c r="M58" s="38">
        <f t="shared" ca="1" si="11"/>
        <v>8.0472478254492941E-2</v>
      </c>
    </row>
    <row r="59" spans="1:13" x14ac:dyDescent="0.3">
      <c r="A59" s="7">
        <v>43947</v>
      </c>
      <c r="B59" t="s">
        <v>13</v>
      </c>
      <c r="C59">
        <v>965783</v>
      </c>
      <c r="D59">
        <v>54881</v>
      </c>
      <c r="E59">
        <v>106988</v>
      </c>
      <c r="F59" s="1">
        <f t="shared" ref="F59:F63" si="100">D59*$F$1</f>
        <v>54881</v>
      </c>
      <c r="G59" s="1">
        <f t="shared" ref="G59:G63" si="101">E59*$G$1</f>
        <v>106988</v>
      </c>
      <c r="H59">
        <f t="shared" ref="H59:H63" si="102">C59-C58</f>
        <v>27629</v>
      </c>
      <c r="I59">
        <f t="shared" ref="I59:I63" si="103">D59-D58</f>
        <v>1126</v>
      </c>
      <c r="J59">
        <f t="shared" si="81"/>
        <v>6616</v>
      </c>
      <c r="K59">
        <f t="shared" si="13"/>
        <v>56</v>
      </c>
      <c r="L59" s="38">
        <f t="shared" ref="L59:L63" ca="1" si="104">IFERROR(D59/OFFSET(C59,-$L$1,0), "insufficient data")</f>
        <v>9.4521536498116662E-2</v>
      </c>
      <c r="M59" s="38">
        <f t="shared" ca="1" si="11"/>
        <v>5.9261486649025738E-2</v>
      </c>
    </row>
    <row r="60" spans="1:13" x14ac:dyDescent="0.3">
      <c r="A60" s="7">
        <v>43948</v>
      </c>
      <c r="B60" t="s">
        <v>7</v>
      </c>
      <c r="C60">
        <v>988197</v>
      </c>
      <c r="D60">
        <v>56259</v>
      </c>
      <c r="E60">
        <v>111424</v>
      </c>
      <c r="F60" s="1">
        <f t="shared" si="100"/>
        <v>56259</v>
      </c>
      <c r="G60" s="1">
        <f t="shared" si="101"/>
        <v>111424</v>
      </c>
      <c r="H60">
        <f t="shared" si="102"/>
        <v>22414</v>
      </c>
      <c r="I60">
        <f t="shared" si="103"/>
        <v>1378</v>
      </c>
      <c r="J60">
        <f t="shared" si="81"/>
        <v>4436</v>
      </c>
      <c r="K60">
        <f t="shared" si="13"/>
        <v>57</v>
      </c>
      <c r="L60" s="38">
        <f t="shared" ca="1" si="104"/>
        <v>9.2581499827208841E-2</v>
      </c>
      <c r="M60" s="38">
        <f t="shared" ca="1" si="11"/>
        <v>5.5496182223195085E-2</v>
      </c>
    </row>
    <row r="61" spans="1:13" x14ac:dyDescent="0.3">
      <c r="A61" s="7">
        <v>43949</v>
      </c>
      <c r="B61" t="s">
        <v>8</v>
      </c>
      <c r="C61">
        <v>1012582</v>
      </c>
      <c r="D61">
        <v>58355</v>
      </c>
      <c r="E61">
        <v>115936</v>
      </c>
      <c r="F61" s="1">
        <f t="shared" si="100"/>
        <v>58355</v>
      </c>
      <c r="G61" s="1">
        <f t="shared" si="101"/>
        <v>115936</v>
      </c>
      <c r="H61">
        <f t="shared" si="102"/>
        <v>24385</v>
      </c>
      <c r="I61">
        <f t="shared" si="103"/>
        <v>2096</v>
      </c>
      <c r="J61">
        <f t="shared" si="81"/>
        <v>4512</v>
      </c>
      <c r="K61">
        <f t="shared" si="13"/>
        <v>58</v>
      </c>
      <c r="L61" s="38">
        <f t="shared" ca="1" si="104"/>
        <v>9.1702679343128785E-2</v>
      </c>
      <c r="M61" s="38">
        <f t="shared" ca="1" si="11"/>
        <v>5.5567635476311272E-2</v>
      </c>
    </row>
    <row r="62" spans="1:13" x14ac:dyDescent="0.3">
      <c r="A62" s="7">
        <v>43950</v>
      </c>
      <c r="B62" t="s">
        <v>9</v>
      </c>
      <c r="C62">
        <v>1039909</v>
      </c>
      <c r="D62">
        <v>60967</v>
      </c>
      <c r="E62">
        <v>120720</v>
      </c>
      <c r="F62" s="1">
        <f t="shared" si="100"/>
        <v>60967</v>
      </c>
      <c r="G62" s="1">
        <f t="shared" si="101"/>
        <v>120720</v>
      </c>
      <c r="H62">
        <f t="shared" si="102"/>
        <v>27327</v>
      </c>
      <c r="I62">
        <f t="shared" si="103"/>
        <v>2612</v>
      </c>
      <c r="J62">
        <f t="shared" si="81"/>
        <v>4784</v>
      </c>
      <c r="K62">
        <f t="shared" si="13"/>
        <v>59</v>
      </c>
      <c r="L62" s="38">
        <f t="shared" ca="1" si="104"/>
        <v>9.1295161283076839E-2</v>
      </c>
      <c r="M62" s="38">
        <f t="shared" ca="1" si="11"/>
        <v>6.8527547263289454E-2</v>
      </c>
    </row>
    <row r="63" spans="1:13" x14ac:dyDescent="0.3">
      <c r="A63" s="7">
        <v>43951</v>
      </c>
      <c r="B63" t="s">
        <v>10</v>
      </c>
      <c r="C63">
        <v>1069424</v>
      </c>
      <c r="D63">
        <v>62996</v>
      </c>
      <c r="E63">
        <v>153947</v>
      </c>
      <c r="F63" s="1">
        <f t="shared" si="100"/>
        <v>62996</v>
      </c>
      <c r="G63" s="1">
        <f t="shared" si="101"/>
        <v>153947</v>
      </c>
      <c r="H63">
        <f t="shared" si="102"/>
        <v>29515</v>
      </c>
      <c r="I63">
        <f t="shared" si="103"/>
        <v>2029</v>
      </c>
      <c r="J63">
        <f t="shared" si="81"/>
        <v>33227</v>
      </c>
      <c r="K63">
        <f t="shared" si="13"/>
        <v>60</v>
      </c>
      <c r="L63" s="38">
        <f t="shared" ca="1" si="104"/>
        <v>9.0032099195948012E-2</v>
      </c>
      <c r="M63" s="38">
        <f t="shared" ca="1" si="11"/>
        <v>7.1060153786112842E-2</v>
      </c>
    </row>
    <row r="64" spans="1:13" x14ac:dyDescent="0.3">
      <c r="A64" s="7">
        <v>43952</v>
      </c>
      <c r="B64" t="s">
        <v>11</v>
      </c>
      <c r="C64">
        <v>1103461</v>
      </c>
      <c r="D64">
        <v>64943</v>
      </c>
      <c r="E64">
        <v>164015</v>
      </c>
      <c r="F64" s="1">
        <f t="shared" ref="F64:F66" si="105">D64*$F$1</f>
        <v>64943</v>
      </c>
      <c r="G64" s="1">
        <f t="shared" ref="G64:G66" si="106">E64*$G$1</f>
        <v>164015</v>
      </c>
      <c r="H64">
        <f t="shared" ref="H64:H66" si="107">C64-C63</f>
        <v>34037</v>
      </c>
      <c r="I64">
        <f t="shared" ref="I64:I66" si="108">D64-D63</f>
        <v>1947</v>
      </c>
      <c r="J64">
        <f t="shared" si="81"/>
        <v>10068</v>
      </c>
      <c r="K64">
        <f t="shared" si="13"/>
        <v>61</v>
      </c>
      <c r="L64" s="38">
        <f t="shared" ref="L64:L66" ca="1" si="109">IFERROR(D64/OFFSET(C64,-$L$1,0), "insufficient data")</f>
        <v>8.8696074963431973E-2</v>
      </c>
      <c r="M64" s="38">
        <f t="shared" ca="1" si="11"/>
        <v>6.8410504563815533E-2</v>
      </c>
    </row>
    <row r="65" spans="1:13" x14ac:dyDescent="0.3">
      <c r="A65" s="7">
        <v>43953</v>
      </c>
      <c r="B65" t="s">
        <v>12</v>
      </c>
      <c r="C65">
        <v>1132539</v>
      </c>
      <c r="D65">
        <v>66369</v>
      </c>
      <c r="E65">
        <v>175382</v>
      </c>
      <c r="F65" s="1">
        <f t="shared" si="105"/>
        <v>66369</v>
      </c>
      <c r="G65" s="1">
        <f t="shared" si="106"/>
        <v>175382</v>
      </c>
      <c r="H65">
        <f t="shared" si="107"/>
        <v>29078</v>
      </c>
      <c r="I65">
        <f t="shared" si="108"/>
        <v>1426</v>
      </c>
      <c r="J65">
        <f t="shared" si="81"/>
        <v>11367</v>
      </c>
      <c r="K65">
        <f t="shared" si="13"/>
        <v>62</v>
      </c>
      <c r="L65" s="38">
        <f t="shared" ca="1" si="109"/>
        <v>8.7432781002416068E-2</v>
      </c>
      <c r="M65" s="38">
        <f t="shared" ca="1" si="11"/>
        <v>5.8799838904550948E-2</v>
      </c>
    </row>
    <row r="66" spans="1:13" x14ac:dyDescent="0.3">
      <c r="A66" s="7">
        <v>43954</v>
      </c>
      <c r="B66" t="s">
        <v>13</v>
      </c>
      <c r="C66">
        <v>1158040</v>
      </c>
      <c r="D66">
        <v>67682</v>
      </c>
      <c r="E66">
        <v>180152</v>
      </c>
      <c r="F66" s="1">
        <f t="shared" si="105"/>
        <v>67682</v>
      </c>
      <c r="G66" s="1">
        <f t="shared" si="106"/>
        <v>180152</v>
      </c>
      <c r="H66">
        <f t="shared" si="107"/>
        <v>25501</v>
      </c>
      <c r="I66">
        <f t="shared" si="108"/>
        <v>1313</v>
      </c>
      <c r="J66">
        <f t="shared" si="81"/>
        <v>4770</v>
      </c>
      <c r="K66">
        <f t="shared" si="13"/>
        <v>63</v>
      </c>
      <c r="L66" s="38">
        <f t="shared" ca="1" si="109"/>
        <v>8.6293199511427651E-2</v>
      </c>
      <c r="M66" s="38">
        <f t="shared" ca="1" si="11"/>
        <v>5.930294363309626E-2</v>
      </c>
    </row>
    <row r="67" spans="1:13" x14ac:dyDescent="0.3">
      <c r="A67" s="7">
        <v>43955</v>
      </c>
      <c r="B67" t="s">
        <v>7</v>
      </c>
      <c r="C67">
        <v>1180375</v>
      </c>
      <c r="D67">
        <v>68922</v>
      </c>
      <c r="E67">
        <v>187180</v>
      </c>
      <c r="F67" s="1">
        <f t="shared" ref="F67:F68" si="110">D67*$F$1</f>
        <v>68922</v>
      </c>
      <c r="G67" s="1">
        <f t="shared" ref="G67:G68" si="111">E67*$G$1</f>
        <v>187180</v>
      </c>
      <c r="H67">
        <f t="shared" ref="H67:H68" si="112">C67-C66</f>
        <v>22335</v>
      </c>
      <c r="I67">
        <f t="shared" ref="I67:I68" si="113">D67-D66</f>
        <v>1240</v>
      </c>
      <c r="J67">
        <f t="shared" ref="J67:J68" si="114">E67-E66</f>
        <v>7028</v>
      </c>
      <c r="K67">
        <f t="shared" si="13"/>
        <v>64</v>
      </c>
      <c r="L67" s="38">
        <f t="shared" ref="L67:L68" ca="1" si="115">IFERROR(D67/OFFSET(C67,-$L$1,0), "insufficient data")</f>
        <v>8.4893424399376749E-2</v>
      </c>
      <c r="M67" s="38">
        <f t="shared" ca="1" si="11"/>
        <v>5.1000397339109702E-2</v>
      </c>
    </row>
    <row r="68" spans="1:13" x14ac:dyDescent="0.3">
      <c r="A68" s="7">
        <v>43956</v>
      </c>
      <c r="B68" t="s">
        <v>8</v>
      </c>
      <c r="C68">
        <v>1204351</v>
      </c>
      <c r="D68">
        <v>71064</v>
      </c>
      <c r="E68">
        <v>189791</v>
      </c>
      <c r="F68" s="1">
        <f t="shared" si="110"/>
        <v>71064</v>
      </c>
      <c r="G68" s="1">
        <f t="shared" si="111"/>
        <v>189791</v>
      </c>
      <c r="H68">
        <f t="shared" si="112"/>
        <v>23976</v>
      </c>
      <c r="I68">
        <f t="shared" si="113"/>
        <v>2142</v>
      </c>
      <c r="J68">
        <f t="shared" si="114"/>
        <v>2611</v>
      </c>
      <c r="K68">
        <f t="shared" si="13"/>
        <v>65</v>
      </c>
      <c r="L68" s="38">
        <f t="shared" ca="1" si="115"/>
        <v>8.4577848658684632E-2</v>
      </c>
      <c r="M68" s="38">
        <f t="shared" ca="1" si="11"/>
        <v>5.6272697853367373E-2</v>
      </c>
    </row>
    <row r="69" spans="1:13" x14ac:dyDescent="0.3">
      <c r="A69" s="7">
        <v>43957</v>
      </c>
      <c r="B69" t="s">
        <v>9</v>
      </c>
    </row>
    <row r="70" spans="1:13" x14ac:dyDescent="0.3">
      <c r="A70" s="7">
        <v>43958</v>
      </c>
      <c r="B70" t="s">
        <v>10</v>
      </c>
    </row>
    <row r="71" spans="1:13" x14ac:dyDescent="0.3">
      <c r="A71" s="7">
        <v>43959</v>
      </c>
      <c r="B71" t="s">
        <v>11</v>
      </c>
    </row>
    <row r="72" spans="1:13" x14ac:dyDescent="0.3">
      <c r="A72" s="7">
        <v>43960</v>
      </c>
      <c r="B72" t="s">
        <v>12</v>
      </c>
    </row>
    <row r="73" spans="1:13" x14ac:dyDescent="0.3">
      <c r="A73" s="7">
        <v>43961</v>
      </c>
      <c r="B73" t="s">
        <v>13</v>
      </c>
    </row>
    <row r="74" spans="1:13" x14ac:dyDescent="0.3">
      <c r="A74" s="7">
        <v>43962</v>
      </c>
      <c r="B74" t="s">
        <v>7</v>
      </c>
    </row>
    <row r="75" spans="1:13" x14ac:dyDescent="0.3">
      <c r="A75" s="7">
        <v>43963</v>
      </c>
      <c r="B75" t="s">
        <v>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2" sqref="A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workbookViewId="0">
      <selection activeCell="D6" sqref="D6"/>
    </sheetView>
  </sheetViews>
  <sheetFormatPr defaultRowHeight="14.4" x14ac:dyDescent="0.3"/>
  <cols>
    <col min="2" max="2" width="9.5546875" bestFit="1" customWidth="1"/>
    <col min="3" max="3" width="28.5546875" bestFit="1" customWidth="1"/>
    <col min="4" max="5" width="12.5546875" bestFit="1" customWidth="1"/>
    <col min="6" max="6" width="13.6640625" bestFit="1" customWidth="1"/>
    <col min="11" max="11" width="9.5546875" bestFit="1" customWidth="1"/>
  </cols>
  <sheetData>
    <row r="2" spans="1:12" x14ac:dyDescent="0.3">
      <c r="C2" t="s">
        <v>30</v>
      </c>
    </row>
    <row r="3" spans="1:12" x14ac:dyDescent="0.3">
      <c r="C3" t="s">
        <v>29</v>
      </c>
      <c r="D3" s="37">
        <v>18</v>
      </c>
      <c r="E3" t="s">
        <v>25</v>
      </c>
    </row>
    <row r="4" spans="1:12" x14ac:dyDescent="0.3">
      <c r="C4" t="s">
        <v>28</v>
      </c>
      <c r="D4" s="37">
        <v>0.01</v>
      </c>
      <c r="E4" t="s">
        <v>27</v>
      </c>
    </row>
    <row r="5" spans="1:12" x14ac:dyDescent="0.3">
      <c r="C5" t="s">
        <v>26</v>
      </c>
      <c r="D5" s="34">
        <v>5</v>
      </c>
      <c r="E5" t="s">
        <v>25</v>
      </c>
    </row>
    <row r="6" spans="1:12" ht="15" thickBot="1" x14ac:dyDescent="0.35">
      <c r="A6" t="s">
        <v>68</v>
      </c>
      <c r="B6" s="36">
        <v>43918</v>
      </c>
      <c r="C6" t="s">
        <v>24</v>
      </c>
      <c r="D6" s="8">
        <f>VLOOKUP(B6,Summary!A5:E68,4)</f>
        <v>2026</v>
      </c>
    </row>
    <row r="7" spans="1:12" ht="15" thickTop="1" x14ac:dyDescent="0.3"/>
    <row r="8" spans="1:12" x14ac:dyDescent="0.3">
      <c r="C8" t="str">
        <f>"probable cases " &amp; D3 &amp; " days ago."</f>
        <v>probable cases 18 days ago.</v>
      </c>
      <c r="D8">
        <f>D6/D4</f>
        <v>202600</v>
      </c>
      <c r="F8" s="27">
        <f>B6-18</f>
        <v>43900</v>
      </c>
    </row>
    <row r="9" spans="1:12" x14ac:dyDescent="0.3">
      <c r="C9" t="str">
        <f>"number of doubles in " &amp; D3 &amp; " days"</f>
        <v>number of doubles in 18 days</v>
      </c>
      <c r="D9">
        <f>D3/D5</f>
        <v>3.6</v>
      </c>
    </row>
    <row r="10" spans="1:12" x14ac:dyDescent="0.3">
      <c r="D10" t="s">
        <v>23</v>
      </c>
      <c r="E10" t="s">
        <v>22</v>
      </c>
      <c r="F10" t="s">
        <v>21</v>
      </c>
    </row>
    <row r="11" spans="1:12" x14ac:dyDescent="0.3">
      <c r="C11" t="s">
        <v>20</v>
      </c>
      <c r="D11" s="9">
        <f>$D$8 * (2^$D$9)</f>
        <v>2456673.4110000529</v>
      </c>
      <c r="E11" s="9">
        <f>D8*2^(INT(D9))</f>
        <v>1620800</v>
      </c>
      <c r="F11" s="9">
        <f>D8*2^(1+INT(D9))</f>
        <v>3241600</v>
      </c>
    </row>
    <row r="12" spans="1:12" x14ac:dyDescent="0.3">
      <c r="C12" t="str">
        <f>"number of deaths in " &amp; D3 &amp; " days."</f>
        <v>number of deaths in 18 days.</v>
      </c>
      <c r="D12" s="10">
        <f>D11*$D$4</f>
        <v>24566.734110000529</v>
      </c>
      <c r="E12" s="10">
        <f>E11*$D$4</f>
        <v>16208</v>
      </c>
      <c r="F12" s="10">
        <f>F11*$D$4</f>
        <v>32416</v>
      </c>
      <c r="H12" t="s">
        <v>66</v>
      </c>
    </row>
    <row r="13" spans="1:12" ht="15" thickBot="1" x14ac:dyDescent="0.35">
      <c r="B13" s="27">
        <f>B6+D3</f>
        <v>43936</v>
      </c>
      <c r="C13" t="s">
        <v>69</v>
      </c>
      <c r="D13" s="35">
        <f>VLOOKUP(B13,Summary!A5:E68,4)</f>
        <v>28326</v>
      </c>
      <c r="H13" t="s">
        <v>70</v>
      </c>
      <c r="K13" s="27">
        <f>18+DATE(2020,3,28)</f>
        <v>43936</v>
      </c>
      <c r="L13" t="s">
        <v>67</v>
      </c>
    </row>
    <row r="14" spans="1:12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B3" sqref="B3"/>
    </sheetView>
  </sheetViews>
  <sheetFormatPr defaultRowHeight="14.4" x14ac:dyDescent="0.3"/>
  <cols>
    <col min="8" max="8" width="10.5546875" bestFit="1" customWidth="1"/>
    <col min="9" max="10" width="9.5546875" bestFit="1" customWidth="1"/>
  </cols>
  <sheetData>
    <row r="1" spans="2:11" x14ac:dyDescent="0.3">
      <c r="B1" t="s">
        <v>33</v>
      </c>
      <c r="D1" s="32" t="s">
        <v>62</v>
      </c>
    </row>
    <row r="3" spans="2:11" x14ac:dyDescent="0.3">
      <c r="B3" s="33" t="s">
        <v>34</v>
      </c>
    </row>
    <row r="5" spans="2:11" ht="28.8" x14ac:dyDescent="0.3">
      <c r="B5" s="28" t="s">
        <v>35</v>
      </c>
      <c r="C5" s="28" t="s">
        <v>36</v>
      </c>
      <c r="D5" s="28" t="s">
        <v>37</v>
      </c>
      <c r="E5" s="28" t="s">
        <v>38</v>
      </c>
      <c r="F5" s="28" t="s">
        <v>39</v>
      </c>
      <c r="G5" s="28" t="s">
        <v>40</v>
      </c>
      <c r="H5" s="28" t="s">
        <v>41</v>
      </c>
      <c r="I5" s="28" t="s">
        <v>42</v>
      </c>
      <c r="J5" s="28" t="s">
        <v>43</v>
      </c>
      <c r="K5" s="28" t="s">
        <v>44</v>
      </c>
    </row>
    <row r="6" spans="2:11" ht="43.2" x14ac:dyDescent="0.3">
      <c r="B6" s="29" t="s">
        <v>45</v>
      </c>
      <c r="C6" s="29">
        <v>4.5999999999999996</v>
      </c>
      <c r="D6" s="29">
        <v>3.3</v>
      </c>
      <c r="E6" s="29">
        <v>5.7</v>
      </c>
      <c r="F6" s="29" t="s">
        <v>46</v>
      </c>
      <c r="G6" s="29" t="s">
        <v>47</v>
      </c>
      <c r="H6" s="30">
        <v>43830</v>
      </c>
      <c r="I6" s="30">
        <v>43855</v>
      </c>
      <c r="J6" s="30">
        <v>43858</v>
      </c>
      <c r="K6" s="31" t="s">
        <v>48</v>
      </c>
    </row>
    <row r="7" spans="2:11" ht="43.2" x14ac:dyDescent="0.3">
      <c r="B7" s="29" t="s">
        <v>45</v>
      </c>
      <c r="C7" s="29">
        <v>5</v>
      </c>
      <c r="D7" s="29">
        <v>4.0999999999999996</v>
      </c>
      <c r="E7" s="29">
        <v>5.8</v>
      </c>
      <c r="F7" s="29" t="s">
        <v>46</v>
      </c>
      <c r="G7" s="29" t="s">
        <v>49</v>
      </c>
      <c r="H7" s="30">
        <v>43830</v>
      </c>
      <c r="I7" s="30">
        <v>43855</v>
      </c>
      <c r="J7" s="30">
        <v>43858</v>
      </c>
      <c r="K7" s="31" t="s">
        <v>48</v>
      </c>
    </row>
    <row r="8" spans="2:11" ht="28.8" x14ac:dyDescent="0.3">
      <c r="B8" s="29" t="s">
        <v>45</v>
      </c>
      <c r="C8" s="29">
        <v>5.4</v>
      </c>
      <c r="D8" s="29">
        <v>4.2</v>
      </c>
      <c r="E8" s="29">
        <v>6.7</v>
      </c>
      <c r="F8" s="29" t="s">
        <v>46</v>
      </c>
      <c r="G8" s="29" t="s">
        <v>50</v>
      </c>
      <c r="H8" s="30">
        <v>43809</v>
      </c>
      <c r="I8" s="30">
        <v>43855</v>
      </c>
      <c r="J8" s="30">
        <v>43856</v>
      </c>
      <c r="K8" s="31" t="s">
        <v>51</v>
      </c>
    </row>
    <row r="9" spans="2:11" ht="28.8" x14ac:dyDescent="0.3">
      <c r="B9" s="29" t="s">
        <v>52</v>
      </c>
      <c r="C9" s="29">
        <v>5.2</v>
      </c>
      <c r="D9" s="29">
        <v>4.4000000000000004</v>
      </c>
      <c r="E9" s="29">
        <v>6</v>
      </c>
      <c r="F9" s="29" t="s">
        <v>46</v>
      </c>
      <c r="G9" s="29" t="s">
        <v>47</v>
      </c>
      <c r="H9" s="30">
        <v>43800</v>
      </c>
      <c r="I9" s="30">
        <v>43500</v>
      </c>
      <c r="J9" s="30">
        <v>43865</v>
      </c>
      <c r="K9" s="31" t="s">
        <v>53</v>
      </c>
    </row>
    <row r="10" spans="2:11" ht="28.8" x14ac:dyDescent="0.3">
      <c r="B10" s="29" t="s">
        <v>45</v>
      </c>
      <c r="C10" s="29">
        <v>4.2</v>
      </c>
      <c r="D10" s="29">
        <v>3.5</v>
      </c>
      <c r="E10" s="29">
        <v>5.0999999999999996</v>
      </c>
      <c r="F10" s="29" t="s">
        <v>46</v>
      </c>
      <c r="G10" s="29" t="s">
        <v>54</v>
      </c>
      <c r="H10" s="30">
        <v>43830</v>
      </c>
      <c r="I10" s="30">
        <v>43871</v>
      </c>
      <c r="J10" s="30">
        <v>43872</v>
      </c>
      <c r="K10" s="31" t="s">
        <v>55</v>
      </c>
    </row>
    <row r="11" spans="2:11" ht="28.8" x14ac:dyDescent="0.3">
      <c r="B11" s="29" t="s">
        <v>45</v>
      </c>
      <c r="C11" s="29">
        <v>6.6</v>
      </c>
      <c r="D11" s="29">
        <v>1.8</v>
      </c>
      <c r="E11" s="29">
        <v>11.4</v>
      </c>
      <c r="F11" s="29" t="s">
        <v>56</v>
      </c>
      <c r="G11" s="29" t="s">
        <v>54</v>
      </c>
      <c r="H11" s="30">
        <v>43849</v>
      </c>
      <c r="I11" s="30">
        <v>43887</v>
      </c>
      <c r="J11" s="30">
        <v>43896</v>
      </c>
      <c r="K11" s="31" t="s">
        <v>57</v>
      </c>
    </row>
    <row r="12" spans="2:11" ht="28.8" x14ac:dyDescent="0.3">
      <c r="B12" s="29" t="s">
        <v>45</v>
      </c>
      <c r="C12" s="29">
        <v>5.4</v>
      </c>
      <c r="D12" s="29">
        <v>0.9</v>
      </c>
      <c r="E12" s="29">
        <v>9.9</v>
      </c>
      <c r="F12" s="29" t="s">
        <v>46</v>
      </c>
      <c r="G12" s="29" t="s">
        <v>58</v>
      </c>
      <c r="H12" s="30">
        <v>43851</v>
      </c>
      <c r="I12" s="30">
        <v>43883</v>
      </c>
      <c r="J12" s="30">
        <v>43896</v>
      </c>
      <c r="K12" s="31" t="s">
        <v>57</v>
      </c>
    </row>
    <row r="13" spans="2:11" ht="28.8" x14ac:dyDescent="0.3">
      <c r="B13" s="29" t="s">
        <v>45</v>
      </c>
      <c r="C13" s="29">
        <v>5.2</v>
      </c>
      <c r="D13" s="29">
        <v>1</v>
      </c>
      <c r="E13" s="29">
        <v>9.4</v>
      </c>
      <c r="F13" s="29" t="s">
        <v>46</v>
      </c>
      <c r="G13" s="29" t="s">
        <v>58</v>
      </c>
      <c r="H13" s="30">
        <v>43851</v>
      </c>
      <c r="I13" s="30">
        <v>43883</v>
      </c>
      <c r="J13" s="30">
        <v>43896</v>
      </c>
      <c r="K13" s="31" t="s">
        <v>57</v>
      </c>
    </row>
    <row r="14" spans="2:11" ht="28.8" x14ac:dyDescent="0.3">
      <c r="B14" s="29" t="s">
        <v>45</v>
      </c>
      <c r="C14" s="29">
        <v>7.1</v>
      </c>
      <c r="D14" s="29">
        <v>6.1</v>
      </c>
      <c r="E14" s="29">
        <v>8.3000000000000007</v>
      </c>
      <c r="F14" s="29" t="s">
        <v>56</v>
      </c>
      <c r="G14" s="29" t="s">
        <v>54</v>
      </c>
      <c r="H14" s="30">
        <v>43849</v>
      </c>
      <c r="I14" s="30">
        <v>43887</v>
      </c>
      <c r="J14" s="30">
        <v>43896</v>
      </c>
      <c r="K14" s="31" t="s">
        <v>57</v>
      </c>
    </row>
    <row r="15" spans="2:11" ht="28.8" x14ac:dyDescent="0.3">
      <c r="B15" s="29" t="s">
        <v>45</v>
      </c>
      <c r="C15" s="29">
        <v>5.46</v>
      </c>
      <c r="D15" s="29">
        <v>1.34</v>
      </c>
      <c r="E15" s="29">
        <v>11.1</v>
      </c>
      <c r="F15" s="29" t="s">
        <v>56</v>
      </c>
      <c r="G15" s="29" t="s">
        <v>54</v>
      </c>
      <c r="H15" s="30">
        <v>43849</v>
      </c>
      <c r="I15" s="30">
        <v>43861</v>
      </c>
      <c r="J15" s="30">
        <v>43896</v>
      </c>
      <c r="K15" s="31" t="s">
        <v>57</v>
      </c>
    </row>
    <row r="16" spans="2:11" ht="28.8" x14ac:dyDescent="0.3">
      <c r="B16" s="29" t="s">
        <v>45</v>
      </c>
      <c r="C16" s="29">
        <v>7.27</v>
      </c>
      <c r="D16" s="29">
        <v>1.31</v>
      </c>
      <c r="E16" s="29">
        <v>17.3</v>
      </c>
      <c r="F16" s="29" t="s">
        <v>56</v>
      </c>
      <c r="G16" s="29" t="s">
        <v>54</v>
      </c>
      <c r="H16" s="30">
        <v>43862</v>
      </c>
      <c r="I16" s="30">
        <v>43887</v>
      </c>
      <c r="J16" s="30">
        <v>43896</v>
      </c>
      <c r="K16" s="31" t="s">
        <v>57</v>
      </c>
    </row>
    <row r="17" spans="2:11" ht="28.8" x14ac:dyDescent="0.3">
      <c r="B17" s="29" t="s">
        <v>45</v>
      </c>
      <c r="C17" s="29">
        <v>9</v>
      </c>
      <c r="D17" s="29">
        <v>7.92</v>
      </c>
      <c r="E17" s="29">
        <v>10.199999999999999</v>
      </c>
      <c r="F17" s="29" t="s">
        <v>46</v>
      </c>
      <c r="G17" s="29" t="s">
        <v>58</v>
      </c>
      <c r="H17" s="30">
        <v>43851</v>
      </c>
      <c r="I17" s="30">
        <v>43883</v>
      </c>
      <c r="J17" s="30">
        <v>43896</v>
      </c>
      <c r="K17" s="31" t="s">
        <v>57</v>
      </c>
    </row>
    <row r="18" spans="2:11" ht="28.8" x14ac:dyDescent="0.3">
      <c r="B18" s="29" t="s">
        <v>45</v>
      </c>
      <c r="C18" s="29">
        <v>6.9</v>
      </c>
      <c r="D18" s="29">
        <v>2</v>
      </c>
      <c r="E18" s="29">
        <v>12.7</v>
      </c>
      <c r="F18" s="29" t="s">
        <v>46</v>
      </c>
      <c r="G18" s="29" t="s">
        <v>58</v>
      </c>
      <c r="H18" s="30">
        <v>43851</v>
      </c>
      <c r="I18" s="30">
        <v>43861</v>
      </c>
      <c r="J18" s="30">
        <v>43896</v>
      </c>
      <c r="K18" s="31" t="s">
        <v>57</v>
      </c>
    </row>
    <row r="19" spans="2:11" ht="28.8" x14ac:dyDescent="0.3">
      <c r="B19" s="29" t="s">
        <v>45</v>
      </c>
      <c r="C19" s="29">
        <v>12.4</v>
      </c>
      <c r="D19" s="29">
        <v>5.4</v>
      </c>
      <c r="E19" s="29">
        <v>19</v>
      </c>
      <c r="F19" s="29" t="s">
        <v>46</v>
      </c>
      <c r="G19" s="29" t="s">
        <v>58</v>
      </c>
      <c r="H19" s="30">
        <v>43862</v>
      </c>
      <c r="I19" s="30">
        <v>43883</v>
      </c>
      <c r="J19" s="30">
        <v>43896</v>
      </c>
      <c r="K19" s="31" t="s">
        <v>57</v>
      </c>
    </row>
    <row r="20" spans="2:11" ht="28.8" x14ac:dyDescent="0.3">
      <c r="B20" s="29" t="s">
        <v>45</v>
      </c>
      <c r="C20" s="29">
        <v>8.1300000000000008</v>
      </c>
      <c r="D20" s="29">
        <v>7.37</v>
      </c>
      <c r="E20" s="29">
        <v>8.91</v>
      </c>
      <c r="F20" s="29" t="s">
        <v>46</v>
      </c>
      <c r="G20" s="29" t="s">
        <v>54</v>
      </c>
      <c r="H20" s="30">
        <v>43842</v>
      </c>
      <c r="I20" s="30">
        <v>43853</v>
      </c>
      <c r="J20" s="30">
        <v>43900</v>
      </c>
      <c r="K20" s="31" t="s">
        <v>59</v>
      </c>
    </row>
    <row r="21" spans="2:11" ht="28.8" x14ac:dyDescent="0.3">
      <c r="B21" s="29" t="s">
        <v>45</v>
      </c>
      <c r="C21" s="29">
        <v>8.6199999999999992</v>
      </c>
      <c r="D21" s="29">
        <v>8.02</v>
      </c>
      <c r="E21" s="29">
        <v>9.2799999999999994</v>
      </c>
      <c r="F21" s="29" t="s">
        <v>46</v>
      </c>
      <c r="G21" s="29" t="s">
        <v>54</v>
      </c>
      <c r="H21" s="30">
        <v>43842</v>
      </c>
      <c r="I21" s="30">
        <v>43853</v>
      </c>
      <c r="J21" s="30">
        <v>43900</v>
      </c>
      <c r="K21" s="31" t="s">
        <v>59</v>
      </c>
    </row>
    <row r="22" spans="2:11" ht="28.8" x14ac:dyDescent="0.3">
      <c r="B22" s="29" t="s">
        <v>45</v>
      </c>
      <c r="C22" s="29">
        <v>4.8</v>
      </c>
      <c r="D22" s="29">
        <v>4.2</v>
      </c>
      <c r="E22" s="29">
        <v>5.4</v>
      </c>
      <c r="F22" s="29" t="s">
        <v>46</v>
      </c>
      <c r="G22" s="29" t="s">
        <v>60</v>
      </c>
      <c r="H22" s="30">
        <v>43844</v>
      </c>
      <c r="I22" s="30">
        <v>43873</v>
      </c>
      <c r="J22" s="30">
        <v>43894</v>
      </c>
      <c r="K22" s="31" t="s">
        <v>61</v>
      </c>
    </row>
    <row r="24" spans="2:11" x14ac:dyDescent="0.3">
      <c r="C24">
        <f>AVERAGE(C6:C22)</f>
        <v>6.5458823529411774</v>
      </c>
    </row>
  </sheetData>
  <hyperlinks>
    <hyperlink ref="K6" r:id="rId1" display="https://www.medrxiv.org/content/medrxiv/early/2020/01/28/2020.01.26.20018754.full.pdf"/>
    <hyperlink ref="K7" r:id="rId2" display="https://www.medrxiv.org/content/medrxiv/early/2020/01/28/2020.01.26.20018754.full.pdf"/>
    <hyperlink ref="K8" r:id="rId3" display="https://institutefordiseasemodeling.github.io/nCoV-public/analyses/individual_dynamics_estimates/nCoV_incubation_period.html"/>
    <hyperlink ref="K9" r:id="rId4" display="https://annals.org/aim/fullarticle/2762808/incubation-period-coronavirus-disease-2019-covid-19-from-publicly-reported"/>
    <hyperlink ref="K10" r:id="rId5" display="https://www.medrxiv.org/content/10.1101/2020.02.07.20021154v1"/>
    <hyperlink ref="K11" r:id="rId6" display="https://www.medrxiv.org/content/10.1101/2020.03.03.20029983v1"/>
    <hyperlink ref="K12" r:id="rId7" display="https://www.medrxiv.org/content/10.1101/2020.03.03.20029983v1"/>
    <hyperlink ref="K13" r:id="rId8" display="https://www.medrxiv.org/content/10.1101/2020.03.03.20029983v1"/>
    <hyperlink ref="K14" r:id="rId9" display="https://www.medrxiv.org/content/10.1101/2020.03.03.20029983v1"/>
    <hyperlink ref="K15" r:id="rId10" display="https://www.medrxiv.org/content/10.1101/2020.03.03.20029983v1"/>
    <hyperlink ref="K16" r:id="rId11" display="https://www.medrxiv.org/content/10.1101/2020.03.03.20029983v1"/>
    <hyperlink ref="K17" r:id="rId12" display="https://www.medrxiv.org/content/10.1101/2020.03.03.20029983v1"/>
    <hyperlink ref="K18" r:id="rId13" display="https://www.medrxiv.org/content/10.1101/2020.03.03.20029983v1"/>
    <hyperlink ref="K19" r:id="rId14" display="https://www.medrxiv.org/content/10.1101/2020.03.03.20029983v1"/>
    <hyperlink ref="K20" r:id="rId15" display="https://www.medrxiv.org/content/10.1101/2020.03.06.20032417v1"/>
    <hyperlink ref="K21" r:id="rId16" display="https://www.medrxiv.org/content/10.1101/2020.03.06.20032417v1"/>
    <hyperlink ref="K22" r:id="rId17" display="https://www.medrxiv.org/content/10.1101/2020.03.03.20028423v1.article-info"/>
    <hyperlink ref="D1" r:id="rId18"/>
    <hyperlink ref="B3" r:id="rId19" location="incubation-perio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B4" sqref="B4"/>
    </sheetView>
  </sheetViews>
  <sheetFormatPr defaultRowHeight="14.4" x14ac:dyDescent="0.3"/>
  <sheetData>
    <row r="4" spans="2:11" x14ac:dyDescent="0.3">
      <c r="B4" s="33" t="s">
        <v>63</v>
      </c>
    </row>
    <row r="6" spans="2:11" ht="28.8" x14ac:dyDescent="0.3">
      <c r="B6" s="28" t="s">
        <v>35</v>
      </c>
      <c r="C6" s="28" t="s">
        <v>36</v>
      </c>
      <c r="D6" s="28" t="s">
        <v>37</v>
      </c>
      <c r="E6" s="28" t="s">
        <v>38</v>
      </c>
      <c r="F6" s="28" t="s">
        <v>39</v>
      </c>
      <c r="G6" s="28" t="s">
        <v>40</v>
      </c>
      <c r="H6" s="28" t="s">
        <v>41</v>
      </c>
      <c r="I6" s="28" t="s">
        <v>42</v>
      </c>
      <c r="J6" s="28" t="s">
        <v>43</v>
      </c>
      <c r="K6" s="28" t="s">
        <v>44</v>
      </c>
    </row>
    <row r="7" spans="2:11" ht="28.8" x14ac:dyDescent="0.3">
      <c r="B7" s="29" t="s">
        <v>45</v>
      </c>
      <c r="C7" s="29">
        <v>22.3</v>
      </c>
      <c r="D7" s="29">
        <v>18</v>
      </c>
      <c r="E7" s="29">
        <v>82</v>
      </c>
      <c r="F7" s="29" t="s">
        <v>46</v>
      </c>
      <c r="G7" s="29" t="s">
        <v>50</v>
      </c>
      <c r="H7" s="30">
        <v>43830</v>
      </c>
      <c r="I7" s="30">
        <v>43851</v>
      </c>
      <c r="J7" s="30">
        <v>43871</v>
      </c>
      <c r="K7" s="31" t="s">
        <v>64</v>
      </c>
    </row>
    <row r="8" spans="2:11" ht="43.2" x14ac:dyDescent="0.3">
      <c r="B8" s="29" t="s">
        <v>45</v>
      </c>
      <c r="C8" s="29">
        <v>13.8</v>
      </c>
      <c r="D8" s="29">
        <v>11.8</v>
      </c>
      <c r="E8" s="29">
        <v>16</v>
      </c>
      <c r="F8" s="29" t="s">
        <v>46</v>
      </c>
      <c r="G8" s="29" t="s">
        <v>54</v>
      </c>
      <c r="H8" s="30">
        <v>43830</v>
      </c>
      <c r="I8" s="30">
        <v>43855</v>
      </c>
      <c r="J8" s="30">
        <v>43858</v>
      </c>
      <c r="K8" s="31" t="s">
        <v>48</v>
      </c>
    </row>
    <row r="9" spans="2:11" ht="28.8" x14ac:dyDescent="0.3">
      <c r="B9" s="29" t="s">
        <v>45</v>
      </c>
      <c r="C9" s="29">
        <v>15.2</v>
      </c>
      <c r="D9" s="29">
        <v>13.1</v>
      </c>
      <c r="E9" s="29">
        <v>17.7</v>
      </c>
      <c r="F9" s="29" t="s">
        <v>46</v>
      </c>
      <c r="G9" s="29" t="s">
        <v>54</v>
      </c>
      <c r="H9" s="30">
        <v>43830</v>
      </c>
      <c r="I9" s="30">
        <v>43854</v>
      </c>
      <c r="J9" s="30">
        <v>43878</v>
      </c>
      <c r="K9" s="31" t="s">
        <v>65</v>
      </c>
    </row>
    <row r="11" spans="2:11" x14ac:dyDescent="0.3">
      <c r="C11">
        <f>AVERAGE(C7:C9)</f>
        <v>17.099999999999998</v>
      </c>
    </row>
  </sheetData>
  <hyperlinks>
    <hyperlink ref="B4" r:id="rId1" location="time-from-symptom-onset-to-death" display="https://github.com/midas-network/COVID-19/tree/master/parameter_estimates/2019_novel_coronavirus - time-from-symptom-onset-to-death"/>
    <hyperlink ref="K7" r:id="rId2" display="https://www.imperial.ac.uk/mrc-global-infectious-disease-analysis/news--wuhan-coronavirus/"/>
    <hyperlink ref="K8" r:id="rId3" display="https://www.medrxiv.org/content/medrxiv/early/2020/01/28/2020.01.26.20018754.full.pdf"/>
    <hyperlink ref="K9" r:id="rId4" display="http://medrxiv.org/content/early/2020/02/02/2020.01.29.20019547.abstrac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Charts</vt:lpstr>
      <vt:lpstr>Screenshots</vt:lpstr>
      <vt:lpstr>Death Projection</vt:lpstr>
      <vt:lpstr>Incubation</vt:lpstr>
      <vt:lpstr>Mortality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Pellessier</dc:creator>
  <cp:lastModifiedBy>Richard Pellessier</cp:lastModifiedBy>
  <dcterms:created xsi:type="dcterms:W3CDTF">2020-03-07T00:33:44Z</dcterms:created>
  <dcterms:modified xsi:type="dcterms:W3CDTF">2020-05-07T01:52:06Z</dcterms:modified>
</cp:coreProperties>
</file>