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.pellessier\Documents\"/>
    </mc:Choice>
  </mc:AlternateContent>
  <bookViews>
    <workbookView xWindow="0" yWindow="0" windowWidth="13116" windowHeight="8328" activeTab="1"/>
  </bookViews>
  <sheets>
    <sheet name="Summary" sheetId="1" r:id="rId1"/>
    <sheet name="Charts" sheetId="2" r:id="rId2"/>
    <sheet name="Screenshots" sheetId="3" r:id="rId3"/>
    <sheet name="Death Projection" sheetId="4" r:id="rId4"/>
    <sheet name="Incubation" sheetId="5" r:id="rId5"/>
    <sheet name="Mortality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8" i="1" l="1"/>
  <c r="O38" i="1"/>
  <c r="N38" i="1"/>
  <c r="M38" i="1"/>
  <c r="R38" i="1" s="1"/>
  <c r="F38" i="1"/>
  <c r="G38" i="1"/>
  <c r="H38" i="1"/>
  <c r="I38" i="1"/>
  <c r="J38" i="1"/>
  <c r="K38" i="1"/>
  <c r="Q38" i="1" l="1"/>
  <c r="D13" i="4"/>
  <c r="B13" i="4"/>
  <c r="D6" i="4"/>
  <c r="C11" i="6" l="1"/>
  <c r="C24" i="5"/>
  <c r="K13" i="4"/>
  <c r="M37" i="1"/>
  <c r="R37" i="1" s="1"/>
  <c r="N37" i="1"/>
  <c r="O37" i="1"/>
  <c r="F37" i="1"/>
  <c r="G37" i="1"/>
  <c r="H37" i="1"/>
  <c r="I37" i="1"/>
  <c r="P37" i="1" l="1"/>
  <c r="Q37" i="1" s="1"/>
  <c r="M35" i="1"/>
  <c r="R35" i="1" s="1"/>
  <c r="N35" i="1"/>
  <c r="P35" i="1" s="1"/>
  <c r="Q35" i="1" s="1"/>
  <c r="O35" i="1"/>
  <c r="M36" i="1"/>
  <c r="R36" i="1" s="1"/>
  <c r="N36" i="1"/>
  <c r="P36" i="1" s="1"/>
  <c r="Q36" i="1" s="1"/>
  <c r="O36" i="1"/>
  <c r="F36" i="1"/>
  <c r="G36" i="1"/>
  <c r="H36" i="1"/>
  <c r="I36" i="1"/>
  <c r="F35" i="1" l="1"/>
  <c r="G35" i="1"/>
  <c r="H35" i="1"/>
  <c r="I35" i="1"/>
  <c r="R30" i="1" l="1"/>
  <c r="R31" i="1"/>
  <c r="R32" i="1"/>
  <c r="R33" i="1"/>
  <c r="R34" i="1"/>
  <c r="R29" i="1"/>
  <c r="M34" i="1"/>
  <c r="N34" i="1"/>
  <c r="P34" i="1" s="1"/>
  <c r="Q34" i="1" s="1"/>
  <c r="O34" i="1"/>
  <c r="O30" i="1"/>
  <c r="O31" i="1"/>
  <c r="O32" i="1"/>
  <c r="O33" i="1"/>
  <c r="O29" i="1"/>
  <c r="P14" i="1"/>
  <c r="M30" i="1"/>
  <c r="N30" i="1"/>
  <c r="P30" i="1" s="1"/>
  <c r="Q30" i="1" s="1"/>
  <c r="M31" i="1"/>
  <c r="N31" i="1"/>
  <c r="P31" i="1" s="1"/>
  <c r="Q31" i="1" s="1"/>
  <c r="M32" i="1"/>
  <c r="N32" i="1"/>
  <c r="P32" i="1" s="1"/>
  <c r="Q32" i="1" s="1"/>
  <c r="M33" i="1"/>
  <c r="N33" i="1"/>
  <c r="P33" i="1" s="1"/>
  <c r="Q33" i="1" s="1"/>
  <c r="M29" i="1"/>
  <c r="P29" i="1" s="1"/>
  <c r="Q29" i="1" s="1"/>
  <c r="N29" i="1"/>
  <c r="P7" i="1"/>
  <c r="P8" i="1"/>
  <c r="P9" i="1"/>
  <c r="P10" i="1"/>
  <c r="P11" i="1"/>
  <c r="P12" i="1"/>
  <c r="P6" i="1"/>
  <c r="M6" i="1" a="1"/>
  <c r="N6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M14" i="1" a="1"/>
  <c r="M14" i="1" s="1"/>
  <c r="M15" i="1" a="1"/>
  <c r="M15" i="1" s="1"/>
  <c r="M16" i="1" a="1"/>
  <c r="N16" i="1" s="1"/>
  <c r="M17" i="1" a="1"/>
  <c r="M17" i="1" s="1"/>
  <c r="M18" i="1" a="1"/>
  <c r="M18" i="1" s="1"/>
  <c r="N18" i="1"/>
  <c r="P18" i="1" s="1"/>
  <c r="M19" i="1" a="1"/>
  <c r="M19" i="1"/>
  <c r="N19" i="1"/>
  <c r="M20" i="1" a="1"/>
  <c r="M20" i="1" s="1"/>
  <c r="M21" i="1" a="1"/>
  <c r="N21" i="1" s="1"/>
  <c r="P21" i="1" s="1"/>
  <c r="M21" i="1"/>
  <c r="M22" i="1" a="1"/>
  <c r="M22" i="1" s="1"/>
  <c r="M23" i="1" a="1"/>
  <c r="M23" i="1" s="1"/>
  <c r="M24" i="1" a="1"/>
  <c r="N24" i="1" s="1"/>
  <c r="M25" i="1" a="1"/>
  <c r="M25" i="1" s="1"/>
  <c r="M26" i="1" a="1"/>
  <c r="M26" i="1" s="1"/>
  <c r="R26" i="1" s="1"/>
  <c r="N26" i="1"/>
  <c r="P26" i="1" s="1"/>
  <c r="M27" i="1" a="1"/>
  <c r="M27" i="1" s="1"/>
  <c r="R27" i="1" s="1"/>
  <c r="M28" i="1" a="1"/>
  <c r="N28" i="1" s="1"/>
  <c r="M7" i="1" a="1"/>
  <c r="M7" i="1" s="1"/>
  <c r="M8" i="1" a="1"/>
  <c r="M8" i="1" s="1"/>
  <c r="N8" i="1"/>
  <c r="M9" i="1" a="1"/>
  <c r="N9" i="1" s="1"/>
  <c r="M10" i="1" a="1"/>
  <c r="M10" i="1" s="1"/>
  <c r="N10" i="1"/>
  <c r="M11" i="1" a="1"/>
  <c r="M11" i="1"/>
  <c r="N11" i="1"/>
  <c r="M12" i="1" a="1"/>
  <c r="N12" i="1" s="1"/>
  <c r="M13" i="1" a="1"/>
  <c r="M13" i="1" s="1"/>
  <c r="P19" i="1"/>
  <c r="F34" i="1"/>
  <c r="G34" i="1"/>
  <c r="H34" i="1"/>
  <c r="I34" i="1"/>
  <c r="M6" i="1" l="1"/>
  <c r="P28" i="1"/>
  <c r="P16" i="1"/>
  <c r="M24" i="1"/>
  <c r="M16" i="1"/>
  <c r="N23" i="1"/>
  <c r="N15" i="1"/>
  <c r="P15" i="1" s="1"/>
  <c r="N20" i="1"/>
  <c r="P20" i="1" s="1"/>
  <c r="M28" i="1"/>
  <c r="R28" i="1" s="1"/>
  <c r="N25" i="1"/>
  <c r="N17" i="1"/>
  <c r="P17" i="1" s="1"/>
  <c r="N22" i="1"/>
  <c r="P22" i="1" s="1"/>
  <c r="N14" i="1"/>
  <c r="N27" i="1"/>
  <c r="P27" i="1" s="1"/>
  <c r="M9" i="1"/>
  <c r="N13" i="1"/>
  <c r="P13" i="1" s="1"/>
  <c r="M12" i="1"/>
  <c r="N7" i="1"/>
  <c r="T33" i="1"/>
  <c r="H33" i="1"/>
  <c r="I33" i="1"/>
  <c r="G33" i="1" l="1"/>
  <c r="F33" i="1"/>
  <c r="F8" i="4" l="1"/>
  <c r="H32" i="1"/>
  <c r="I32" i="1"/>
  <c r="T32" i="1" l="1"/>
  <c r="F32" i="1"/>
  <c r="G32" i="1"/>
  <c r="F31" i="1" l="1"/>
  <c r="G31" i="1"/>
  <c r="H31" i="1"/>
  <c r="I31" i="1"/>
  <c r="F30" i="1" l="1"/>
  <c r="G30" i="1"/>
  <c r="H30" i="1"/>
  <c r="I30" i="1"/>
  <c r="N1" i="1" l="1"/>
  <c r="F29" i="1" l="1"/>
  <c r="G29" i="1"/>
  <c r="H29" i="1"/>
  <c r="I29" i="1"/>
  <c r="F28" i="1" l="1"/>
  <c r="G28" i="1"/>
  <c r="H28" i="1"/>
  <c r="I28" i="1"/>
  <c r="AB8" i="1" l="1"/>
  <c r="X28" i="1"/>
  <c r="F27" i="1"/>
  <c r="G27" i="1"/>
  <c r="H27" i="1"/>
  <c r="I27" i="1"/>
  <c r="D9" i="4" l="1"/>
  <c r="D8" i="4"/>
  <c r="C8" i="4"/>
  <c r="C9" i="4"/>
  <c r="C12" i="4"/>
  <c r="F11" i="4" l="1"/>
  <c r="F12" i="4" s="1"/>
  <c r="D11" i="4"/>
  <c r="D12" i="4" s="1"/>
  <c r="E11" i="4"/>
  <c r="E12" i="4" s="1"/>
  <c r="AC8" i="1"/>
  <c r="H26" i="1"/>
  <c r="I26" i="1"/>
  <c r="G26" i="1" l="1"/>
  <c r="F26" i="1"/>
  <c r="H25" i="1" l="1"/>
  <c r="I25" i="1"/>
  <c r="G25" i="1"/>
  <c r="F25" i="1"/>
  <c r="G24" i="1" l="1"/>
  <c r="AB7" i="1" l="1"/>
  <c r="AC7" i="1" s="1"/>
  <c r="H23" i="1"/>
  <c r="I23" i="1"/>
  <c r="H24" i="1"/>
  <c r="I24" i="1"/>
  <c r="F24" i="1"/>
  <c r="F23" i="1" l="1"/>
  <c r="X4" i="1" l="1"/>
  <c r="W4" i="1"/>
  <c r="AB6" i="1"/>
  <c r="AC6" i="1" s="1"/>
  <c r="H22" i="1" l="1"/>
  <c r="I22" i="1"/>
  <c r="G22" i="1"/>
  <c r="F22" i="1"/>
  <c r="F2" i="1" l="1"/>
  <c r="G2" i="1"/>
  <c r="H21" i="1" l="1"/>
  <c r="I21" i="1"/>
  <c r="G21" i="1"/>
  <c r="F21" i="1"/>
  <c r="H20" i="1" l="1"/>
  <c r="I20" i="1"/>
  <c r="G20" i="1"/>
  <c r="F20" i="1"/>
  <c r="AB5" i="1" l="1"/>
  <c r="AC5" i="1" s="1"/>
  <c r="AB4" i="1"/>
  <c r="AC4" i="1" s="1"/>
  <c r="K3" i="1"/>
  <c r="H19" i="1" l="1"/>
  <c r="I19" i="1"/>
  <c r="G19" i="1"/>
  <c r="F19" i="1"/>
  <c r="H18" i="1" l="1"/>
  <c r="I18" i="1"/>
  <c r="G18" i="1" l="1"/>
  <c r="F18" i="1"/>
  <c r="J4" i="1" l="1"/>
  <c r="H17" i="1"/>
  <c r="I17" i="1"/>
  <c r="G17" i="1"/>
  <c r="F17" i="1"/>
  <c r="J5" i="1" l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4" i="1"/>
  <c r="H16" i="1"/>
  <c r="G16" i="1"/>
  <c r="F16" i="1"/>
  <c r="J6" i="1" l="1"/>
  <c r="K5" i="1"/>
  <c r="J7" i="1"/>
  <c r="K6" i="1"/>
  <c r="H15" i="1"/>
  <c r="G15" i="1"/>
  <c r="F15" i="1"/>
  <c r="R6" i="1" l="1"/>
  <c r="Q6" i="1"/>
  <c r="J8" i="1"/>
  <c r="K7" i="1"/>
  <c r="H12" i="1"/>
  <c r="H13" i="1"/>
  <c r="H14" i="1"/>
  <c r="G14" i="1"/>
  <c r="F14" i="1"/>
  <c r="R8" i="1" l="1"/>
  <c r="R7" i="1"/>
  <c r="Q7" i="1"/>
  <c r="J9" i="1"/>
  <c r="K8" i="1"/>
  <c r="G13" i="1"/>
  <c r="F13" i="1"/>
  <c r="Q8" i="1" l="1"/>
  <c r="J10" i="1"/>
  <c r="K9" i="1"/>
  <c r="G12" i="1"/>
  <c r="F12" i="1"/>
  <c r="R9" i="1" l="1"/>
  <c r="J11" i="1"/>
  <c r="K10" i="1"/>
  <c r="G11" i="1"/>
  <c r="F11" i="1"/>
  <c r="R10" i="1" l="1"/>
  <c r="Q10" i="1"/>
  <c r="Q9" i="1"/>
  <c r="J12" i="1"/>
  <c r="K11" i="1"/>
  <c r="G10" i="1"/>
  <c r="F10" i="1"/>
  <c r="R11" i="1" l="1"/>
  <c r="Q11" i="1"/>
  <c r="J13" i="1"/>
  <c r="K12" i="1"/>
  <c r="G9" i="1"/>
  <c r="F9" i="1"/>
  <c r="R12" i="1" l="1"/>
  <c r="Q12" i="1"/>
  <c r="J14" i="1"/>
  <c r="K13" i="1"/>
  <c r="H8" i="1"/>
  <c r="H9" i="1"/>
  <c r="H10" i="1"/>
  <c r="H11" i="1"/>
  <c r="G8" i="1"/>
  <c r="G7" i="1"/>
  <c r="G6" i="1"/>
  <c r="G5" i="1"/>
  <c r="G4" i="1"/>
  <c r="G3" i="1"/>
  <c r="F8" i="1"/>
  <c r="F4" i="1"/>
  <c r="F5" i="1"/>
  <c r="F6" i="1"/>
  <c r="F7" i="1"/>
  <c r="F3" i="1"/>
  <c r="H7" i="1"/>
  <c r="R13" i="1" l="1"/>
  <c r="Q13" i="1"/>
  <c r="J15" i="1"/>
  <c r="K14" i="1"/>
  <c r="H4" i="1"/>
  <c r="H5" i="1"/>
  <c r="H6" i="1"/>
  <c r="R14" i="1" l="1"/>
  <c r="J16" i="1"/>
  <c r="K15" i="1"/>
  <c r="R15" i="1" l="1"/>
  <c r="Q14" i="1"/>
  <c r="J17" i="1"/>
  <c r="K16" i="1"/>
  <c r="Q15" i="1" l="1"/>
  <c r="R16" i="1"/>
  <c r="Q16" i="1"/>
  <c r="J18" i="1"/>
  <c r="K17" i="1"/>
  <c r="R17" i="1" l="1"/>
  <c r="J19" i="1"/>
  <c r="K18" i="1"/>
  <c r="R18" i="1" l="1"/>
  <c r="Q18" i="1"/>
  <c r="Q17" i="1"/>
  <c r="J20" i="1"/>
  <c r="K19" i="1"/>
  <c r="R19" i="1" l="1"/>
  <c r="Q19" i="1"/>
  <c r="J21" i="1"/>
  <c r="K20" i="1"/>
  <c r="R21" i="1" l="1"/>
  <c r="R20" i="1"/>
  <c r="Q20" i="1"/>
  <c r="J22" i="1"/>
  <c r="K21" i="1"/>
  <c r="Q21" i="1" l="1"/>
  <c r="J23" i="1"/>
  <c r="K22" i="1"/>
  <c r="R22" i="1" l="1"/>
  <c r="J24" i="1"/>
  <c r="K23" i="1"/>
  <c r="R24" i="1" l="1"/>
  <c r="Q22" i="1"/>
  <c r="R23" i="1"/>
  <c r="P23" i="1"/>
  <c r="Q23" i="1" s="1"/>
  <c r="J25" i="1"/>
  <c r="K24" i="1"/>
  <c r="P24" i="1" l="1"/>
  <c r="Q24" i="1" s="1"/>
  <c r="J26" i="1"/>
  <c r="K25" i="1"/>
  <c r="P25" i="1" l="1"/>
  <c r="Q25" i="1" s="1"/>
  <c r="R25" i="1"/>
  <c r="J27" i="1"/>
  <c r="K26" i="1"/>
  <c r="Q26" i="1" l="1"/>
  <c r="T27" i="1"/>
  <c r="T26" i="1"/>
  <c r="J28" i="1"/>
  <c r="K27" i="1"/>
  <c r="Q27" i="1" l="1"/>
  <c r="J29" i="1"/>
  <c r="T28" i="1"/>
  <c r="K28" i="1"/>
  <c r="Q28" i="1" l="1"/>
  <c r="J30" i="1"/>
  <c r="K29" i="1"/>
  <c r="T30" i="1" l="1"/>
  <c r="T29" i="1"/>
  <c r="J31" i="1"/>
  <c r="K30" i="1"/>
  <c r="T31" i="1" l="1"/>
  <c r="J32" i="1"/>
  <c r="K31" i="1"/>
  <c r="J33" i="1" l="1"/>
  <c r="K32" i="1"/>
  <c r="J34" i="1" l="1"/>
  <c r="K33" i="1"/>
  <c r="J35" i="1" l="1"/>
  <c r="K34" i="1"/>
  <c r="J36" i="1" l="1"/>
  <c r="J37" i="1" s="1"/>
  <c r="K35" i="1"/>
  <c r="K36" i="1" l="1"/>
  <c r="K37" i="1" l="1"/>
  <c r="K39" i="1" l="1"/>
  <c r="K40" i="1" l="1"/>
  <c r="K41" i="1" l="1"/>
  <c r="K42" i="1" l="1"/>
  <c r="K43" i="1" l="1"/>
  <c r="K44" i="1" l="1"/>
  <c r="K45" i="1" l="1"/>
  <c r="K46" i="1" l="1"/>
  <c r="K47" i="1" l="1"/>
  <c r="K48" i="1" l="1"/>
  <c r="K49" i="1" l="1"/>
  <c r="K50" i="1" l="1"/>
  <c r="K51" i="1" l="1"/>
  <c r="K52" i="1" l="1"/>
  <c r="K53" i="1" l="1"/>
  <c r="K54" i="1" l="1"/>
  <c r="K55" i="1" l="1"/>
  <c r="K56" i="1" l="1"/>
  <c r="K57" i="1" l="1"/>
  <c r="K58" i="1" l="1"/>
  <c r="K59" i="1" l="1"/>
  <c r="K60" i="1" l="1"/>
  <c r="K61" i="1" l="1"/>
  <c r="K62" i="1" l="1"/>
  <c r="K63" i="1" l="1"/>
  <c r="K64" i="1" l="1"/>
  <c r="K66" i="1" l="1"/>
  <c r="K65" i="1"/>
  <c r="W29" i="1" a="1"/>
  <c r="W31" i="1"/>
  <c r="W30" i="1"/>
  <c r="W33" i="1"/>
  <c r="W32" i="1"/>
  <c r="W29" i="1"/>
  <c r="X30" i="1"/>
  <c r="X31" i="1"/>
  <c r="X33" i="1"/>
  <c r="X32" i="1"/>
  <c r="X29" i="1"/>
</calcChain>
</file>

<file path=xl/sharedStrings.xml><?xml version="1.0" encoding="utf-8"?>
<sst xmlns="http://schemas.openxmlformats.org/spreadsheetml/2006/main" count="254" uniqueCount="91">
  <si>
    <t>US CoronaVirus</t>
  </si>
  <si>
    <t>Date</t>
  </si>
  <si>
    <t>Total Cases Reported</t>
  </si>
  <si>
    <t>Total Deaths</t>
  </si>
  <si>
    <t>New Deaths</t>
  </si>
  <si>
    <t>New Cases</t>
  </si>
  <si>
    <t>Total Recovered</t>
  </si>
  <si>
    <t>Scale factor -&gt;</t>
  </si>
  <si>
    <t>Monday</t>
  </si>
  <si>
    <t>Tuesday</t>
  </si>
  <si>
    <t>Wednesday</t>
  </si>
  <si>
    <t>Thursday</t>
  </si>
  <si>
    <t>Friday</t>
  </si>
  <si>
    <t>Saturday</t>
  </si>
  <si>
    <t>Sunday</t>
  </si>
  <si>
    <t>growth constant</t>
  </si>
  <si>
    <t>constant</t>
  </si>
  <si>
    <t>k</t>
  </si>
  <si>
    <r>
      <t>x</t>
    </r>
    <r>
      <rPr>
        <vertAlign val="subscript"/>
        <sz val="12"/>
        <color theme="1"/>
        <rFont val="Calibri"/>
        <family val="2"/>
        <scheme val="minor"/>
      </rPr>
      <t>0</t>
    </r>
  </si>
  <si>
    <t>doubling factor</t>
  </si>
  <si>
    <t>Days since 3/3/2020</t>
  </si>
  <si>
    <t>Date (m/d)</t>
  </si>
  <si>
    <t>probable number of cases today</t>
  </si>
  <si>
    <t>upper</t>
  </si>
  <si>
    <t>lower</t>
  </si>
  <si>
    <t>calc</t>
  </si>
  <si>
    <t>current deaths</t>
  </si>
  <si>
    <t>days</t>
  </si>
  <si>
    <t>Time to double</t>
  </si>
  <si>
    <t>1 = always fatal, .5 = even odds, 0.01 = 1% mortality</t>
  </si>
  <si>
    <t>Mortality Rate</t>
  </si>
  <si>
    <t>Time from infection to death</t>
  </si>
  <si>
    <t>Factor</t>
  </si>
  <si>
    <t>better forecast</t>
  </si>
  <si>
    <t>excel</t>
  </si>
  <si>
    <t>History of exponential components from MS Trendline</t>
  </si>
  <si>
    <t>doubling time (hrs)</t>
  </si>
  <si>
    <t>d</t>
  </si>
  <si>
    <t>x</t>
  </si>
  <si>
    <t>y</t>
  </si>
  <si>
    <t>Generally</t>
  </si>
  <si>
    <t>f/c error</t>
  </si>
  <si>
    <t>exp</t>
  </si>
  <si>
    <t>m</t>
  </si>
  <si>
    <t>b</t>
  </si>
  <si>
    <t>R^2</t>
  </si>
  <si>
    <t>todo resolve step</t>
  </si>
  <si>
    <t>day of doubling</t>
  </si>
  <si>
    <t>Day of Week</t>
  </si>
  <si>
    <t>poor forecast, for exponential</t>
  </si>
  <si>
    <t>exp2</t>
  </si>
  <si>
    <t>actuals</t>
  </si>
  <si>
    <t>From Github:</t>
  </si>
  <si>
    <t>Incubation Period</t>
  </si>
  <si>
    <t>Peer Review</t>
  </si>
  <si>
    <t>Value</t>
  </si>
  <si>
    <t>Lower Bound</t>
  </si>
  <si>
    <t>Upper Bound</t>
  </si>
  <si>
    <t>Country</t>
  </si>
  <si>
    <t>Location</t>
  </si>
  <si>
    <t>Start Date</t>
  </si>
  <si>
    <t>End Date</t>
  </si>
  <si>
    <t>Published Date</t>
  </si>
  <si>
    <t>Source</t>
  </si>
  <si>
    <t>No</t>
  </si>
  <si>
    <t>China</t>
  </si>
  <si>
    <t>excluding Wuhan</t>
  </si>
  <si>
    <t>Linton NM. et al.</t>
  </si>
  <si>
    <t>including Wuhan</t>
  </si>
  <si>
    <t>Mainland China</t>
  </si>
  <si>
    <t>Famulare et al.</t>
  </si>
  <si>
    <t>Yes</t>
  </si>
  <si>
    <t>Lauer SA. et al.</t>
  </si>
  <si>
    <t>Unspecified</t>
  </si>
  <si>
    <t>Sanche S. et al.</t>
  </si>
  <si>
    <t>Singapore</t>
  </si>
  <si>
    <t>Tindale LC. et al.</t>
  </si>
  <si>
    <t>Tianjin</t>
  </si>
  <si>
    <t>Qin J. et al.</t>
  </si>
  <si>
    <t>Shenzhen</t>
  </si>
  <si>
    <t>Qifang Bi et al.</t>
  </si>
  <si>
    <t>https://github.com/midas-network/COVID-19/tree/master/parameter_estimates/2019_novel_coronavirus</t>
  </si>
  <si>
    <t>Time From Symptom Onset To Death</t>
  </si>
  <si>
    <t>Dorigatt I. et al.</t>
  </si>
  <si>
    <t>Jung S. et al.</t>
  </si>
  <si>
    <t>prediction was 24000, for 18 days after Friday, 3/28</t>
  </si>
  <si>
    <t>is 18 days after 3/28</t>
  </si>
  <si>
    <t>Ref</t>
  </si>
  <si>
    <t xml:space="preserve">lookup deaths on &lt;&lt;-- </t>
  </si>
  <si>
    <t>log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</si>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</sst>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m/d;@"/>
    <numFmt numFmtId="165" formatCode="0.0"/>
    <numFmt numFmtId="166" formatCode="_(* #,##0_);_(* \(#,##0\);_(* &quot;-&quot;??_);_(@_)"/>
    <numFmt numFmtId="167" formatCode="0.000"/>
    <numFmt numFmtId="168" formatCode="0.0000"/>
  </numFmts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3" borderId="1" applyNumberFormat="0" applyAlignment="0" applyProtection="0"/>
    <xf numFmtId="0" fontId="5" fillId="0" borderId="2" applyNumberFormat="0" applyFill="0" applyAlignment="0" applyProtection="0"/>
    <xf numFmtId="43" fontId="6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1" applyNumberFormat="0" applyAlignment="0" applyProtection="0"/>
  </cellStyleXfs>
  <cellXfs count="4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1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quotePrefix="1" applyAlignment="1">
      <alignment wrapText="1"/>
    </xf>
    <xf numFmtId="164" fontId="0" fillId="0" borderId="0" xfId="0" applyNumberFormat="1"/>
    <xf numFmtId="165" fontId="0" fillId="0" borderId="0" xfId="0" applyNumberFormat="1"/>
    <xf numFmtId="165" fontId="5" fillId="0" borderId="2" xfId="2" applyNumberFormat="1"/>
    <xf numFmtId="166" fontId="0" fillId="0" borderId="0" xfId="3" applyNumberFormat="1" applyFont="1"/>
    <xf numFmtId="166" fontId="2" fillId="3" borderId="1" xfId="3" applyNumberFormat="1" applyFont="1" applyFill="1" applyBorder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6" xfId="0" applyBorder="1"/>
    <xf numFmtId="0" fontId="3" fillId="0" borderId="0" xfId="0" quotePrefix="1" applyFont="1" applyBorder="1"/>
    <xf numFmtId="0" fontId="3" fillId="0" borderId="0" xfId="0" applyFont="1" applyBorder="1"/>
    <xf numFmtId="0" fontId="0" fillId="0" borderId="0" xfId="0" applyBorder="1"/>
    <xf numFmtId="0" fontId="0" fillId="0" borderId="7" xfId="0" applyBorder="1"/>
    <xf numFmtId="14" fontId="0" fillId="0" borderId="0" xfId="0" applyNumberFormat="1" applyBorder="1"/>
    <xf numFmtId="0" fontId="2" fillId="3" borderId="1" xfId="1" applyBorder="1"/>
    <xf numFmtId="165" fontId="0" fillId="0" borderId="7" xfId="0" applyNumberFormat="1" applyBorder="1"/>
    <xf numFmtId="0" fontId="0" fillId="0" borderId="6" xfId="0" applyBorder="1" applyAlignment="1">
      <alignment wrapText="1"/>
    </xf>
    <xf numFmtId="0" fontId="0" fillId="2" borderId="0" xfId="0" applyFill="1" applyBorder="1"/>
    <xf numFmtId="164" fontId="0" fillId="0" borderId="8" xfId="0" applyNumberFormat="1" applyBorder="1"/>
    <xf numFmtId="0" fontId="0" fillId="0" borderId="9" xfId="0" applyBorder="1"/>
    <xf numFmtId="14" fontId="0" fillId="0" borderId="9" xfId="0" applyNumberFormat="1" applyBorder="1"/>
    <xf numFmtId="0" fontId="2" fillId="3" borderId="9" xfId="1" applyBorder="1"/>
    <xf numFmtId="165" fontId="0" fillId="0" borderId="10" xfId="0" applyNumberFormat="1" applyFill="1" applyBorder="1"/>
    <xf numFmtId="14" fontId="0" fillId="0" borderId="0" xfId="0" applyNumberFormat="1"/>
    <xf numFmtId="168" fontId="0" fillId="0" borderId="0" xfId="0" applyNumberFormat="1"/>
    <xf numFmtId="2" fontId="0" fillId="0" borderId="0" xfId="0" applyNumberFormat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8" fillId="0" borderId="0" xfId="4" applyAlignment="1">
      <alignment vertical="center" wrapText="1"/>
    </xf>
    <xf numFmtId="0" fontId="8" fillId="0" borderId="0" xfId="4"/>
    <xf numFmtId="0" fontId="8" fillId="0" borderId="0" xfId="4" applyAlignment="1">
      <alignment vertical="center"/>
    </xf>
    <xf numFmtId="165" fontId="9" fillId="4" borderId="1" xfId="5" applyNumberFormat="1"/>
    <xf numFmtId="0" fontId="5" fillId="0" borderId="2" xfId="2"/>
    <xf numFmtId="14" fontId="9" fillId="4" borderId="1" xfId="5" applyNumberFormat="1"/>
    <xf numFmtId="0" fontId="9" fillId="4" borderId="1" xfId="5"/>
  </cellXfs>
  <cellStyles count="6">
    <cellStyle name="Calculation" xfId="1" builtinId="22"/>
    <cellStyle name="Comma" xfId="3" builtinId="3"/>
    <cellStyle name="Hyperlink" xfId="4" builtinId="8"/>
    <cellStyle name="Input" xfId="5" builtinId="20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Covid-19</a:t>
            </a:r>
            <a:r>
              <a:rPr lang="en-US" baseline="0"/>
              <a:t> Cases since March 3</a:t>
            </a:r>
            <a:endParaRPr lang="en-US"/>
          </a:p>
        </c:rich>
      </c:tx>
      <c:layout>
        <c:manualLayout>
          <c:xMode val="edge"/>
          <c:yMode val="edge"/>
          <c:x val="0.27461460631788026"/>
          <c:y val="6.8897637795275593E-2"/>
        </c:manualLayout>
      </c:layout>
      <c:overlay val="1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843137447171537E-2"/>
          <c:y val="1.5824385588165117E-2"/>
          <c:w val="0.89019685039370078"/>
          <c:h val="0.78509801186269035"/>
        </c:manualLayout>
      </c:layout>
      <c:scatterChart>
        <c:scatterStyle val="lineMarker"/>
        <c:varyColors val="0"/>
        <c:ser>
          <c:idx val="0"/>
          <c:order val="0"/>
          <c:tx>
            <c:strRef>
              <c:f>Summary!$C$2</c:f>
              <c:strCache>
                <c:ptCount val="1"/>
                <c:pt idx="0">
                  <c:v>Total Cases Reported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2"/>
            <c:dispRSqr val="1"/>
            <c:dispEq val="1"/>
            <c:trendlineLbl>
              <c:layout>
                <c:manualLayout>
                  <c:x val="-5.3854149302321019E-2"/>
                  <c:y val="7.0124274238447484E-2"/>
                </c:manualLayout>
              </c:layout>
              <c:numFmt formatCode="#,##0.000" sourceLinked="0"/>
              <c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Summary!$J$34:$J$99</c:f>
              <c:numCache>
                <c:formatCode>General</c:formatCode>
                <c:ptCount val="66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</c:numCache>
            </c:numRef>
          </c:xVal>
          <c:yVal>
            <c:numRef>
              <c:f>Summary!$C$34:$C$99</c:f>
              <c:numCache>
                <c:formatCode>General</c:formatCode>
                <c:ptCount val="66"/>
                <c:pt idx="0">
                  <c:v>275586</c:v>
                </c:pt>
                <c:pt idx="1">
                  <c:v>308850</c:v>
                </c:pt>
                <c:pt idx="2">
                  <c:v>337072</c:v>
                </c:pt>
                <c:pt idx="3">
                  <c:v>366667</c:v>
                </c:pt>
                <c:pt idx="4">
                  <c:v>396223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Summary!$F$2</c:f>
              <c:strCache>
                <c:ptCount val="1"/>
                <c:pt idx="0">
                  <c:v>Total Deaths x 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Summary!$J$3:$J$99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xVal>
          <c:yVal>
            <c:numRef>
              <c:f>Summary!$F$3:$F$99</c:f>
              <c:numCache>
                <c:formatCode>General</c:formatCode>
                <c:ptCount val="97"/>
                <c:pt idx="0">
                  <c:v>70</c:v>
                </c:pt>
                <c:pt idx="1">
                  <c:v>110</c:v>
                </c:pt>
                <c:pt idx="2">
                  <c:v>120</c:v>
                </c:pt>
                <c:pt idx="3">
                  <c:v>140</c:v>
                </c:pt>
                <c:pt idx="4">
                  <c:v>170</c:v>
                </c:pt>
                <c:pt idx="5">
                  <c:v>210</c:v>
                </c:pt>
                <c:pt idx="6">
                  <c:v>220</c:v>
                </c:pt>
                <c:pt idx="7">
                  <c:v>280</c:v>
                </c:pt>
                <c:pt idx="8">
                  <c:v>360</c:v>
                </c:pt>
                <c:pt idx="9">
                  <c:v>400</c:v>
                </c:pt>
                <c:pt idx="10">
                  <c:v>470</c:v>
                </c:pt>
                <c:pt idx="11">
                  <c:v>540</c:v>
                </c:pt>
                <c:pt idx="12">
                  <c:v>630</c:v>
                </c:pt>
                <c:pt idx="13">
                  <c:v>850</c:v>
                </c:pt>
                <c:pt idx="14">
                  <c:v>1080</c:v>
                </c:pt>
                <c:pt idx="15">
                  <c:v>1180</c:v>
                </c:pt>
                <c:pt idx="16">
                  <c:v>2000</c:v>
                </c:pt>
                <c:pt idx="17">
                  <c:v>2440</c:v>
                </c:pt>
                <c:pt idx="18">
                  <c:v>3070</c:v>
                </c:pt>
                <c:pt idx="19">
                  <c:v>4170</c:v>
                </c:pt>
                <c:pt idx="20">
                  <c:v>5520</c:v>
                </c:pt>
                <c:pt idx="21">
                  <c:v>7060</c:v>
                </c:pt>
                <c:pt idx="22">
                  <c:v>9420</c:v>
                </c:pt>
                <c:pt idx="23">
                  <c:v>12090</c:v>
                </c:pt>
                <c:pt idx="24">
                  <c:v>15810</c:v>
                </c:pt>
                <c:pt idx="25">
                  <c:v>20260</c:v>
                </c:pt>
                <c:pt idx="26">
                  <c:v>24670</c:v>
                </c:pt>
                <c:pt idx="27">
                  <c:v>29780</c:v>
                </c:pt>
                <c:pt idx="28">
                  <c:v>38730</c:v>
                </c:pt>
                <c:pt idx="29">
                  <c:v>51160</c:v>
                </c:pt>
                <c:pt idx="30">
                  <c:v>59260</c:v>
                </c:pt>
                <c:pt idx="31">
                  <c:v>70870</c:v>
                </c:pt>
                <c:pt idx="32">
                  <c:v>84070</c:v>
                </c:pt>
                <c:pt idx="33">
                  <c:v>96190</c:v>
                </c:pt>
                <c:pt idx="34">
                  <c:v>107830</c:v>
                </c:pt>
                <c:pt idx="35">
                  <c:v>127220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Summary!$G$2</c:f>
              <c:strCache>
                <c:ptCount val="1"/>
                <c:pt idx="0">
                  <c:v>Total Recovered x 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Summary!$J$3:$J$99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xVal>
          <c:yVal>
            <c:numRef>
              <c:f>Summary!$G$3:$G$99</c:f>
              <c:numCache>
                <c:formatCode>General</c:formatCode>
                <c:ptCount val="97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170</c:v>
                </c:pt>
                <c:pt idx="14">
                  <c:v>170</c:v>
                </c:pt>
                <c:pt idx="15">
                  <c:v>1060</c:v>
                </c:pt>
                <c:pt idx="16">
                  <c:v>1080</c:v>
                </c:pt>
                <c:pt idx="17">
                  <c:v>1470</c:v>
                </c:pt>
                <c:pt idx="18">
                  <c:v>1710</c:v>
                </c:pt>
                <c:pt idx="19">
                  <c:v>1780</c:v>
                </c:pt>
                <c:pt idx="21">
                  <c:v>3480</c:v>
                </c:pt>
                <c:pt idx="22">
                  <c:v>3610</c:v>
                </c:pt>
                <c:pt idx="23">
                  <c:v>6810</c:v>
                </c:pt>
                <c:pt idx="24">
                  <c:v>8690</c:v>
                </c:pt>
                <c:pt idx="25">
                  <c:v>10720</c:v>
                </c:pt>
                <c:pt idx="26">
                  <c:v>26650</c:v>
                </c:pt>
                <c:pt idx="27">
                  <c:v>56440</c:v>
                </c:pt>
                <c:pt idx="28">
                  <c:v>70240</c:v>
                </c:pt>
                <c:pt idx="29">
                  <c:v>85660</c:v>
                </c:pt>
                <c:pt idx="30">
                  <c:v>90010</c:v>
                </c:pt>
                <c:pt idx="31">
                  <c:v>97070</c:v>
                </c:pt>
                <c:pt idx="32">
                  <c:v>146520</c:v>
                </c:pt>
                <c:pt idx="33">
                  <c:v>174480</c:v>
                </c:pt>
                <c:pt idx="34">
                  <c:v>195810</c:v>
                </c:pt>
                <c:pt idx="35">
                  <c:v>217630</c:v>
                </c:pt>
              </c:numCache>
            </c:numRef>
          </c:yVal>
          <c:smooth val="0"/>
        </c:ser>
        <c:ser>
          <c:idx val="3"/>
          <c:order val="3"/>
          <c:tx>
            <c:v>First Total Cases Reported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Summary!$J$3:$J$34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Summary!$C$3:$C$34</c:f>
              <c:numCache>
                <c:formatCode>General</c:formatCode>
                <c:ptCount val="32"/>
                <c:pt idx="0">
                  <c:v>122</c:v>
                </c:pt>
                <c:pt idx="1">
                  <c:v>153</c:v>
                </c:pt>
                <c:pt idx="2">
                  <c:v>221</c:v>
                </c:pt>
                <c:pt idx="3">
                  <c:v>278</c:v>
                </c:pt>
                <c:pt idx="4">
                  <c:v>417</c:v>
                </c:pt>
                <c:pt idx="5">
                  <c:v>537</c:v>
                </c:pt>
                <c:pt idx="6">
                  <c:v>605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2726</c:v>
                </c:pt>
                <c:pt idx="12">
                  <c:v>3499</c:v>
                </c:pt>
                <c:pt idx="13">
                  <c:v>4632</c:v>
                </c:pt>
                <c:pt idx="14">
                  <c:v>6428</c:v>
                </c:pt>
                <c:pt idx="15">
                  <c:v>7786</c:v>
                </c:pt>
                <c:pt idx="16">
                  <c:v>13680</c:v>
                </c:pt>
                <c:pt idx="17">
                  <c:v>19101</c:v>
                </c:pt>
                <c:pt idx="18">
                  <c:v>25493</c:v>
                </c:pt>
                <c:pt idx="19">
                  <c:v>33276</c:v>
                </c:pt>
                <c:pt idx="20">
                  <c:v>43667</c:v>
                </c:pt>
                <c:pt idx="21">
                  <c:v>53740</c:v>
                </c:pt>
                <c:pt idx="22">
                  <c:v>65778</c:v>
                </c:pt>
                <c:pt idx="23">
                  <c:v>83836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215417</c:v>
                </c:pt>
                <c:pt idx="30">
                  <c:v>243453</c:v>
                </c:pt>
                <c:pt idx="31">
                  <c:v>275586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509592"/>
        <c:axId val="383513120"/>
      </c:scatterChart>
      <c:valAx>
        <c:axId val="383509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March 3, 2020</a:t>
                </a:r>
              </a:p>
            </c:rich>
          </c:tx>
          <c:layout>
            <c:manualLayout>
              <c:xMode val="edge"/>
              <c:yMode val="edge"/>
              <c:x val="0.40239815913421773"/>
              <c:y val="0.854563350035790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513120"/>
        <c:crosses val="autoZero"/>
        <c:crossBetween val="midCat"/>
      </c:valAx>
      <c:valAx>
        <c:axId val="38351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509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10549383381871788"/>
          <c:y val="0.1907722898274079"/>
          <c:w val="0.285295790392328"/>
          <c:h val="0.1704557384872345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Cases per Cases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Summary!$H$2</c:f>
              <c:strCache>
                <c:ptCount val="1"/>
                <c:pt idx="0">
                  <c:v>New Cases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Summary!$C$4:$C$99</c:f>
              <c:numCache>
                <c:formatCode>General</c:formatCode>
                <c:ptCount val="96"/>
                <c:pt idx="0">
                  <c:v>153</c:v>
                </c:pt>
                <c:pt idx="1">
                  <c:v>221</c:v>
                </c:pt>
                <c:pt idx="2">
                  <c:v>278</c:v>
                </c:pt>
                <c:pt idx="3">
                  <c:v>417</c:v>
                </c:pt>
                <c:pt idx="4">
                  <c:v>537</c:v>
                </c:pt>
                <c:pt idx="5">
                  <c:v>605</c:v>
                </c:pt>
                <c:pt idx="6">
                  <c:v>959</c:v>
                </c:pt>
                <c:pt idx="7">
                  <c:v>1281</c:v>
                </c:pt>
                <c:pt idx="8">
                  <c:v>1663</c:v>
                </c:pt>
                <c:pt idx="9">
                  <c:v>2179</c:v>
                </c:pt>
                <c:pt idx="10">
                  <c:v>2726</c:v>
                </c:pt>
                <c:pt idx="11">
                  <c:v>3499</c:v>
                </c:pt>
                <c:pt idx="12">
                  <c:v>4632</c:v>
                </c:pt>
                <c:pt idx="13">
                  <c:v>6428</c:v>
                </c:pt>
                <c:pt idx="14">
                  <c:v>7786</c:v>
                </c:pt>
                <c:pt idx="15">
                  <c:v>13680</c:v>
                </c:pt>
                <c:pt idx="16">
                  <c:v>19101</c:v>
                </c:pt>
                <c:pt idx="17">
                  <c:v>25493</c:v>
                </c:pt>
                <c:pt idx="18">
                  <c:v>33276</c:v>
                </c:pt>
                <c:pt idx="19">
                  <c:v>43667</c:v>
                </c:pt>
                <c:pt idx="20">
                  <c:v>53740</c:v>
                </c:pt>
                <c:pt idx="21">
                  <c:v>65778</c:v>
                </c:pt>
                <c:pt idx="22">
                  <c:v>83836</c:v>
                </c:pt>
                <c:pt idx="23">
                  <c:v>101657</c:v>
                </c:pt>
                <c:pt idx="24">
                  <c:v>121478</c:v>
                </c:pt>
                <c:pt idx="25">
                  <c:v>140886</c:v>
                </c:pt>
                <c:pt idx="26">
                  <c:v>161807</c:v>
                </c:pt>
                <c:pt idx="27">
                  <c:v>188172</c:v>
                </c:pt>
                <c:pt idx="28">
                  <c:v>215417</c:v>
                </c:pt>
                <c:pt idx="29">
                  <c:v>243453</c:v>
                </c:pt>
                <c:pt idx="30">
                  <c:v>275586</c:v>
                </c:pt>
                <c:pt idx="31">
                  <c:v>308850</c:v>
                </c:pt>
                <c:pt idx="32">
                  <c:v>337072</c:v>
                </c:pt>
                <c:pt idx="33">
                  <c:v>366667</c:v>
                </c:pt>
                <c:pt idx="34">
                  <c:v>396223</c:v>
                </c:pt>
              </c:numCache>
            </c:numRef>
          </c:xVal>
          <c:yVal>
            <c:numRef>
              <c:f>Summary!$H$4:$H$99</c:f>
              <c:numCache>
                <c:formatCode>General</c:formatCode>
                <c:ptCount val="96"/>
                <c:pt idx="0">
                  <c:v>31</c:v>
                </c:pt>
                <c:pt idx="1">
                  <c:v>68</c:v>
                </c:pt>
                <c:pt idx="2">
                  <c:v>57</c:v>
                </c:pt>
                <c:pt idx="3">
                  <c:v>139</c:v>
                </c:pt>
                <c:pt idx="4">
                  <c:v>120</c:v>
                </c:pt>
                <c:pt idx="5">
                  <c:v>68</c:v>
                </c:pt>
                <c:pt idx="6">
                  <c:v>354</c:v>
                </c:pt>
                <c:pt idx="7">
                  <c:v>322</c:v>
                </c:pt>
                <c:pt idx="8">
                  <c:v>382</c:v>
                </c:pt>
                <c:pt idx="9">
                  <c:v>516</c:v>
                </c:pt>
                <c:pt idx="10">
                  <c:v>547</c:v>
                </c:pt>
                <c:pt idx="11">
                  <c:v>773</c:v>
                </c:pt>
                <c:pt idx="12">
                  <c:v>1133</c:v>
                </c:pt>
                <c:pt idx="13">
                  <c:v>1796</c:v>
                </c:pt>
                <c:pt idx="14">
                  <c:v>1358</c:v>
                </c:pt>
                <c:pt idx="15">
                  <c:v>5894</c:v>
                </c:pt>
                <c:pt idx="16">
                  <c:v>5421</c:v>
                </c:pt>
                <c:pt idx="17">
                  <c:v>6392</c:v>
                </c:pt>
                <c:pt idx="18">
                  <c:v>7783</c:v>
                </c:pt>
                <c:pt idx="19">
                  <c:v>10391</c:v>
                </c:pt>
                <c:pt idx="20">
                  <c:v>10073</c:v>
                </c:pt>
                <c:pt idx="21">
                  <c:v>12038</c:v>
                </c:pt>
                <c:pt idx="22">
                  <c:v>18058</c:v>
                </c:pt>
                <c:pt idx="23">
                  <c:v>17821</c:v>
                </c:pt>
                <c:pt idx="24">
                  <c:v>19821</c:v>
                </c:pt>
                <c:pt idx="25">
                  <c:v>19408</c:v>
                </c:pt>
                <c:pt idx="26">
                  <c:v>20921</c:v>
                </c:pt>
                <c:pt idx="27">
                  <c:v>26365</c:v>
                </c:pt>
                <c:pt idx="28">
                  <c:v>27245</c:v>
                </c:pt>
                <c:pt idx="29">
                  <c:v>28036</c:v>
                </c:pt>
                <c:pt idx="30">
                  <c:v>32133</c:v>
                </c:pt>
                <c:pt idx="31">
                  <c:v>33264</c:v>
                </c:pt>
                <c:pt idx="32">
                  <c:v>28222</c:v>
                </c:pt>
                <c:pt idx="33">
                  <c:v>29595</c:v>
                </c:pt>
                <c:pt idx="34">
                  <c:v>29556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512728"/>
        <c:axId val="383510768"/>
      </c:scatterChart>
      <c:valAx>
        <c:axId val="383512728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Cases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510768"/>
        <c:crosses val="autoZero"/>
        <c:crossBetween val="midCat"/>
      </c:valAx>
      <c:valAx>
        <c:axId val="383510768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New Cases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512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60960</xdr:colOff>
      <xdr:row>1</xdr:row>
      <xdr:rowOff>17391</xdr:rowOff>
    </xdr:from>
    <xdr:to>
      <xdr:col>23</xdr:col>
      <xdr:colOff>685800</xdr:colOff>
      <xdr:row>1</xdr:row>
      <xdr:rowOff>293325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47320" y="466971"/>
          <a:ext cx="1234440" cy="275934"/>
        </a:xfrm>
        <a:prstGeom prst="rect">
          <a:avLst/>
        </a:prstGeom>
      </xdr:spPr>
    </xdr:pic>
    <xdr:clientData/>
  </xdr:twoCellAnchor>
  <xdr:twoCellAnchor editAs="oneCell">
    <xdr:from>
      <xdr:col>23</xdr:col>
      <xdr:colOff>396240</xdr:colOff>
      <xdr:row>27</xdr:row>
      <xdr:rowOff>114300</xdr:rowOff>
    </xdr:from>
    <xdr:to>
      <xdr:col>27</xdr:col>
      <xdr:colOff>321577</xdr:colOff>
      <xdr:row>31</xdr:row>
      <xdr:rowOff>39923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69540" y="5913120"/>
          <a:ext cx="2942857" cy="657143"/>
        </a:xfrm>
        <a:prstGeom prst="rect">
          <a:avLst/>
        </a:prstGeom>
      </xdr:spPr>
    </xdr:pic>
    <xdr:clientData/>
  </xdr:twoCellAnchor>
  <xdr:twoCellAnchor editAs="oneCell">
    <xdr:from>
      <xdr:col>22</xdr:col>
      <xdr:colOff>327660</xdr:colOff>
      <xdr:row>34</xdr:row>
      <xdr:rowOff>175260</xdr:rowOff>
    </xdr:from>
    <xdr:to>
      <xdr:col>28</xdr:col>
      <xdr:colOff>176654</xdr:colOff>
      <xdr:row>43</xdr:row>
      <xdr:rowOff>157911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71220" y="7071360"/>
          <a:ext cx="4085714" cy="1628571"/>
        </a:xfrm>
        <a:prstGeom prst="rect">
          <a:avLst/>
        </a:prstGeom>
      </xdr:spPr>
    </xdr:pic>
    <xdr:clientData/>
  </xdr:twoCellAnchor>
  <xdr:twoCellAnchor editAs="oneCell">
    <xdr:from>
      <xdr:col>18</xdr:col>
      <xdr:colOff>533400</xdr:colOff>
      <xdr:row>17</xdr:row>
      <xdr:rowOff>45720</xdr:rowOff>
    </xdr:from>
    <xdr:to>
      <xdr:col>24</xdr:col>
      <xdr:colOff>550044</xdr:colOff>
      <xdr:row>29</xdr:row>
      <xdr:rowOff>165446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04420" y="4015740"/>
          <a:ext cx="4009524" cy="2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91440</xdr:rowOff>
    </xdr:from>
    <xdr:to>
      <xdr:col>10</xdr:col>
      <xdr:colOff>175260</xdr:colOff>
      <xdr:row>28</xdr:row>
      <xdr:rowOff>0</xdr:rowOff>
    </xdr:to>
    <xdr:graphicFrame macro="">
      <xdr:nvGraphicFramePr>
        <xdr:cNvPr id="3" name="Chart 2" descr="Richard Pellessier" title="Exponential fit to Covid-19 Case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350520</xdr:colOff>
      <xdr:row>1</xdr:row>
      <xdr:rowOff>175260</xdr:rowOff>
    </xdr:from>
    <xdr:to>
      <xdr:col>18</xdr:col>
      <xdr:colOff>518160</xdr:colOff>
      <xdr:row>23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0.11861</cdr:x>
      <cdr:y>0.60037</cdr:y>
    </cdr:from>
    <cdr:to>
      <cdr:x>0.50685</cdr:x>
      <cdr:y>0.72273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25770" y="3019361"/>
          <a:ext cx="2375570" cy="61537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accent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rtl="0"/>
          <a:r>
            <a:rPr lang="en-US" sz="900" b="0" i="0" baseline="0">
              <a:effectLst/>
              <a:latin typeface="+mn-lt"/>
              <a:ea typeface="+mn-ea"/>
              <a:cs typeface="+mn-cs"/>
            </a:rPr>
            <a:t>data from JHU viaGitHub,</a:t>
          </a:r>
          <a:endParaRPr lang="en-US" sz="900">
            <a:effectLst/>
          </a:endParaRPr>
        </a:p>
        <a:p xmlns:a="http://schemas.openxmlformats.org/drawingml/2006/main">
          <a:pPr rtl="0"/>
          <a:r>
            <a:rPr lang="en-US" sz="900" b="0" i="0" baseline="0">
              <a:effectLst/>
              <a:latin typeface="+mn-lt"/>
              <a:ea typeface="+mn-ea"/>
              <a:cs typeface="+mn-cs"/>
            </a:rPr>
            <a:t>https://github.com/CSSEGISandData/COVID-19,</a:t>
          </a:r>
          <a:br>
            <a:rPr lang="en-US" sz="900" b="0" i="0" baseline="0">
              <a:effectLst/>
              <a:latin typeface="+mn-lt"/>
              <a:ea typeface="+mn-ea"/>
              <a:cs typeface="+mn-cs"/>
            </a:rPr>
          </a:br>
          <a:r>
            <a:rPr lang="en-US" sz="900" b="0" i="0" baseline="0">
              <a:effectLst/>
              <a:latin typeface="+mn-lt"/>
              <a:ea typeface="+mn-ea"/>
              <a:cs typeface="+mn-cs"/>
            </a:rPr>
            <a:t>logarithm fit by Richard Pellessier</a:t>
          </a:r>
          <a:endParaRPr lang="en-US" sz="900"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218209</xdr:colOff>
      <xdr:row>28</xdr:row>
      <xdr:rowOff>100335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6923809" cy="5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rxiv.org/content/10.1101/2020.03.03.20029983v1" TargetMode="External"/><Relationship Id="rId13" Type="http://schemas.openxmlformats.org/officeDocument/2006/relationships/hyperlink" Target="https://www.medrxiv.org/content/10.1101/2020.03.03.20029983v1" TargetMode="External"/><Relationship Id="rId18" Type="http://schemas.openxmlformats.org/officeDocument/2006/relationships/hyperlink" Target="https://github.com/midas-network/COVID-19/tree/master/parameter_estimates/2019_novel_coronavirus" TargetMode="External"/><Relationship Id="rId3" Type="http://schemas.openxmlformats.org/officeDocument/2006/relationships/hyperlink" Target="https://institutefordiseasemodeling.github.io/nCoV-public/analyses/individual_dynamics_estimates/nCoV_incubation_period.html" TargetMode="External"/><Relationship Id="rId7" Type="http://schemas.openxmlformats.org/officeDocument/2006/relationships/hyperlink" Target="https://www.medrxiv.org/content/10.1101/2020.03.03.20029983v1" TargetMode="External"/><Relationship Id="rId12" Type="http://schemas.openxmlformats.org/officeDocument/2006/relationships/hyperlink" Target="https://www.medrxiv.org/content/10.1101/2020.03.03.20029983v1" TargetMode="External"/><Relationship Id="rId17" Type="http://schemas.openxmlformats.org/officeDocument/2006/relationships/hyperlink" Target="https://www.medrxiv.org/content/10.1101/2020.03.03.20028423v1.article-info" TargetMode="External"/><Relationship Id="rId2" Type="http://schemas.openxmlformats.org/officeDocument/2006/relationships/hyperlink" Target="https://www.medrxiv.org/content/medrxiv/early/2020/01/28/2020.01.26.20018754.full.pdf" TargetMode="External"/><Relationship Id="rId16" Type="http://schemas.openxmlformats.org/officeDocument/2006/relationships/hyperlink" Target="https://www.medrxiv.org/content/10.1101/2020.03.06.20032417v1" TargetMode="External"/><Relationship Id="rId1" Type="http://schemas.openxmlformats.org/officeDocument/2006/relationships/hyperlink" Target="https://www.medrxiv.org/content/medrxiv/early/2020/01/28/2020.01.26.20018754.full.pdf" TargetMode="External"/><Relationship Id="rId6" Type="http://schemas.openxmlformats.org/officeDocument/2006/relationships/hyperlink" Target="https://www.medrxiv.org/content/10.1101/2020.03.03.20029983v1" TargetMode="External"/><Relationship Id="rId11" Type="http://schemas.openxmlformats.org/officeDocument/2006/relationships/hyperlink" Target="https://www.medrxiv.org/content/10.1101/2020.03.03.20029983v1" TargetMode="External"/><Relationship Id="rId5" Type="http://schemas.openxmlformats.org/officeDocument/2006/relationships/hyperlink" Target="https://www.medrxiv.org/content/10.1101/2020.02.07.20021154v1" TargetMode="External"/><Relationship Id="rId15" Type="http://schemas.openxmlformats.org/officeDocument/2006/relationships/hyperlink" Target="https://www.medrxiv.org/content/10.1101/2020.03.06.20032417v1" TargetMode="External"/><Relationship Id="rId10" Type="http://schemas.openxmlformats.org/officeDocument/2006/relationships/hyperlink" Target="https://www.medrxiv.org/content/10.1101/2020.03.03.20029983v1" TargetMode="External"/><Relationship Id="rId19" Type="http://schemas.openxmlformats.org/officeDocument/2006/relationships/hyperlink" Target="https://github.com/midas-network/COVID-19/tree/master/parameter_estimates/2019_novel_coronavirus" TargetMode="External"/><Relationship Id="rId4" Type="http://schemas.openxmlformats.org/officeDocument/2006/relationships/hyperlink" Target="https://annals.org/aim/fullarticle/2762808/incubation-period-coronavirus-disease-2019-covid-19-from-publicly-reported" TargetMode="External"/><Relationship Id="rId9" Type="http://schemas.openxmlformats.org/officeDocument/2006/relationships/hyperlink" Target="https://www.medrxiv.org/content/10.1101/2020.03.03.20029983v1" TargetMode="External"/><Relationship Id="rId14" Type="http://schemas.openxmlformats.org/officeDocument/2006/relationships/hyperlink" Target="https://www.medrxiv.org/content/10.1101/2020.03.03.20029983v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rxiv.org/content/medrxiv/early/2020/01/28/2020.01.26.20018754.full.pdf" TargetMode="External"/><Relationship Id="rId2" Type="http://schemas.openxmlformats.org/officeDocument/2006/relationships/hyperlink" Target="https://www.imperial.ac.uk/mrc-global-infectious-disease-analysis/news--wuhan-coronavirus/" TargetMode="External"/><Relationship Id="rId1" Type="http://schemas.openxmlformats.org/officeDocument/2006/relationships/hyperlink" Target="https://github.com/midas-network/COVID-19/tree/master/parameter_estimates/2019_novel_coronavirus" TargetMode="External"/><Relationship Id="rId4" Type="http://schemas.openxmlformats.org/officeDocument/2006/relationships/hyperlink" Target="http://medrxiv.org/content/early/2020/02/02/2020.01.29.20019547.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"/>
  <sheetViews>
    <sheetView workbookViewId="0">
      <pane xSplit="1" ySplit="2" topLeftCell="B25" activePane="bottomRight" state="frozen"/>
      <selection pane="topRight" activeCell="B1" sqref="B1"/>
      <selection pane="bottomLeft" activeCell="A3" sqref="A3"/>
      <selection pane="bottomRight" activeCell="A38" sqref="A38"/>
    </sheetView>
  </sheetViews>
  <sheetFormatPr defaultRowHeight="14.4" x14ac:dyDescent="0.3"/>
  <cols>
    <col min="1" max="1" width="8.33203125" customWidth="1"/>
    <col min="3" max="3" width="10.5546875" customWidth="1"/>
    <col min="4" max="4" width="6.6640625" customWidth="1"/>
    <col min="5" max="5" width="9.6640625" customWidth="1"/>
    <col min="6" max="6" width="7.88671875" style="5" customWidth="1"/>
    <col min="7" max="7" width="9.6640625" style="5" customWidth="1"/>
    <col min="8" max="8" width="6.44140625" customWidth="1"/>
    <col min="9" max="9" width="6.6640625" customWidth="1"/>
    <col min="10" max="10" width="9.44140625" customWidth="1"/>
    <col min="11" max="11" width="12.21875" customWidth="1"/>
    <col min="12" max="12" width="7" bestFit="1" customWidth="1"/>
    <col min="13" max="13" width="14" customWidth="1"/>
    <col min="14" max="14" width="12" bestFit="1" customWidth="1"/>
    <col min="15" max="15" width="7.44140625" customWidth="1"/>
    <col min="16" max="16" width="17.21875" bestFit="1" customWidth="1"/>
    <col min="17" max="17" width="10" customWidth="1"/>
    <col min="18" max="18" width="10.44140625" customWidth="1"/>
    <col min="19" max="19" width="9.5546875" customWidth="1"/>
    <col min="20" max="21" width="7.33203125" customWidth="1"/>
    <col min="22" max="22" width="10.6640625" customWidth="1"/>
    <col min="24" max="24" width="14.44140625" bestFit="1" customWidth="1"/>
    <col min="25" max="25" width="11.109375" customWidth="1"/>
    <col min="26" max="26" width="9.5546875" bestFit="1" customWidth="1"/>
  </cols>
  <sheetData>
    <row r="1" spans="1:29" ht="35.4" customHeight="1" thickBot="1" x14ac:dyDescent="0.55000000000000004">
      <c r="A1" s="3" t="s">
        <v>0</v>
      </c>
      <c r="J1" t="s">
        <v>38</v>
      </c>
      <c r="M1" t="s">
        <v>34</v>
      </c>
      <c r="N1" s="2" t="str">
        <f>" y = b*m^x or y=m*ln(x)+b"</f>
        <v xml:space="preserve"> y = b*m^x or y=m*ln(x)+b</v>
      </c>
      <c r="O1" s="2"/>
      <c r="P1" t="s">
        <v>39</v>
      </c>
    </row>
    <row r="2" spans="1:29" ht="42.6" customHeight="1" x14ac:dyDescent="0.3">
      <c r="A2" s="2" t="s">
        <v>21</v>
      </c>
      <c r="B2" s="2" t="s">
        <v>48</v>
      </c>
      <c r="C2" s="2" t="s">
        <v>2</v>
      </c>
      <c r="D2" s="2" t="s">
        <v>3</v>
      </c>
      <c r="E2" s="2" t="s">
        <v>6</v>
      </c>
      <c r="F2" s="6" t="str">
        <f>"Total Deaths x "&amp;W7</f>
        <v>Total Deaths x 10</v>
      </c>
      <c r="G2" s="6" t="str">
        <f>"Total Recovered x "&amp;X7</f>
        <v>Total Recovered x 10</v>
      </c>
      <c r="H2" s="2" t="s">
        <v>5</v>
      </c>
      <c r="I2" s="2" t="s">
        <v>4</v>
      </c>
      <c r="J2" s="2" t="s">
        <v>20</v>
      </c>
      <c r="K2" s="2" t="s">
        <v>49</v>
      </c>
      <c r="L2" s="2" t="s">
        <v>90</v>
      </c>
      <c r="M2" s="2" t="s">
        <v>43</v>
      </c>
      <c r="N2" s="2" t="s">
        <v>44</v>
      </c>
      <c r="O2" s="2" t="s">
        <v>45</v>
      </c>
      <c r="P2" s="2" t="s">
        <v>33</v>
      </c>
      <c r="Q2" s="2" t="s">
        <v>41</v>
      </c>
      <c r="R2" s="7" t="s">
        <v>36</v>
      </c>
      <c r="S2" s="7"/>
      <c r="T2" s="2" t="s">
        <v>47</v>
      </c>
      <c r="U2" s="2"/>
      <c r="V2" s="14"/>
      <c r="W2" s="15"/>
      <c r="X2" s="15"/>
      <c r="Y2" s="16" t="s">
        <v>35</v>
      </c>
      <c r="Z2" s="15"/>
      <c r="AA2" s="15"/>
      <c r="AB2" s="15"/>
      <c r="AC2" s="17"/>
    </row>
    <row r="3" spans="1:29" ht="18" x14ac:dyDescent="0.4">
      <c r="A3" s="8">
        <v>43893</v>
      </c>
      <c r="B3" t="s">
        <v>9</v>
      </c>
      <c r="C3">
        <v>122</v>
      </c>
      <c r="D3">
        <v>7</v>
      </c>
      <c r="E3">
        <v>8</v>
      </c>
      <c r="F3" s="1">
        <f t="shared" ref="F3:F22" si="0">D3*$W$7</f>
        <v>70</v>
      </c>
      <c r="G3" s="1">
        <f t="shared" ref="G3:G22" si="1">E3*$W$7</f>
        <v>80</v>
      </c>
      <c r="J3">
        <v>0</v>
      </c>
      <c r="K3" s="4">
        <f t="shared" ref="K3:K34" si="2">W$4*EXP(X$4*J3)</f>
        <v>117.55</v>
      </c>
      <c r="L3" s="4" t="s">
        <v>42</v>
      </c>
      <c r="M3" s="4"/>
      <c r="V3" s="18"/>
      <c r="W3" s="19" t="s">
        <v>18</v>
      </c>
      <c r="X3" s="20" t="s">
        <v>17</v>
      </c>
      <c r="Y3" s="21" t="s">
        <v>1</v>
      </c>
      <c r="Z3" s="21" t="s">
        <v>16</v>
      </c>
      <c r="AA3" s="21" t="s">
        <v>15</v>
      </c>
      <c r="AB3" s="21" t="s">
        <v>19</v>
      </c>
      <c r="AC3" s="22"/>
    </row>
    <row r="4" spans="1:29" x14ac:dyDescent="0.3">
      <c r="A4" s="8">
        <v>43894</v>
      </c>
      <c r="B4" t="s">
        <v>10</v>
      </c>
      <c r="C4">
        <v>153</v>
      </c>
      <c r="D4">
        <v>11</v>
      </c>
      <c r="E4">
        <v>8</v>
      </c>
      <c r="F4" s="1">
        <f t="shared" si="0"/>
        <v>110</v>
      </c>
      <c r="G4" s="1">
        <f t="shared" si="1"/>
        <v>80</v>
      </c>
      <c r="H4">
        <f t="shared" ref="H4:H11" si="3">C4-C3</f>
        <v>31</v>
      </c>
      <c r="I4">
        <f>D4-D3</f>
        <v>4</v>
      </c>
      <c r="J4">
        <f>J3+1</f>
        <v>1</v>
      </c>
      <c r="K4" s="4">
        <f t="shared" si="2"/>
        <v>157.47453694199237</v>
      </c>
      <c r="L4" s="4" t="s">
        <v>42</v>
      </c>
      <c r="M4" s="4"/>
      <c r="V4" s="18"/>
      <c r="W4" s="21">
        <f>Z6</f>
        <v>117.55</v>
      </c>
      <c r="X4" s="21">
        <f>AA6</f>
        <v>0.29239999999999999</v>
      </c>
      <c r="Y4" s="23">
        <v>43541</v>
      </c>
      <c r="Z4" s="21">
        <v>91.9</v>
      </c>
      <c r="AA4" s="21">
        <v>0.28599999999999998</v>
      </c>
      <c r="AB4" s="24">
        <f>LN(2)/AA4</f>
        <v>2.4235915404193893</v>
      </c>
      <c r="AC4" s="25">
        <f>AB4*24</f>
        <v>58.166196970065343</v>
      </c>
    </row>
    <row r="5" spans="1:29" x14ac:dyDescent="0.3">
      <c r="A5" s="8">
        <v>43895</v>
      </c>
      <c r="B5" t="s">
        <v>11</v>
      </c>
      <c r="C5">
        <v>221</v>
      </c>
      <c r="D5">
        <v>12</v>
      </c>
      <c r="E5">
        <v>8</v>
      </c>
      <c r="F5" s="1">
        <f t="shared" si="0"/>
        <v>120</v>
      </c>
      <c r="G5" s="1">
        <f t="shared" si="1"/>
        <v>80</v>
      </c>
      <c r="H5">
        <f t="shared" si="3"/>
        <v>68</v>
      </c>
      <c r="I5">
        <f t="shared" ref="I5:I16" si="4">D5-D4</f>
        <v>1</v>
      </c>
      <c r="J5">
        <f t="shared" ref="J5:J38" si="5">J4+1</f>
        <v>2</v>
      </c>
      <c r="K5" s="4">
        <f t="shared" si="2"/>
        <v>210.95899434364034</v>
      </c>
      <c r="L5" s="4" t="s">
        <v>42</v>
      </c>
      <c r="M5" s="4"/>
      <c r="V5" s="18"/>
      <c r="W5" s="21"/>
      <c r="X5" s="21"/>
      <c r="Y5" s="23">
        <v>43909</v>
      </c>
      <c r="Z5" s="21">
        <v>92.456999999999994</v>
      </c>
      <c r="AA5" s="21">
        <v>0.28439999999999999</v>
      </c>
      <c r="AB5" s="24">
        <f t="shared" ref="AB5:AB6" si="6">LN(2)/AA5</f>
        <v>2.4372263732768822</v>
      </c>
      <c r="AC5" s="25">
        <f>AB5*24</f>
        <v>58.493432958645172</v>
      </c>
    </row>
    <row r="6" spans="1:29" x14ac:dyDescent="0.3">
      <c r="A6" s="8">
        <v>43896</v>
      </c>
      <c r="B6" t="s">
        <v>12</v>
      </c>
      <c r="C6">
        <v>278</v>
      </c>
      <c r="D6">
        <v>14</v>
      </c>
      <c r="E6">
        <v>8</v>
      </c>
      <c r="F6" s="1">
        <f t="shared" si="0"/>
        <v>140</v>
      </c>
      <c r="G6" s="1">
        <f t="shared" si="1"/>
        <v>80</v>
      </c>
      <c r="H6">
        <f t="shared" si="3"/>
        <v>57</v>
      </c>
      <c r="I6">
        <f t="shared" si="4"/>
        <v>2</v>
      </c>
      <c r="J6">
        <f t="shared" si="5"/>
        <v>3</v>
      </c>
      <c r="K6" s="4">
        <f t="shared" si="2"/>
        <v>282.60884685676865</v>
      </c>
      <c r="L6" s="4" t="s">
        <v>42</v>
      </c>
      <c r="M6" s="34">
        <f t="array" ref="M6:N6">LOGEST($C$3:C6,$J$3:J6,1,0)</f>
        <v>1.3282369996186119</v>
      </c>
      <c r="N6" s="35">
        <v>120.21501694494958</v>
      </c>
      <c r="O6" s="13">
        <f>INDEX(LOGEST($C$3:C6,$J$3:J6,1,1),3,1)</f>
        <v>0.99038673955071954</v>
      </c>
      <c r="P6" s="4">
        <f>N6*EXP(LN(2/J6))</f>
        <v>80.143344629966379</v>
      </c>
      <c r="Q6" s="4">
        <f t="shared" ref="Q6:Q29" si="7">P6-C6</f>
        <v>-197.85665537003362</v>
      </c>
      <c r="R6" s="9">
        <f t="shared" ref="R6:R28" si="8">24*LN(2)/(M6-1)</f>
        <v>50.681465991853436</v>
      </c>
      <c r="S6" s="9"/>
      <c r="V6" s="18"/>
      <c r="W6" s="21"/>
      <c r="X6" s="21"/>
      <c r="Y6" s="23">
        <v>43912</v>
      </c>
      <c r="Z6" s="21">
        <v>117.55</v>
      </c>
      <c r="AA6" s="21">
        <v>0.29239999999999999</v>
      </c>
      <c r="AB6" s="24">
        <f t="shared" si="6"/>
        <v>2.3705443931598675</v>
      </c>
      <c r="AC6" s="25">
        <f>AB6*24</f>
        <v>56.893065435836817</v>
      </c>
    </row>
    <row r="7" spans="1:29" ht="28.8" x14ac:dyDescent="0.3">
      <c r="A7" s="8">
        <v>43897</v>
      </c>
      <c r="B7" t="s">
        <v>13</v>
      </c>
      <c r="C7">
        <v>417</v>
      </c>
      <c r="D7">
        <v>17</v>
      </c>
      <c r="E7">
        <v>8</v>
      </c>
      <c r="F7" s="1">
        <f t="shared" si="0"/>
        <v>170</v>
      </c>
      <c r="G7" s="1">
        <f t="shared" si="1"/>
        <v>80</v>
      </c>
      <c r="H7">
        <f t="shared" si="3"/>
        <v>139</v>
      </c>
      <c r="I7">
        <f t="shared" si="4"/>
        <v>3</v>
      </c>
      <c r="J7">
        <f t="shared" si="5"/>
        <v>4</v>
      </c>
      <c r="K7" s="4">
        <f t="shared" si="2"/>
        <v>378.59376686074074</v>
      </c>
      <c r="L7" s="4" t="s">
        <v>42</v>
      </c>
      <c r="M7" s="34">
        <f t="array" ref="M7:N7">LOGEST($C$3:C7,$J$3:J7,1,1)</f>
        <v>1.35734604354744</v>
      </c>
      <c r="N7" s="35">
        <v>117.63693877115561</v>
      </c>
      <c r="O7" s="13">
        <f>INDEX(LOGEST($C$3:C7,$J$3:J7,1,1),3,1)</f>
        <v>0.99086074640158084</v>
      </c>
      <c r="P7" s="4">
        <f t="shared" ref="P7:P12" si="9">N7*EXP(LN(2/J7))</f>
        <v>58.818469385577806</v>
      </c>
      <c r="Q7" s="4">
        <f t="shared" si="7"/>
        <v>-358.18153061442217</v>
      </c>
      <c r="R7" s="9">
        <f t="shared" si="8"/>
        <v>46.553005507755707</v>
      </c>
      <c r="S7" s="9"/>
      <c r="V7" s="26" t="s">
        <v>7</v>
      </c>
      <c r="W7" s="27">
        <v>10</v>
      </c>
      <c r="X7" s="27">
        <v>10</v>
      </c>
      <c r="Y7" s="23">
        <v>43914</v>
      </c>
      <c r="Z7" s="21">
        <v>116.95</v>
      </c>
      <c r="AA7" s="21">
        <v>0.29320000000000002</v>
      </c>
      <c r="AB7" s="24">
        <f>LN(2)/AA7</f>
        <v>2.3640763320598404</v>
      </c>
      <c r="AC7" s="25">
        <f>AB7*24</f>
        <v>56.737831969436172</v>
      </c>
    </row>
    <row r="8" spans="1:29" ht="15" thickBot="1" x14ac:dyDescent="0.35">
      <c r="A8" s="8">
        <v>43898</v>
      </c>
      <c r="B8" t="s">
        <v>14</v>
      </c>
      <c r="C8">
        <v>537</v>
      </c>
      <c r="D8">
        <v>21</v>
      </c>
      <c r="E8">
        <v>8</v>
      </c>
      <c r="F8" s="1">
        <f t="shared" si="0"/>
        <v>210</v>
      </c>
      <c r="G8" s="1">
        <f t="shared" si="1"/>
        <v>80</v>
      </c>
      <c r="H8">
        <f t="shared" si="3"/>
        <v>120</v>
      </c>
      <c r="I8">
        <f t="shared" si="4"/>
        <v>4</v>
      </c>
      <c r="J8">
        <f t="shared" si="5"/>
        <v>5</v>
      </c>
      <c r="K8" s="4">
        <f t="shared" si="2"/>
        <v>507.17888664840297</v>
      </c>
      <c r="L8" s="4" t="s">
        <v>42</v>
      </c>
      <c r="M8" s="34">
        <f t="array" ref="M8:N8">LOGEST($C$3:C8,$J$3:J8,1,1)</f>
        <v>1.35555131298955</v>
      </c>
      <c r="N8" s="35">
        <v>117.84465074893465</v>
      </c>
      <c r="O8" s="13">
        <f>INDEX(LOGEST($C$3:C8,$J$3:J8,1,1),3,1)</f>
        <v>0.99468661324196472</v>
      </c>
      <c r="P8" s="4">
        <f t="shared" si="9"/>
        <v>47.137860299573866</v>
      </c>
      <c r="Q8" s="4">
        <f t="shared" si="7"/>
        <v>-489.86213970042616</v>
      </c>
      <c r="R8" s="9">
        <f t="shared" si="8"/>
        <v>46.787992972276328</v>
      </c>
      <c r="S8" s="9"/>
      <c r="V8" s="28"/>
      <c r="W8" s="29"/>
      <c r="X8" s="29"/>
      <c r="Y8" s="30">
        <v>43916</v>
      </c>
      <c r="Z8" s="29">
        <v>119.42</v>
      </c>
      <c r="AA8" s="29">
        <v>0.2903</v>
      </c>
      <c r="AB8" s="31">
        <f>LN(2)/AA8</f>
        <v>2.3876926646915098</v>
      </c>
      <c r="AC8" s="32">
        <f>AB8*24</f>
        <v>57.304623952596231</v>
      </c>
    </row>
    <row r="9" spans="1:29" x14ac:dyDescent="0.3">
      <c r="A9" s="8">
        <v>43899</v>
      </c>
      <c r="B9" t="s">
        <v>8</v>
      </c>
      <c r="C9">
        <v>605</v>
      </c>
      <c r="D9">
        <v>22</v>
      </c>
      <c r="E9">
        <v>8</v>
      </c>
      <c r="F9" s="1">
        <f t="shared" si="0"/>
        <v>220</v>
      </c>
      <c r="G9" s="1">
        <f t="shared" si="1"/>
        <v>80</v>
      </c>
      <c r="H9">
        <f t="shared" si="3"/>
        <v>68</v>
      </c>
      <c r="I9">
        <f t="shared" si="4"/>
        <v>1</v>
      </c>
      <c r="J9">
        <f t="shared" si="5"/>
        <v>6</v>
      </c>
      <c r="K9" s="4">
        <f t="shared" si="2"/>
        <v>679.43649784527861</v>
      </c>
      <c r="L9" s="4" t="s">
        <v>42</v>
      </c>
      <c r="M9" s="34">
        <f t="array" ref="M9:N9">LOGEST($C$3:C9,$J$3:J9,1,1)</f>
        <v>1.3283222060422724</v>
      </c>
      <c r="N9" s="35">
        <v>121.89823630186045</v>
      </c>
      <c r="O9" s="13">
        <f>INDEX(LOGEST($C$3:C9,$J$3:J9,1,1),3,1)</f>
        <v>0.98780435696510238</v>
      </c>
      <c r="P9" s="4">
        <f t="shared" si="9"/>
        <v>40.632745433953481</v>
      </c>
      <c r="Q9" s="4">
        <f t="shared" si="7"/>
        <v>-564.36725456604654</v>
      </c>
      <c r="R9" s="9">
        <f t="shared" si="8"/>
        <v>50.668313100018636</v>
      </c>
      <c r="S9" s="9"/>
      <c r="V9" s="8"/>
    </row>
    <row r="10" spans="1:29" x14ac:dyDescent="0.3">
      <c r="A10" s="8">
        <v>43900</v>
      </c>
      <c r="B10" t="s">
        <v>9</v>
      </c>
      <c r="C10">
        <v>959</v>
      </c>
      <c r="D10">
        <v>28</v>
      </c>
      <c r="E10">
        <v>8</v>
      </c>
      <c r="F10" s="1">
        <f t="shared" si="0"/>
        <v>280</v>
      </c>
      <c r="G10" s="1">
        <f t="shared" si="1"/>
        <v>80</v>
      </c>
      <c r="H10">
        <f t="shared" si="3"/>
        <v>354</v>
      </c>
      <c r="I10">
        <f t="shared" si="4"/>
        <v>6</v>
      </c>
      <c r="J10">
        <f t="shared" si="5"/>
        <v>7</v>
      </c>
      <c r="K10" s="4">
        <f t="shared" si="2"/>
        <v>910.19947154125293</v>
      </c>
      <c r="L10" s="4" t="s">
        <v>42</v>
      </c>
      <c r="M10" s="34">
        <f t="array" ref="M10:N10">LOGEST($C$3:C10,$J$3:J10,1,1)</f>
        <v>1.336682295553125</v>
      </c>
      <c r="N10" s="35">
        <v>120.37821419336248</v>
      </c>
      <c r="O10" s="13">
        <f>INDEX(LOGEST($C$3:C10,$J$3:J10,1,1),3,1)</f>
        <v>0.99126337810614773</v>
      </c>
      <c r="P10" s="4">
        <f t="shared" si="9"/>
        <v>34.393775483817848</v>
      </c>
      <c r="Q10" s="4">
        <f t="shared" si="7"/>
        <v>-924.60622451618212</v>
      </c>
      <c r="R10" s="9">
        <f t="shared" si="8"/>
        <v>49.410178536737966</v>
      </c>
      <c r="S10" s="9"/>
      <c r="V10" s="8"/>
    </row>
    <row r="11" spans="1:29" x14ac:dyDescent="0.3">
      <c r="A11" s="8">
        <v>43901</v>
      </c>
      <c r="B11" t="s">
        <v>10</v>
      </c>
      <c r="C11">
        <v>1281</v>
      </c>
      <c r="D11">
        <v>36</v>
      </c>
      <c r="E11">
        <v>8</v>
      </c>
      <c r="F11" s="1">
        <f t="shared" si="0"/>
        <v>360</v>
      </c>
      <c r="G11" s="1">
        <f t="shared" si="1"/>
        <v>80</v>
      </c>
      <c r="H11">
        <f t="shared" si="3"/>
        <v>322</v>
      </c>
      <c r="I11">
        <f t="shared" si="4"/>
        <v>8</v>
      </c>
      <c r="J11">
        <f t="shared" si="5"/>
        <v>8</v>
      </c>
      <c r="K11" s="4">
        <f t="shared" si="2"/>
        <v>1219.3384968592509</v>
      </c>
      <c r="L11" s="4" t="s">
        <v>42</v>
      </c>
      <c r="M11" s="34">
        <f t="array" ref="M11:N11">LOGEST($C$3:C11,$J$3:J11,1,1)</f>
        <v>1.3405404001808567</v>
      </c>
      <c r="N11" s="35">
        <v>119.57137874685516</v>
      </c>
      <c r="O11" s="13">
        <f>INDEX(LOGEST($C$3:C11,$J$3:J11,1,1),3,1)</f>
        <v>0.9937646711556668</v>
      </c>
      <c r="P11" s="4">
        <f t="shared" si="9"/>
        <v>29.89284468671379</v>
      </c>
      <c r="Q11" s="4">
        <f t="shared" si="7"/>
        <v>-1251.1071553132863</v>
      </c>
      <c r="R11" s="9">
        <f t="shared" si="8"/>
        <v>48.850392859712869</v>
      </c>
      <c r="S11" s="9"/>
      <c r="V11" s="8"/>
    </row>
    <row r="12" spans="1:29" x14ac:dyDescent="0.3">
      <c r="A12" s="8">
        <v>43902</v>
      </c>
      <c r="B12" t="s">
        <v>11</v>
      </c>
      <c r="C12">
        <v>1663</v>
      </c>
      <c r="D12">
        <v>40</v>
      </c>
      <c r="E12">
        <v>12</v>
      </c>
      <c r="F12" s="1">
        <f t="shared" si="0"/>
        <v>400</v>
      </c>
      <c r="G12" s="1">
        <f t="shared" si="1"/>
        <v>120</v>
      </c>
      <c r="H12">
        <f t="shared" ref="H12:H14" si="10">C12-C11</f>
        <v>382</v>
      </c>
      <c r="I12">
        <f t="shared" si="4"/>
        <v>4</v>
      </c>
      <c r="J12">
        <f t="shared" si="5"/>
        <v>9</v>
      </c>
      <c r="K12" s="4">
        <f t="shared" si="2"/>
        <v>1633.4731192552574</v>
      </c>
      <c r="L12" s="4" t="s">
        <v>42</v>
      </c>
      <c r="M12" s="34">
        <f t="array" ref="M12:N12">LOGEST($C$3:C12,$J$3:J12,1,1)</f>
        <v>1.3401609318252559</v>
      </c>
      <c r="N12" s="35">
        <v>119.66168483947355</v>
      </c>
      <c r="O12" s="13">
        <f>INDEX(LOGEST($C$3:C12,$J$3:J12,1,1),3,1)</f>
        <v>0.99544627106466532</v>
      </c>
      <c r="P12" s="4">
        <f t="shared" si="9"/>
        <v>26.591485519883008</v>
      </c>
      <c r="Q12" s="4">
        <f t="shared" si="7"/>
        <v>-1636.408514480117</v>
      </c>
      <c r="R12" s="9">
        <f t="shared" si="8"/>
        <v>48.904888178000782</v>
      </c>
      <c r="S12" s="9"/>
      <c r="V12" s="8"/>
    </row>
    <row r="13" spans="1:29" x14ac:dyDescent="0.3">
      <c r="A13" s="8">
        <v>43903</v>
      </c>
      <c r="B13" t="s">
        <v>12</v>
      </c>
      <c r="C13">
        <v>2179</v>
      </c>
      <c r="D13">
        <v>47</v>
      </c>
      <c r="E13">
        <v>12</v>
      </c>
      <c r="F13" s="1">
        <f t="shared" si="0"/>
        <v>470</v>
      </c>
      <c r="G13" s="1">
        <f t="shared" si="1"/>
        <v>120</v>
      </c>
      <c r="H13">
        <f t="shared" si="10"/>
        <v>516</v>
      </c>
      <c r="I13">
        <f t="shared" si="4"/>
        <v>7</v>
      </c>
      <c r="J13">
        <f t="shared" si="5"/>
        <v>10</v>
      </c>
      <c r="K13" s="4">
        <f t="shared" si="2"/>
        <v>2188.2639137551137</v>
      </c>
      <c r="L13" s="4" t="s">
        <v>42</v>
      </c>
      <c r="M13" s="34">
        <f t="array" ref="M13:N13">LOGEST($C$3:C13,$J$3:J13,1,1)</f>
        <v>1.3385814368708706</v>
      </c>
      <c r="N13" s="35">
        <v>120.08577887995615</v>
      </c>
      <c r="O13" s="13">
        <f>INDEX(LOGEST($C$3:C13,$J$3:J13,1,1),3,1)</f>
        <v>0.99650447327222935</v>
      </c>
      <c r="P13" s="4">
        <f t="shared" ref="P13:P22" si="11">N13*EXP(J13*(M13-1))</f>
        <v>3547.5790075758232</v>
      </c>
      <c r="Q13" s="4">
        <f t="shared" si="7"/>
        <v>1368.5790075758232</v>
      </c>
      <c r="R13" s="9">
        <f t="shared" si="8"/>
        <v>49.133031294279739</v>
      </c>
      <c r="S13" s="9"/>
      <c r="V13" s="8"/>
    </row>
    <row r="14" spans="1:29" x14ac:dyDescent="0.3">
      <c r="A14" s="8">
        <v>43904</v>
      </c>
      <c r="B14" t="s">
        <v>13</v>
      </c>
      <c r="C14">
        <v>2726</v>
      </c>
      <c r="D14">
        <v>54</v>
      </c>
      <c r="E14">
        <v>12</v>
      </c>
      <c r="F14" s="1">
        <f t="shared" si="0"/>
        <v>540</v>
      </c>
      <c r="G14" s="1">
        <f t="shared" si="1"/>
        <v>120</v>
      </c>
      <c r="H14">
        <f t="shared" si="10"/>
        <v>547</v>
      </c>
      <c r="I14">
        <f t="shared" si="4"/>
        <v>7</v>
      </c>
      <c r="J14">
        <f t="shared" si="5"/>
        <v>11</v>
      </c>
      <c r="K14" s="4">
        <f t="shared" si="2"/>
        <v>2931.4831690808892</v>
      </c>
      <c r="L14" s="4" t="s">
        <v>42</v>
      </c>
      <c r="M14" s="34">
        <f t="array" ref="M14:N14">LOGEST($C$3:C14,$J$3:J14,1,1)</f>
        <v>1.3341954979800561</v>
      </c>
      <c r="N14" s="35">
        <v>121.40670425316706</v>
      </c>
      <c r="O14" s="13">
        <f>INDEX(LOGEST($C$3:C14,$J$3:J14,1,1),3,1)</f>
        <v>0.99681819936143901</v>
      </c>
      <c r="P14" s="4">
        <f t="shared" si="11"/>
        <v>4794.84460641851</v>
      </c>
      <c r="Q14" s="4">
        <f t="shared" si="7"/>
        <v>2068.84460641851</v>
      </c>
      <c r="R14" s="9">
        <f t="shared" si="8"/>
        <v>49.77784690095212</v>
      </c>
      <c r="S14" s="9"/>
      <c r="V14" s="8"/>
    </row>
    <row r="15" spans="1:29" x14ac:dyDescent="0.3">
      <c r="A15" s="8">
        <v>43905</v>
      </c>
      <c r="B15" t="s">
        <v>14</v>
      </c>
      <c r="C15">
        <v>3499</v>
      </c>
      <c r="D15">
        <v>63</v>
      </c>
      <c r="E15">
        <v>12</v>
      </c>
      <c r="F15" s="1">
        <f t="shared" si="0"/>
        <v>630</v>
      </c>
      <c r="G15" s="1">
        <f t="shared" si="1"/>
        <v>120</v>
      </c>
      <c r="H15">
        <f t="shared" ref="H15" si="12">C15-C14</f>
        <v>773</v>
      </c>
      <c r="I15">
        <f t="shared" si="4"/>
        <v>9</v>
      </c>
      <c r="J15">
        <f t="shared" si="5"/>
        <v>12</v>
      </c>
      <c r="K15" s="4">
        <f t="shared" si="2"/>
        <v>3927.1284951446814</v>
      </c>
      <c r="L15" s="4" t="s">
        <v>42</v>
      </c>
      <c r="M15" s="34">
        <f t="array" ref="M15:N15">LOGEST($C$3:C15,$J$3:J15,1,1)</f>
        <v>1.3298544710637625</v>
      </c>
      <c r="N15" s="35">
        <v>122.86616355990432</v>
      </c>
      <c r="O15" s="13">
        <f>INDEX(LOGEST($C$3:C15,$J$3:J15,1,1),3,1)</f>
        <v>0.99696439051242258</v>
      </c>
      <c r="P15" s="4">
        <f t="shared" si="11"/>
        <v>6433.9846020910509</v>
      </c>
      <c r="Q15" s="4">
        <f t="shared" si="7"/>
        <v>2934.9846020910509</v>
      </c>
      <c r="R15" s="9">
        <f t="shared" si="8"/>
        <v>50.432944806811349</v>
      </c>
      <c r="S15" s="9"/>
      <c r="V15" s="8"/>
    </row>
    <row r="16" spans="1:29" x14ac:dyDescent="0.3">
      <c r="A16" s="8">
        <v>43906</v>
      </c>
      <c r="B16" t="s">
        <v>8</v>
      </c>
      <c r="C16">
        <v>4632</v>
      </c>
      <c r="D16">
        <v>85</v>
      </c>
      <c r="E16">
        <v>17</v>
      </c>
      <c r="F16" s="1">
        <f t="shared" si="0"/>
        <v>850</v>
      </c>
      <c r="G16" s="1">
        <f t="shared" si="1"/>
        <v>170</v>
      </c>
      <c r="H16">
        <f t="shared" ref="H16" si="13">C16-C15</f>
        <v>1133</v>
      </c>
      <c r="I16">
        <f t="shared" si="4"/>
        <v>22</v>
      </c>
      <c r="J16">
        <f t="shared" si="5"/>
        <v>13</v>
      </c>
      <c r="K16" s="4">
        <f t="shared" si="2"/>
        <v>5260.9335711153717</v>
      </c>
      <c r="L16" s="4" t="s">
        <v>42</v>
      </c>
      <c r="M16" s="34">
        <f t="array" ref="M16:N16">LOGEST($C$3:C16,$J$3:J16,1,1)</f>
        <v>1.3269602388244586</v>
      </c>
      <c r="N16" s="35">
        <v>123.94160893589539</v>
      </c>
      <c r="O16" s="13">
        <f>INDEX(LOGEST($C$3:C16,$J$3:J16,1,1),3,1)</f>
        <v>0.99729652025021154</v>
      </c>
      <c r="P16" s="4">
        <f t="shared" si="11"/>
        <v>8693.1763015606339</v>
      </c>
      <c r="Q16" s="4">
        <f t="shared" si="7"/>
        <v>4061.1763015606339</v>
      </c>
      <c r="R16" s="9">
        <f t="shared" si="8"/>
        <v>50.879374180938633</v>
      </c>
      <c r="S16" s="9"/>
      <c r="V16" s="8"/>
    </row>
    <row r="17" spans="1:24" x14ac:dyDescent="0.3">
      <c r="A17" s="8">
        <v>43907</v>
      </c>
      <c r="B17" t="s">
        <v>9</v>
      </c>
      <c r="C17">
        <v>6428</v>
      </c>
      <c r="D17">
        <v>108</v>
      </c>
      <c r="E17">
        <v>17</v>
      </c>
      <c r="F17" s="1">
        <f t="shared" si="0"/>
        <v>1080</v>
      </c>
      <c r="G17" s="1">
        <f t="shared" si="1"/>
        <v>170</v>
      </c>
      <c r="H17">
        <f t="shared" ref="H17" si="14">C17-C16</f>
        <v>1796</v>
      </c>
      <c r="I17">
        <f t="shared" ref="I17" si="15">D17-D16</f>
        <v>23</v>
      </c>
      <c r="J17">
        <f t="shared" si="5"/>
        <v>14</v>
      </c>
      <c r="K17" s="4">
        <f t="shared" si="2"/>
        <v>7047.7505571584525</v>
      </c>
      <c r="L17" s="4" t="s">
        <v>42</v>
      </c>
      <c r="M17" s="34">
        <f t="array" ref="M17:N17">LOGEST($C$3:C17,$J$3:J17,1,1)</f>
        <v>1.3265667567330717</v>
      </c>
      <c r="N17" s="35">
        <v>124.10099479339539</v>
      </c>
      <c r="O17" s="13">
        <f>INDEX(LOGEST($C$3:C17,$J$3:J17,1,1),3,1)</f>
        <v>0.99779295201240903</v>
      </c>
      <c r="P17" s="4">
        <f t="shared" si="11"/>
        <v>12004.421299104612</v>
      </c>
      <c r="Q17" s="4">
        <f t="shared" si="7"/>
        <v>5576.4212991046115</v>
      </c>
      <c r="R17" s="9">
        <f t="shared" si="8"/>
        <v>50.940679020296592</v>
      </c>
      <c r="S17" s="9"/>
      <c r="V17" s="8"/>
    </row>
    <row r="18" spans="1:24" x14ac:dyDescent="0.3">
      <c r="A18" s="8">
        <v>43908</v>
      </c>
      <c r="B18" t="s">
        <v>10</v>
      </c>
      <c r="C18">
        <v>7786</v>
      </c>
      <c r="D18">
        <v>118</v>
      </c>
      <c r="E18">
        <v>106</v>
      </c>
      <c r="F18" s="1">
        <f t="shared" si="0"/>
        <v>1180</v>
      </c>
      <c r="G18" s="1">
        <f t="shared" si="1"/>
        <v>1060</v>
      </c>
      <c r="H18">
        <f t="shared" ref="H18" si="16">C18-C17</f>
        <v>1358</v>
      </c>
      <c r="I18">
        <f t="shared" ref="I18" si="17">D18-D17</f>
        <v>10</v>
      </c>
      <c r="J18">
        <f t="shared" si="5"/>
        <v>15</v>
      </c>
      <c r="K18" s="4">
        <f t="shared" si="2"/>
        <v>9441.4398593891601</v>
      </c>
      <c r="L18" s="4" t="s">
        <v>42</v>
      </c>
      <c r="M18" s="34">
        <f t="array" ref="M18:N18">LOGEST($C$3:C18,$J$3:J18,1,1)</f>
        <v>1.3236458788095431</v>
      </c>
      <c r="N18" s="35">
        <v>125.38415390284506</v>
      </c>
      <c r="O18" s="13">
        <f>INDEX(LOGEST($C$3:C18,$J$3:J18,1,1),3,1)</f>
        <v>0.99786581394518703</v>
      </c>
      <c r="P18" s="4">
        <f t="shared" si="11"/>
        <v>16091.885825677822</v>
      </c>
      <c r="Q18" s="4">
        <f t="shared" si="7"/>
        <v>8305.8858256778221</v>
      </c>
      <c r="R18" s="9">
        <f t="shared" si="8"/>
        <v>51.400414535258918</v>
      </c>
      <c r="S18" s="9"/>
      <c r="V18" s="8"/>
    </row>
    <row r="19" spans="1:24" x14ac:dyDescent="0.3">
      <c r="A19" s="8">
        <v>43909</v>
      </c>
      <c r="B19" t="s">
        <v>11</v>
      </c>
      <c r="C19">
        <v>13680</v>
      </c>
      <c r="D19">
        <v>200</v>
      </c>
      <c r="E19">
        <v>108</v>
      </c>
      <c r="F19" s="1">
        <f t="shared" si="0"/>
        <v>2000</v>
      </c>
      <c r="G19" s="1">
        <f t="shared" si="1"/>
        <v>1080</v>
      </c>
      <c r="H19">
        <f t="shared" ref="H19" si="18">C19-C18</f>
        <v>5894</v>
      </c>
      <c r="I19">
        <f t="shared" ref="I19" si="19">D19-D18</f>
        <v>82</v>
      </c>
      <c r="J19">
        <f t="shared" si="5"/>
        <v>16</v>
      </c>
      <c r="K19" s="4">
        <f t="shared" si="2"/>
        <v>12648.118842390279</v>
      </c>
      <c r="L19" s="4" t="s">
        <v>42</v>
      </c>
      <c r="M19" s="34">
        <f t="array" ref="M19:N19">LOGEST($C$3:C19,$J$3:J19,1,1)</f>
        <v>1.3290049699552959</v>
      </c>
      <c r="N19" s="35">
        <v>122.8764589822846</v>
      </c>
      <c r="O19" s="13">
        <f>INDEX(LOGEST($C$3:C19,$J$3:J19,1,1),3,1)</f>
        <v>0.99726645608596087</v>
      </c>
      <c r="P19" s="4">
        <f t="shared" si="11"/>
        <v>23748.127669647642</v>
      </c>
      <c r="Q19" s="4">
        <f t="shared" si="7"/>
        <v>10068.127669647642</v>
      </c>
      <c r="R19" s="9">
        <f t="shared" si="8"/>
        <v>50.563164245509924</v>
      </c>
      <c r="S19" s="9"/>
      <c r="V19" s="8"/>
    </row>
    <row r="20" spans="1:24" x14ac:dyDescent="0.3">
      <c r="A20" s="8">
        <v>43910</v>
      </c>
      <c r="B20" t="s">
        <v>12</v>
      </c>
      <c r="C20">
        <v>19101</v>
      </c>
      <c r="D20">
        <v>244</v>
      </c>
      <c r="E20">
        <v>147</v>
      </c>
      <c r="F20" s="1">
        <f t="shared" si="0"/>
        <v>2440</v>
      </c>
      <c r="G20" s="1">
        <f t="shared" si="1"/>
        <v>1470</v>
      </c>
      <c r="H20">
        <f t="shared" ref="H20:H21" si="20">C20-C19</f>
        <v>5421</v>
      </c>
      <c r="I20">
        <f t="shared" ref="I20:I21" si="21">D20-D19</f>
        <v>44</v>
      </c>
      <c r="J20">
        <f t="shared" si="5"/>
        <v>17</v>
      </c>
      <c r="K20" s="4">
        <f t="shared" si="2"/>
        <v>16943.910318100363</v>
      </c>
      <c r="L20" s="4" t="s">
        <v>42</v>
      </c>
      <c r="M20" s="34">
        <f t="array" ref="M20:N20">LOGEST($C$3:C20,$J$3:J20,1,1)</f>
        <v>1.3339336827330828</v>
      </c>
      <c r="N20" s="35">
        <v>120.47436339693239</v>
      </c>
      <c r="O20" s="13">
        <f>INDEX(LOGEST($C$3:C20,$J$3:J20,1,1),3,1)</f>
        <v>0.99688017087495062</v>
      </c>
      <c r="P20" s="4">
        <f t="shared" si="11"/>
        <v>35182.693715196125</v>
      </c>
      <c r="Q20" s="4">
        <f t="shared" si="7"/>
        <v>16081.693715196125</v>
      </c>
      <c r="R20" s="9">
        <f t="shared" si="8"/>
        <v>49.81687440837068</v>
      </c>
      <c r="S20" s="9"/>
      <c r="V20" s="8"/>
    </row>
    <row r="21" spans="1:24" x14ac:dyDescent="0.3">
      <c r="A21" s="8">
        <v>43911</v>
      </c>
      <c r="B21" t="s">
        <v>13</v>
      </c>
      <c r="C21">
        <v>25493</v>
      </c>
      <c r="D21">
        <v>307</v>
      </c>
      <c r="E21">
        <v>171</v>
      </c>
      <c r="F21" s="1">
        <f t="shared" si="0"/>
        <v>3070</v>
      </c>
      <c r="G21" s="1">
        <f t="shared" si="1"/>
        <v>1710</v>
      </c>
      <c r="H21">
        <f t="shared" si="20"/>
        <v>6392</v>
      </c>
      <c r="I21">
        <f t="shared" si="21"/>
        <v>63</v>
      </c>
      <c r="J21">
        <f t="shared" si="5"/>
        <v>18</v>
      </c>
      <c r="K21" s="4">
        <f t="shared" si="2"/>
        <v>22698.719109566147</v>
      </c>
      <c r="L21" s="4" t="s">
        <v>42</v>
      </c>
      <c r="M21" s="34">
        <f t="array" ref="M21:N21">LOGEST($C$3:C21,$J$3:J21,1,1)</f>
        <v>1.3374840371478596</v>
      </c>
      <c r="N21" s="35">
        <v>118.67335449656478</v>
      </c>
      <c r="O21" s="13">
        <f>INDEX(LOGEST($C$3:C21,$J$3:J21,1,1),3,1)</f>
        <v>0.99692427902372649</v>
      </c>
      <c r="P21" s="4">
        <f t="shared" si="11"/>
        <v>51590.223546958077</v>
      </c>
      <c r="Q21" s="4">
        <f t="shared" si="7"/>
        <v>26097.223546958077</v>
      </c>
      <c r="R21" s="9">
        <f t="shared" si="8"/>
        <v>49.29279759134289</v>
      </c>
      <c r="S21" s="9"/>
      <c r="V21" s="8"/>
    </row>
    <row r="22" spans="1:24" x14ac:dyDescent="0.3">
      <c r="A22" s="8">
        <v>43912</v>
      </c>
      <c r="B22" t="s">
        <v>14</v>
      </c>
      <c r="C22">
        <v>33276</v>
      </c>
      <c r="D22">
        <v>417</v>
      </c>
      <c r="E22">
        <v>178</v>
      </c>
      <c r="F22" s="1">
        <f t="shared" si="0"/>
        <v>4170</v>
      </c>
      <c r="G22" s="1">
        <f t="shared" si="1"/>
        <v>1780</v>
      </c>
      <c r="H22">
        <f t="shared" ref="H22" si="22">C22-C21</f>
        <v>7783</v>
      </c>
      <c r="I22">
        <f t="shared" ref="I22" si="23">D22-D21</f>
        <v>110</v>
      </c>
      <c r="J22">
        <f t="shared" si="5"/>
        <v>19</v>
      </c>
      <c r="K22" s="4">
        <f t="shared" si="2"/>
        <v>30408.084057467331</v>
      </c>
      <c r="L22" s="4" t="s">
        <v>42</v>
      </c>
      <c r="M22" s="34">
        <f t="array" ref="M22:N22">LOGEST($C$3:C22,$J$3:J22,1,1)</f>
        <v>1.3396104502529953</v>
      </c>
      <c r="N22" s="35">
        <v>117.54758265341202</v>
      </c>
      <c r="O22" s="13">
        <f>INDEX(LOGEST($C$3:C22,$J$3:J22,1,1),3,1)</f>
        <v>0.99721484337461697</v>
      </c>
      <c r="P22" s="4">
        <f t="shared" si="11"/>
        <v>74566.137719437771</v>
      </c>
      <c r="Q22" s="4">
        <f t="shared" si="7"/>
        <v>41290.137719437771</v>
      </c>
      <c r="R22" s="9">
        <f t="shared" si="8"/>
        <v>48.984159118324904</v>
      </c>
      <c r="S22" s="9"/>
    </row>
    <row r="23" spans="1:24" x14ac:dyDescent="0.3">
      <c r="A23" s="8">
        <v>43913</v>
      </c>
      <c r="B23" t="s">
        <v>8</v>
      </c>
      <c r="C23">
        <v>43667</v>
      </c>
      <c r="D23">
        <v>552</v>
      </c>
      <c r="F23" s="1">
        <f t="shared" ref="F23:F33" si="24">D23*$W$7</f>
        <v>5520</v>
      </c>
      <c r="G23" s="1"/>
      <c r="H23">
        <f t="shared" ref="H23:H24" si="25">C23-C22</f>
        <v>10391</v>
      </c>
      <c r="I23">
        <f t="shared" ref="I23:I24" si="26">D23-D22</f>
        <v>135</v>
      </c>
      <c r="J23">
        <f t="shared" si="5"/>
        <v>20</v>
      </c>
      <c r="K23" s="4">
        <f t="shared" si="2"/>
        <v>40735.848202831541</v>
      </c>
      <c r="L23" s="4" t="s">
        <v>42</v>
      </c>
      <c r="M23" s="34">
        <f t="array" ref="M23:N23">LOGEST($C$3:C23,$J$3:J23,1,1)</f>
        <v>1.3408275688107487</v>
      </c>
      <c r="N23" s="35">
        <v>116.87343528848896</v>
      </c>
      <c r="O23" s="13">
        <f>INDEX(LOGEST($C$3:C23,$J$3:J23,1,1),3,1)</f>
        <v>0.9975481364205171</v>
      </c>
      <c r="P23" s="4">
        <f t="shared" ref="P23:P25" si="27">N23*EXP((J23*LN(M23)))</f>
        <v>41226.306529532769</v>
      </c>
      <c r="Q23" s="4">
        <f t="shared" si="7"/>
        <v>-2440.6934704672312</v>
      </c>
      <c r="R23" s="9">
        <f t="shared" si="8"/>
        <v>48.809233336038893</v>
      </c>
      <c r="S23" s="9"/>
    </row>
    <row r="24" spans="1:24" x14ac:dyDescent="0.3">
      <c r="A24" s="8">
        <v>43914</v>
      </c>
      <c r="B24" t="s">
        <v>9</v>
      </c>
      <c r="C24">
        <v>53740</v>
      </c>
      <c r="D24">
        <v>706</v>
      </c>
      <c r="E24">
        <v>348</v>
      </c>
      <c r="F24" s="1">
        <f t="shared" si="24"/>
        <v>7060</v>
      </c>
      <c r="G24" s="1">
        <f t="shared" ref="G24:G33" si="28">E24*$W$7</f>
        <v>3480</v>
      </c>
      <c r="H24">
        <f t="shared" si="25"/>
        <v>10073</v>
      </c>
      <c r="I24">
        <f t="shared" si="26"/>
        <v>154</v>
      </c>
      <c r="J24">
        <f t="shared" si="5"/>
        <v>21</v>
      </c>
      <c r="K24" s="4">
        <f t="shared" si="2"/>
        <v>54571.321417951411</v>
      </c>
      <c r="L24" s="4" t="s">
        <v>42</v>
      </c>
      <c r="M24" s="34">
        <f t="array" ref="M24:N24">LOGEST($C$3:C24,$J$3:J24,1,1)</f>
        <v>1.3403791931080375</v>
      </c>
      <c r="N24" s="35">
        <v>117.13432117326171</v>
      </c>
      <c r="O24" s="13">
        <f>INDEX(LOGEST($C$3:C24,$J$3:J24,1,1),3,1)</f>
        <v>0.99785374810086358</v>
      </c>
      <c r="P24" s="4">
        <f t="shared" si="27"/>
        <v>55013.008346283204</v>
      </c>
      <c r="Q24" s="4">
        <f t="shared" si="7"/>
        <v>1273.0083462832044</v>
      </c>
      <c r="R24" s="9">
        <f t="shared" si="8"/>
        <v>48.873528906211696</v>
      </c>
      <c r="S24" s="9"/>
    </row>
    <row r="25" spans="1:24" x14ac:dyDescent="0.3">
      <c r="A25" s="8">
        <v>43915</v>
      </c>
      <c r="B25" t="s">
        <v>10</v>
      </c>
      <c r="C25">
        <v>65778</v>
      </c>
      <c r="D25">
        <v>942</v>
      </c>
      <c r="E25">
        <v>361</v>
      </c>
      <c r="F25" s="1">
        <f t="shared" si="24"/>
        <v>9420</v>
      </c>
      <c r="G25" s="1">
        <f t="shared" si="28"/>
        <v>3610</v>
      </c>
      <c r="H25">
        <f t="shared" ref="H25" si="29">C25-C24</f>
        <v>12038</v>
      </c>
      <c r="I25">
        <f t="shared" ref="I25" si="30">D25-D24</f>
        <v>236</v>
      </c>
      <c r="J25">
        <f t="shared" si="5"/>
        <v>22</v>
      </c>
      <c r="K25" s="4">
        <f t="shared" si="2"/>
        <v>73105.857682726797</v>
      </c>
      <c r="L25" s="4" t="s">
        <v>42</v>
      </c>
      <c r="M25" s="34">
        <f t="array" ref="M25:N25">LOGEST($C$3:C25,$J$3:J25,1,1)</f>
        <v>1.3387158714637086</v>
      </c>
      <c r="N25" s="35">
        <v>118.15688203636181</v>
      </c>
      <c r="O25" s="13">
        <f>INDEX(LOGEST($C$3:C25,$J$3:J25,1,1),3,1)</f>
        <v>0.9979791940141719</v>
      </c>
      <c r="P25" s="4">
        <f t="shared" si="27"/>
        <v>72377.585783446164</v>
      </c>
      <c r="Q25" s="4">
        <f t="shared" si="7"/>
        <v>6599.585783446164</v>
      </c>
      <c r="R25" s="9">
        <f t="shared" si="8"/>
        <v>49.113530646056788</v>
      </c>
      <c r="W25" t="s">
        <v>40</v>
      </c>
    </row>
    <row r="26" spans="1:24" x14ac:dyDescent="0.3">
      <c r="A26" s="8">
        <v>43916</v>
      </c>
      <c r="B26" t="s">
        <v>11</v>
      </c>
      <c r="C26">
        <v>83836</v>
      </c>
      <c r="D26">
        <v>1209</v>
      </c>
      <c r="E26">
        <v>681</v>
      </c>
      <c r="F26" s="1">
        <f t="shared" si="24"/>
        <v>12090</v>
      </c>
      <c r="G26" s="1">
        <f t="shared" si="28"/>
        <v>6810</v>
      </c>
      <c r="H26">
        <f t="shared" ref="H26" si="31">C26-C25</f>
        <v>18058</v>
      </c>
      <c r="I26">
        <f t="shared" ref="I26" si="32">D26-D25</f>
        <v>267</v>
      </c>
      <c r="J26">
        <f t="shared" si="5"/>
        <v>23</v>
      </c>
      <c r="K26" s="4">
        <f t="shared" si="2"/>
        <v>97935.440972646495</v>
      </c>
      <c r="L26" s="4" t="s">
        <v>50</v>
      </c>
      <c r="M26" s="34">
        <f t="array" ref="M26:N26">LOGEST($C$3:C26,$J$3:J26,1,1)</f>
        <v>1.3367795488393988</v>
      </c>
      <c r="N26" s="35">
        <v>119.41775404907648</v>
      </c>
      <c r="O26" s="13">
        <f>INDEX(LOGEST($C$3:C26,$J$3:J26,1,1),3,1)</f>
        <v>0.99802183712005255</v>
      </c>
      <c r="P26" s="4">
        <f t="shared" ref="P26:P28" si="33">N26*EXP(J26*(M26-1))</f>
        <v>276110.79825325351</v>
      </c>
      <c r="Q26" s="4">
        <f t="shared" si="7"/>
        <v>192274.79825325351</v>
      </c>
      <c r="R26" s="9">
        <f t="shared" si="8"/>
        <v>49.395910145873287</v>
      </c>
      <c r="S26" t="s">
        <v>46</v>
      </c>
      <c r="T26">
        <f t="shared" ref="T26:T31" si="34">2*J26+N26/M26</f>
        <v>135.33242145479844</v>
      </c>
    </row>
    <row r="27" spans="1:24" x14ac:dyDescent="0.3">
      <c r="A27" s="8">
        <v>43917</v>
      </c>
      <c r="B27" t="s">
        <v>12</v>
      </c>
      <c r="C27">
        <v>101657</v>
      </c>
      <c r="D27">
        <v>1581</v>
      </c>
      <c r="E27">
        <v>869</v>
      </c>
      <c r="F27" s="1">
        <f t="shared" si="24"/>
        <v>15810</v>
      </c>
      <c r="G27" s="1">
        <f t="shared" si="28"/>
        <v>8690</v>
      </c>
      <c r="H27">
        <f t="shared" ref="H27" si="35">C27-C26</f>
        <v>17821</v>
      </c>
      <c r="I27">
        <f t="shared" ref="I27" si="36">D27-D26</f>
        <v>372</v>
      </c>
      <c r="J27">
        <f t="shared" si="5"/>
        <v>24</v>
      </c>
      <c r="K27" s="4">
        <f t="shared" si="2"/>
        <v>131198.11329117254</v>
      </c>
      <c r="L27" s="4" t="s">
        <v>50</v>
      </c>
      <c r="M27" s="34">
        <f t="array" ref="M27:N27">LOGEST($C$3:C27,$J$3:J27,1,1)</f>
        <v>1.3340726641393956</v>
      </c>
      <c r="N27" s="35">
        <v>121.28802447248103</v>
      </c>
      <c r="O27" s="13">
        <f>INDEX(LOGEST($C$3:C27,$J$3:J27,1,1),3,1)</f>
        <v>0.99784736632126259</v>
      </c>
      <c r="P27" s="4">
        <f t="shared" si="33"/>
        <v>368027.16188464034</v>
      </c>
      <c r="Q27" s="4">
        <f t="shared" si="7"/>
        <v>266370.16188464034</v>
      </c>
      <c r="R27" s="9">
        <f t="shared" si="8"/>
        <v>49.796149518229726</v>
      </c>
      <c r="T27">
        <f t="shared" si="34"/>
        <v>138.91560582325806</v>
      </c>
    </row>
    <row r="28" spans="1:24" x14ac:dyDescent="0.3">
      <c r="A28" s="8">
        <v>43918</v>
      </c>
      <c r="B28" t="s">
        <v>13</v>
      </c>
      <c r="C28">
        <v>121478</v>
      </c>
      <c r="D28">
        <v>2026</v>
      </c>
      <c r="E28">
        <v>1072</v>
      </c>
      <c r="F28" s="1">
        <f t="shared" si="24"/>
        <v>20260</v>
      </c>
      <c r="G28" s="1">
        <f t="shared" si="28"/>
        <v>10720</v>
      </c>
      <c r="H28">
        <f t="shared" ref="H28" si="37">C28-C27</f>
        <v>19821</v>
      </c>
      <c r="I28">
        <f t="shared" ref="I28" si="38">D28-D27</f>
        <v>445</v>
      </c>
      <c r="J28">
        <f t="shared" si="5"/>
        <v>25</v>
      </c>
      <c r="K28" s="4">
        <f t="shared" si="2"/>
        <v>175758.07858945508</v>
      </c>
      <c r="L28" s="4" t="s">
        <v>50</v>
      </c>
      <c r="M28" s="34">
        <f t="array" ref="M28:N28">LOGEST($C$3:C28,$J$3:J28,1,1)</f>
        <v>1.3306951291274511</v>
      </c>
      <c r="N28" s="35">
        <v>123.77281476156359</v>
      </c>
      <c r="O28" s="13">
        <f>INDEX(LOGEST($C$3:C28,$J$3:J28,1,1),3,1)</f>
        <v>0.99742508235088789</v>
      </c>
      <c r="P28" s="4">
        <f t="shared" si="33"/>
        <v>482061.01605762233</v>
      </c>
      <c r="Q28" s="4">
        <f t="shared" si="7"/>
        <v>360583.01605762233</v>
      </c>
      <c r="R28" s="9">
        <f t="shared" si="8"/>
        <v>50.304739526499922</v>
      </c>
      <c r="T28">
        <f t="shared" si="34"/>
        <v>143.01365282874565</v>
      </c>
      <c r="W28" t="s">
        <v>34</v>
      </c>
      <c r="X28" t="str">
        <f>" y = b*m^x "</f>
        <v xml:space="preserve"> y = b*m^x </v>
      </c>
    </row>
    <row r="29" spans="1:24" x14ac:dyDescent="0.3">
      <c r="A29" s="8">
        <v>43919</v>
      </c>
      <c r="B29" t="s">
        <v>14</v>
      </c>
      <c r="C29">
        <v>140886</v>
      </c>
      <c r="D29">
        <v>2467</v>
      </c>
      <c r="E29">
        <v>2665</v>
      </c>
      <c r="F29" s="1">
        <f t="shared" si="24"/>
        <v>24670</v>
      </c>
      <c r="G29" s="1">
        <f t="shared" si="28"/>
        <v>26650</v>
      </c>
      <c r="H29">
        <f t="shared" ref="H29" si="39">C29-C28</f>
        <v>19408</v>
      </c>
      <c r="I29">
        <f t="shared" ref="I29" si="40">D29-D28</f>
        <v>441</v>
      </c>
      <c r="J29">
        <f t="shared" si="5"/>
        <v>26</v>
      </c>
      <c r="K29" s="4">
        <f t="shared" si="2"/>
        <v>235452.33551415344</v>
      </c>
      <c r="L29" s="4" t="s">
        <v>50</v>
      </c>
      <c r="M29" s="34">
        <f>INDEX(LINEST(LN($C$28:C29),$J$28:J29),1)</f>
        <v>0.14821787629225369</v>
      </c>
      <c r="N29" s="35">
        <f>EXP(INDEX(LINEST(LN($C$28:C29),$J$28:J29),1,2))</f>
        <v>2987.0499725883842</v>
      </c>
      <c r="O29" s="13">
        <f>INDEX(LINEST(LN($C$28:C29),$J$28:J29,1,1),3)</f>
        <v>1</v>
      </c>
      <c r="P29" s="4">
        <f>N29*EXP(J29*(M29))</f>
        <v>140885.99999999991</v>
      </c>
      <c r="Q29" s="4">
        <f t="shared" si="7"/>
        <v>0</v>
      </c>
      <c r="R29" s="9">
        <f>24*LN(2)/(M29)</f>
        <v>112.23701721806486</v>
      </c>
      <c r="T29">
        <f>2*J29+M29/N29</f>
        <v>52.000049620152879</v>
      </c>
      <c r="W29">
        <f t="array" ref="W29:X33">LINEST(C25:C29,LN(J25:J29),TRUE,FALSE)</f>
        <v>449460.73754286527</v>
      </c>
      <c r="X29">
        <v>-1324900.7915047815</v>
      </c>
    </row>
    <row r="30" spans="1:24" x14ac:dyDescent="0.3">
      <c r="A30" s="8">
        <v>43920</v>
      </c>
      <c r="B30" t="s">
        <v>8</v>
      </c>
      <c r="C30">
        <v>161807</v>
      </c>
      <c r="D30">
        <v>2978</v>
      </c>
      <c r="E30">
        <v>5644</v>
      </c>
      <c r="F30" s="1">
        <f t="shared" si="24"/>
        <v>29780</v>
      </c>
      <c r="G30" s="1">
        <f t="shared" si="28"/>
        <v>56440</v>
      </c>
      <c r="H30">
        <f t="shared" ref="H30" si="41">C30-C29</f>
        <v>20921</v>
      </c>
      <c r="I30">
        <f t="shared" ref="I30" si="42">D30-D29</f>
        <v>511</v>
      </c>
      <c r="J30">
        <f t="shared" si="5"/>
        <v>27</v>
      </c>
      <c r="K30" s="4">
        <f t="shared" si="2"/>
        <v>315421.0761973795</v>
      </c>
      <c r="L30" s="4" t="s">
        <v>50</v>
      </c>
      <c r="M30" s="34">
        <f>INDEX(LINEST(LN($C$28:C30),$J$28:J30),1)</f>
        <v>0.1433355452749803</v>
      </c>
      <c r="N30" s="35">
        <f>EXP(INDEX(LINEST(LN($C$28:C30),$J$28:J30),1,2))</f>
        <v>3380.3254377721728</v>
      </c>
      <c r="O30" s="13">
        <f>INDEX(LINEST(LN($C$28:C30),$J$28:J30,1,1),3)</f>
        <v>0.99961340391462572</v>
      </c>
      <c r="P30" s="4">
        <f t="shared" ref="P30:P33" si="43">N30*EXP(J30*(M30))</f>
        <v>162070.54617341195</v>
      </c>
      <c r="Q30" s="4">
        <f t="shared" ref="Q30:Q33" si="44">P30-C30</f>
        <v>263.54617341194535</v>
      </c>
      <c r="R30" s="9">
        <f t="shared" ref="R30:R34" si="45">24*LN(2)/(M30)</f>
        <v>116.06006243269564</v>
      </c>
      <c r="T30">
        <f t="shared" si="34"/>
        <v>23637.30190384548</v>
      </c>
      <c r="W30">
        <v>449460.73754286527</v>
      </c>
      <c r="X30">
        <v>-1324900.7915047815</v>
      </c>
    </row>
    <row r="31" spans="1:24" x14ac:dyDescent="0.3">
      <c r="A31" s="8">
        <v>43921</v>
      </c>
      <c r="B31" t="s">
        <v>9</v>
      </c>
      <c r="C31">
        <v>188172</v>
      </c>
      <c r="D31">
        <v>3873</v>
      </c>
      <c r="E31">
        <v>7024</v>
      </c>
      <c r="F31" s="1">
        <f t="shared" si="24"/>
        <v>38730</v>
      </c>
      <c r="G31" s="1">
        <f t="shared" si="28"/>
        <v>70240</v>
      </c>
      <c r="H31">
        <f t="shared" ref="H31" si="46">C31-C30</f>
        <v>26365</v>
      </c>
      <c r="I31">
        <f t="shared" ref="I31" si="47">D31-D30</f>
        <v>895</v>
      </c>
      <c r="J31">
        <f t="shared" si="5"/>
        <v>28</v>
      </c>
      <c r="K31" s="4">
        <f t="shared" si="2"/>
        <v>422550.30128394108</v>
      </c>
      <c r="L31" s="4" t="s">
        <v>50</v>
      </c>
      <c r="M31" s="34">
        <f>INDEX(LINEST(LN($C$28:C31),$J$28:J31),1)</f>
        <v>0.14513229995385557</v>
      </c>
      <c r="N31" s="35">
        <f>EXP(INDEX(LINEST(LN($C$28:C31),$J$28:J31),1,2))</f>
        <v>3227.9759011084971</v>
      </c>
      <c r="O31" s="13">
        <f>INDEX(LINEST(LN($C$28:C31),$J$28:J31,1,1),3)</f>
        <v>0.9997469942642393</v>
      </c>
      <c r="P31" s="4">
        <f t="shared" si="43"/>
        <v>187834.20463714213</v>
      </c>
      <c r="Q31" s="4">
        <f t="shared" si="44"/>
        <v>-337.79536285786889</v>
      </c>
      <c r="R31" s="9">
        <f t="shared" si="45"/>
        <v>114.62322542072239</v>
      </c>
      <c r="T31">
        <f t="shared" si="34"/>
        <v>22297.609222308358</v>
      </c>
      <c r="W31">
        <v>449460.73754286527</v>
      </c>
      <c r="X31">
        <v>-1324900.7915047815</v>
      </c>
    </row>
    <row r="32" spans="1:24" x14ac:dyDescent="0.3">
      <c r="A32" s="8">
        <v>43922</v>
      </c>
      <c r="B32" t="s">
        <v>10</v>
      </c>
      <c r="C32">
        <v>215417</v>
      </c>
      <c r="D32">
        <v>5116</v>
      </c>
      <c r="E32">
        <v>8566</v>
      </c>
      <c r="F32" s="1">
        <f t="shared" si="24"/>
        <v>51160</v>
      </c>
      <c r="G32" s="1">
        <f t="shared" si="28"/>
        <v>85660</v>
      </c>
      <c r="H32">
        <f t="shared" ref="H32" si="48">C32-C31</f>
        <v>27245</v>
      </c>
      <c r="I32">
        <f t="shared" ref="I32" si="49">D32-D31</f>
        <v>1243</v>
      </c>
      <c r="J32">
        <f t="shared" si="5"/>
        <v>29</v>
      </c>
      <c r="K32" s="4">
        <f t="shared" si="2"/>
        <v>566064.76418024604</v>
      </c>
      <c r="L32" s="4" t="s">
        <v>50</v>
      </c>
      <c r="M32" s="34">
        <f>INDEX(LINEST(LN($C$28:C32),$J$28:J32),1)</f>
        <v>0.14350904016990321</v>
      </c>
      <c r="N32" s="35">
        <f>EXP(INDEX(LINEST(LN($C$28:C32),$J$28:J32),1,2))</f>
        <v>3367.127608364191</v>
      </c>
      <c r="O32" s="13">
        <f>INDEX(LINEST(LN($C$28:C32),$J$28:J32,1,1),3)</f>
        <v>0.99974270932374609</v>
      </c>
      <c r="P32" s="4">
        <f t="shared" si="43"/>
        <v>216117.49197094602</v>
      </c>
      <c r="Q32" s="4">
        <f t="shared" si="44"/>
        <v>700.49197094602278</v>
      </c>
      <c r="R32" s="9">
        <f t="shared" si="45"/>
        <v>115.91975191070576</v>
      </c>
      <c r="T32">
        <f t="shared" ref="T32:T33" si="50">2*J32+N32/M32</f>
        <v>23520.825786987229</v>
      </c>
      <c r="W32">
        <v>449460.73754286527</v>
      </c>
      <c r="X32">
        <v>-1324900.7915047815</v>
      </c>
    </row>
    <row r="33" spans="1:24" x14ac:dyDescent="0.3">
      <c r="A33" s="8">
        <v>43923</v>
      </c>
      <c r="B33" t="s">
        <v>11</v>
      </c>
      <c r="C33">
        <v>243453</v>
      </c>
      <c r="D33">
        <v>5926</v>
      </c>
      <c r="E33">
        <v>9001</v>
      </c>
      <c r="F33" s="1">
        <f t="shared" si="24"/>
        <v>59260</v>
      </c>
      <c r="G33" s="1">
        <f t="shared" si="28"/>
        <v>90010</v>
      </c>
      <c r="H33">
        <f t="shared" ref="H33" si="51">C33-C32</f>
        <v>28036</v>
      </c>
      <c r="I33">
        <f t="shared" ref="I33" si="52">D33-D32</f>
        <v>810</v>
      </c>
      <c r="J33">
        <f t="shared" si="5"/>
        <v>30</v>
      </c>
      <c r="K33" s="4">
        <f t="shared" si="2"/>
        <v>758322.30215620936</v>
      </c>
      <c r="L33" s="4" t="s">
        <v>50</v>
      </c>
      <c r="M33" s="34">
        <f>INDEX(LINEST(LN($C$28:C33),$J$28:J33),1)</f>
        <v>0.14002227747444118</v>
      </c>
      <c r="N33" s="35">
        <f>EXP(INDEX(LINEST(LN($C$28:C33),$J$28:J33),1,2))</f>
        <v>3690.9287623529658</v>
      </c>
      <c r="O33" s="13">
        <f>INDEX(LINEST(LN($C$28:C33),$J$28:J33,1,1),3)</f>
        <v>0.99901970693529629</v>
      </c>
      <c r="P33" s="4">
        <f t="shared" si="43"/>
        <v>246299.04992504959</v>
      </c>
      <c r="Q33" s="4">
        <f t="shared" si="44"/>
        <v>2846.0499250495923</v>
      </c>
      <c r="R33" s="9">
        <f t="shared" si="45"/>
        <v>118.80632591821137</v>
      </c>
      <c r="T33">
        <f t="shared" si="50"/>
        <v>26419.582410211016</v>
      </c>
      <c r="W33">
        <v>449460.73754286527</v>
      </c>
      <c r="X33">
        <v>-1324900.7915047815</v>
      </c>
    </row>
    <row r="34" spans="1:24" x14ac:dyDescent="0.3">
      <c r="A34" s="8">
        <v>43924</v>
      </c>
      <c r="B34" t="s">
        <v>12</v>
      </c>
      <c r="C34">
        <v>275586</v>
      </c>
      <c r="D34">
        <v>7087</v>
      </c>
      <c r="E34">
        <v>9707</v>
      </c>
      <c r="F34" s="1">
        <f t="shared" ref="F34" si="53">D34*$W$7</f>
        <v>70870</v>
      </c>
      <c r="G34" s="1">
        <f t="shared" ref="G34" si="54">E34*$W$7</f>
        <v>97070</v>
      </c>
      <c r="H34">
        <f t="shared" ref="H34" si="55">C34-C33</f>
        <v>32133</v>
      </c>
      <c r="I34">
        <f t="shared" ref="I34" si="56">D34-D33</f>
        <v>1161</v>
      </c>
      <c r="J34">
        <f t="shared" si="5"/>
        <v>31</v>
      </c>
      <c r="K34" s="4">
        <f t="shared" si="2"/>
        <v>1015877.9530823868</v>
      </c>
      <c r="L34" s="4" t="s">
        <v>50</v>
      </c>
      <c r="M34" s="34">
        <f>INDEX(LINEST(LN($C$28:C34),$J$28:J34),1)</f>
        <v>0.13705774330157142</v>
      </c>
      <c r="N34" s="35">
        <f>EXP(INDEX(LINEST(LN($C$28:C34),$J$28:J34),1,2))</f>
        <v>3994.5557363126672</v>
      </c>
      <c r="O34" s="13">
        <f>INDEX(LINEST(LN($C$28:C34),$J$28:J34,1,1),3)</f>
        <v>0.99858216292225888</v>
      </c>
      <c r="P34" s="4">
        <f t="shared" ref="P34" si="57">N34*EXP(J34*(M34))</f>
        <v>279701.34542941069</v>
      </c>
      <c r="Q34" s="4">
        <f t="shared" ref="Q34" si="58">P34-C34</f>
        <v>4115.3454294106923</v>
      </c>
      <c r="R34" s="9">
        <f t="shared" si="45"/>
        <v>121.37608523755661</v>
      </c>
    </row>
    <row r="35" spans="1:24" x14ac:dyDescent="0.3">
      <c r="A35" s="8">
        <v>43925</v>
      </c>
      <c r="B35" t="s">
        <v>13</v>
      </c>
      <c r="C35">
        <v>308850</v>
      </c>
      <c r="D35">
        <v>8407</v>
      </c>
      <c r="E35">
        <v>14652</v>
      </c>
      <c r="F35" s="1">
        <f t="shared" ref="F35" si="59">D35*$W$7</f>
        <v>84070</v>
      </c>
      <c r="G35" s="1">
        <f t="shared" ref="G35" si="60">E35*$W$7</f>
        <v>146520</v>
      </c>
      <c r="H35">
        <f t="shared" ref="H35" si="61">C35-C34</f>
        <v>33264</v>
      </c>
      <c r="I35">
        <f t="shared" ref="I35" si="62">D35-D34</f>
        <v>1320</v>
      </c>
      <c r="J35">
        <f t="shared" si="5"/>
        <v>32</v>
      </c>
      <c r="K35" s="4">
        <f t="shared" ref="K35:K66" si="63">W$4*EXP(X$4*J35)</f>
        <v>1360909.4874625946</v>
      </c>
      <c r="L35" s="4" t="s">
        <v>50</v>
      </c>
      <c r="M35" s="34">
        <f>INDEX(LINEST(LN($C$28:C35),$J$28:J35),1)</f>
        <v>0.13389737400033005</v>
      </c>
      <c r="N35" s="35">
        <f>EXP(INDEX(LINEST(LN($C$28:C35),$J$28:J35),1,2))</f>
        <v>4350.3762657787311</v>
      </c>
      <c r="O35" s="13">
        <f>INDEX(LINEST(LN($C$28:C35),$J$28:J35,1,1),3)</f>
        <v>0.99789845231969543</v>
      </c>
      <c r="P35" s="4">
        <f t="shared" ref="P35:P36" si="64">N35*EXP(J35*(M35))</f>
        <v>315758.69777560775</v>
      </c>
      <c r="Q35" s="4">
        <f t="shared" ref="Q35:Q36" si="65">P35-C35</f>
        <v>6908.697775607754</v>
      </c>
      <c r="R35" s="9">
        <f t="shared" ref="R35:R36" si="66">24*LN(2)/(M35)</f>
        <v>124.24091553429329</v>
      </c>
    </row>
    <row r="36" spans="1:24" x14ac:dyDescent="0.3">
      <c r="A36" s="8">
        <v>43926</v>
      </c>
      <c r="B36" t="s">
        <v>14</v>
      </c>
      <c r="C36">
        <v>337072</v>
      </c>
      <c r="D36">
        <v>9619</v>
      </c>
      <c r="E36">
        <v>17448</v>
      </c>
      <c r="F36" s="1">
        <f t="shared" ref="F36" si="67">D36*$W$7</f>
        <v>96190</v>
      </c>
      <c r="G36" s="1">
        <f t="shared" ref="G36" si="68">E36*$W$7</f>
        <v>174480</v>
      </c>
      <c r="H36">
        <f t="shared" ref="H36" si="69">C36-C35</f>
        <v>28222</v>
      </c>
      <c r="I36">
        <f t="shared" ref="I36" si="70">D36-D35</f>
        <v>1212</v>
      </c>
      <c r="J36">
        <f t="shared" si="5"/>
        <v>33</v>
      </c>
      <c r="K36" s="4">
        <f t="shared" si="63"/>
        <v>1823127.1064069455</v>
      </c>
      <c r="L36" s="4" t="s">
        <v>50</v>
      </c>
      <c r="M36" s="34">
        <f>INDEX(LINEST(LN($C$28:C36),$J$28:J36),1)</f>
        <v>0.12932543240920924</v>
      </c>
      <c r="N36" s="35">
        <f>EXP(INDEX(LINEST(LN($C$28:C36),$J$28:J36),1,2))</f>
        <v>4929.4565205116187</v>
      </c>
      <c r="O36" s="13">
        <f>INDEX(LINEST(LN($C$28:C36),$J$28:J36,1,1),3)</f>
        <v>0.99552371950898078</v>
      </c>
      <c r="P36" s="4">
        <f t="shared" si="64"/>
        <v>351766.64388120692</v>
      </c>
      <c r="Q36" s="4">
        <f t="shared" si="65"/>
        <v>14694.643881206925</v>
      </c>
      <c r="R36" s="9">
        <f t="shared" si="66"/>
        <v>128.63310814844854</v>
      </c>
    </row>
    <row r="37" spans="1:24" x14ac:dyDescent="0.3">
      <c r="A37" s="8">
        <v>43927</v>
      </c>
      <c r="B37" t="s">
        <v>8</v>
      </c>
      <c r="C37">
        <v>366667</v>
      </c>
      <c r="D37">
        <v>10783</v>
      </c>
      <c r="E37">
        <v>19581</v>
      </c>
      <c r="F37" s="1">
        <f t="shared" ref="F37" si="71">D37*$W$7</f>
        <v>107830</v>
      </c>
      <c r="G37" s="1">
        <f t="shared" ref="G37" si="72">E37*$W$7</f>
        <v>195810</v>
      </c>
      <c r="H37">
        <f t="shared" ref="H37" si="73">C37-C36</f>
        <v>29595</v>
      </c>
      <c r="I37">
        <f t="shared" ref="I37" si="74">D37-D36</f>
        <v>1164</v>
      </c>
      <c r="J37">
        <f t="shared" si="5"/>
        <v>34</v>
      </c>
      <c r="K37" s="4">
        <f t="shared" si="63"/>
        <v>2442331.7470678678</v>
      </c>
      <c r="L37" s="4" t="s">
        <v>50</v>
      </c>
      <c r="M37" s="34">
        <f>INDEX(LINEST(LN($C$28:C37),$J$28:J37),1)</f>
        <v>0.12453419429457632</v>
      </c>
      <c r="N37" s="35">
        <f>EXP(INDEX(LINEST(LN($C$28:C37),$J$28:J37),1,2))</f>
        <v>5628.1811756465368</v>
      </c>
      <c r="O37" s="13">
        <f>INDEX(LINEST(LN($C$28:C37),$J$28:J37,1,1),3)</f>
        <v>0.99258168289102722</v>
      </c>
      <c r="P37" s="4">
        <f t="shared" ref="P37" si="75">N37*EXP(J37*(M37))</f>
        <v>388366.2884080697</v>
      </c>
      <c r="Q37" s="4">
        <f t="shared" ref="Q37:Q38" si="76">P37-C37</f>
        <v>21699.288408069697</v>
      </c>
      <c r="R37" s="9">
        <f t="shared" ref="R37:R38" si="77">24*LN(2)/(M37)</f>
        <v>133.58204489675003</v>
      </c>
    </row>
    <row r="38" spans="1:24" x14ac:dyDescent="0.3">
      <c r="A38" s="8">
        <v>43928</v>
      </c>
      <c r="B38" t="s">
        <v>9</v>
      </c>
      <c r="C38">
        <v>396223</v>
      </c>
      <c r="D38">
        <v>12722</v>
      </c>
      <c r="E38">
        <v>21763</v>
      </c>
      <c r="F38" s="1">
        <f t="shared" ref="F38" si="78">D38*$W$7</f>
        <v>127220</v>
      </c>
      <c r="G38" s="1">
        <f t="shared" ref="G38" si="79">E38*$W$7</f>
        <v>217630</v>
      </c>
      <c r="H38">
        <f t="shared" ref="H38" si="80">C38-C37</f>
        <v>29556</v>
      </c>
      <c r="I38">
        <f t="shared" ref="I38" si="81">D38-D37</f>
        <v>1939</v>
      </c>
      <c r="J38">
        <f t="shared" si="5"/>
        <v>35</v>
      </c>
      <c r="K38" s="4">
        <f t="shared" ref="K38" si="82">W$4*EXP(X$4*J38)</f>
        <v>3271842.2877774565</v>
      </c>
      <c r="L38" s="4" t="s">
        <v>89</v>
      </c>
      <c r="M38" s="34">
        <f>SLOPE(C34:C38,LN(J34:J38))</f>
        <v>985962.63871797128</v>
      </c>
      <c r="N38" s="35">
        <f>INTERCEPT($C$34:C38, LN($J$34:J38))</f>
        <v>-3109639.4214142296</v>
      </c>
      <c r="O38" s="13">
        <f>INDEX(LINEST($C$28:C38,LN($J$28:J38),1,1),3)</f>
        <v>0.98850529048555091</v>
      </c>
      <c r="P38" s="4">
        <f>M38*LN(J38)+N38</f>
        <v>395800.93485269649</v>
      </c>
      <c r="Q38" s="4">
        <f t="shared" si="76"/>
        <v>-422.06514730351046</v>
      </c>
      <c r="R38" s="9">
        <f t="shared" si="77"/>
        <v>1.6872375970624564E-5</v>
      </c>
    </row>
    <row r="39" spans="1:24" x14ac:dyDescent="0.3">
      <c r="A39" s="8">
        <v>43929</v>
      </c>
      <c r="B39" t="s">
        <v>10</v>
      </c>
      <c r="K39" s="4">
        <f t="shared" si="63"/>
        <v>117.55</v>
      </c>
      <c r="L39" s="4"/>
      <c r="M39" s="34"/>
      <c r="N39" s="35"/>
      <c r="V39" t="s">
        <v>37</v>
      </c>
    </row>
    <row r="40" spans="1:24" x14ac:dyDescent="0.3">
      <c r="A40" s="8">
        <v>43930</v>
      </c>
      <c r="B40" t="s">
        <v>11</v>
      </c>
      <c r="K40" s="4">
        <f t="shared" si="63"/>
        <v>117.55</v>
      </c>
      <c r="L40" s="4"/>
      <c r="M40" s="34"/>
      <c r="N40" s="35"/>
    </row>
    <row r="41" spans="1:24" x14ac:dyDescent="0.3">
      <c r="A41" s="8">
        <v>43931</v>
      </c>
      <c r="B41" t="s">
        <v>12</v>
      </c>
      <c r="K41" s="4">
        <f t="shared" si="63"/>
        <v>117.55</v>
      </c>
      <c r="L41" s="4"/>
      <c r="M41" s="34"/>
      <c r="N41" s="35"/>
    </row>
    <row r="42" spans="1:24" x14ac:dyDescent="0.3">
      <c r="A42" s="8">
        <v>43932</v>
      </c>
      <c r="B42" t="s">
        <v>13</v>
      </c>
      <c r="K42" s="4">
        <f t="shared" si="63"/>
        <v>117.55</v>
      </c>
      <c r="L42" s="4"/>
      <c r="M42" s="34"/>
      <c r="N42" s="35"/>
    </row>
    <row r="43" spans="1:24" x14ac:dyDescent="0.3">
      <c r="A43" s="8">
        <v>43933</v>
      </c>
      <c r="B43" t="s">
        <v>14</v>
      </c>
      <c r="K43" s="4">
        <f t="shared" si="63"/>
        <v>117.55</v>
      </c>
      <c r="L43" s="4"/>
      <c r="M43" s="34"/>
      <c r="N43" s="35"/>
    </row>
    <row r="44" spans="1:24" x14ac:dyDescent="0.3">
      <c r="A44" s="8">
        <v>43934</v>
      </c>
      <c r="B44" t="s">
        <v>8</v>
      </c>
      <c r="K44" s="4">
        <f t="shared" si="63"/>
        <v>117.55</v>
      </c>
      <c r="L44" s="4"/>
      <c r="M44" s="34"/>
      <c r="N44" s="35"/>
    </row>
    <row r="45" spans="1:24" x14ac:dyDescent="0.3">
      <c r="A45" s="8">
        <v>43935</v>
      </c>
      <c r="B45" t="s">
        <v>9</v>
      </c>
      <c r="K45" s="4">
        <f t="shared" si="63"/>
        <v>117.55</v>
      </c>
      <c r="L45" s="4"/>
      <c r="M45" s="34"/>
      <c r="N45" s="35"/>
    </row>
    <row r="46" spans="1:24" x14ac:dyDescent="0.3">
      <c r="A46" s="8">
        <v>43936</v>
      </c>
      <c r="B46" t="s">
        <v>10</v>
      </c>
      <c r="K46" s="4">
        <f t="shared" si="63"/>
        <v>117.55</v>
      </c>
      <c r="L46" s="4"/>
      <c r="M46" s="34"/>
      <c r="N46" s="35"/>
    </row>
    <row r="47" spans="1:24" x14ac:dyDescent="0.3">
      <c r="A47" s="8">
        <v>43937</v>
      </c>
      <c r="B47" t="s">
        <v>11</v>
      </c>
      <c r="K47" s="4">
        <f t="shared" si="63"/>
        <v>117.55</v>
      </c>
      <c r="L47" s="4"/>
      <c r="M47" s="34"/>
      <c r="N47" s="35"/>
    </row>
    <row r="48" spans="1:24" x14ac:dyDescent="0.3">
      <c r="A48" s="8">
        <v>43938</v>
      </c>
      <c r="B48" t="s">
        <v>12</v>
      </c>
      <c r="K48" s="4">
        <f t="shared" si="63"/>
        <v>117.55</v>
      </c>
      <c r="L48" s="4"/>
      <c r="M48" s="34"/>
    </row>
    <row r="49" spans="1:13" x14ac:dyDescent="0.3">
      <c r="A49" s="8">
        <v>43939</v>
      </c>
      <c r="B49" t="s">
        <v>13</v>
      </c>
      <c r="K49" s="4">
        <f t="shared" si="63"/>
        <v>117.55</v>
      </c>
      <c r="L49" s="4"/>
      <c r="M49" s="4"/>
    </row>
    <row r="50" spans="1:13" x14ac:dyDescent="0.3">
      <c r="A50" s="8">
        <v>43940</v>
      </c>
      <c r="B50" t="s">
        <v>14</v>
      </c>
      <c r="K50" s="4">
        <f t="shared" si="63"/>
        <v>117.55</v>
      </c>
      <c r="L50" s="4"/>
      <c r="M50" s="4"/>
    </row>
    <row r="51" spans="1:13" x14ac:dyDescent="0.3">
      <c r="A51" s="8">
        <v>43941</v>
      </c>
      <c r="B51" t="s">
        <v>8</v>
      </c>
      <c r="K51" s="4">
        <f t="shared" si="63"/>
        <v>117.55</v>
      </c>
      <c r="L51" s="4"/>
      <c r="M51" s="4"/>
    </row>
    <row r="52" spans="1:13" x14ac:dyDescent="0.3">
      <c r="A52" s="8">
        <v>43942</v>
      </c>
      <c r="B52" t="s">
        <v>9</v>
      </c>
      <c r="K52" s="4">
        <f t="shared" si="63"/>
        <v>117.55</v>
      </c>
      <c r="L52" s="4"/>
      <c r="M52" s="4"/>
    </row>
    <row r="53" spans="1:13" x14ac:dyDescent="0.3">
      <c r="A53" s="8">
        <v>43943</v>
      </c>
      <c r="B53" t="s">
        <v>10</v>
      </c>
      <c r="K53" s="4">
        <f t="shared" si="63"/>
        <v>117.55</v>
      </c>
      <c r="L53" s="4"/>
      <c r="M53" s="4"/>
    </row>
    <row r="54" spans="1:13" x14ac:dyDescent="0.3">
      <c r="A54" s="8">
        <v>43944</v>
      </c>
      <c r="B54" t="s">
        <v>11</v>
      </c>
      <c r="K54" s="4">
        <f t="shared" si="63"/>
        <v>117.55</v>
      </c>
      <c r="L54" s="4"/>
      <c r="M54" s="4"/>
    </row>
    <row r="55" spans="1:13" x14ac:dyDescent="0.3">
      <c r="A55" s="8">
        <v>43945</v>
      </c>
      <c r="B55" t="s">
        <v>12</v>
      </c>
      <c r="K55" s="4">
        <f t="shared" si="63"/>
        <v>117.55</v>
      </c>
      <c r="L55" s="4"/>
      <c r="M55" s="4"/>
    </row>
    <row r="56" spans="1:13" x14ac:dyDescent="0.3">
      <c r="A56" s="8">
        <v>43946</v>
      </c>
      <c r="B56" t="s">
        <v>13</v>
      </c>
      <c r="K56" s="4">
        <f t="shared" si="63"/>
        <v>117.55</v>
      </c>
      <c r="L56" s="4"/>
      <c r="M56" s="4"/>
    </row>
    <row r="57" spans="1:13" x14ac:dyDescent="0.3">
      <c r="A57" s="8">
        <v>43947</v>
      </c>
      <c r="B57" t="s">
        <v>14</v>
      </c>
      <c r="K57" s="4">
        <f t="shared" si="63"/>
        <v>117.55</v>
      </c>
      <c r="L57" s="4"/>
      <c r="M57" s="4"/>
    </row>
    <row r="58" spans="1:13" x14ac:dyDescent="0.3">
      <c r="A58" s="8">
        <v>43948</v>
      </c>
      <c r="B58" t="s">
        <v>8</v>
      </c>
      <c r="K58" s="4">
        <f t="shared" si="63"/>
        <v>117.55</v>
      </c>
      <c r="L58" s="4"/>
      <c r="M58" s="4"/>
    </row>
    <row r="59" spans="1:13" x14ac:dyDescent="0.3">
      <c r="A59" s="8">
        <v>43949</v>
      </c>
      <c r="B59" t="s">
        <v>9</v>
      </c>
      <c r="K59" s="4">
        <f t="shared" si="63"/>
        <v>117.55</v>
      </c>
      <c r="L59" s="4"/>
      <c r="M59" s="4"/>
    </row>
    <row r="60" spans="1:13" x14ac:dyDescent="0.3">
      <c r="A60" s="8">
        <v>43950</v>
      </c>
      <c r="B60" t="s">
        <v>10</v>
      </c>
      <c r="K60" s="4">
        <f t="shared" si="63"/>
        <v>117.55</v>
      </c>
      <c r="L60" s="4"/>
      <c r="M60" s="4"/>
    </row>
    <row r="61" spans="1:13" x14ac:dyDescent="0.3">
      <c r="A61" s="8">
        <v>43951</v>
      </c>
      <c r="B61" t="s">
        <v>11</v>
      </c>
      <c r="K61" s="4">
        <f t="shared" si="63"/>
        <v>117.55</v>
      </c>
      <c r="L61" s="4"/>
      <c r="M61" s="4"/>
    </row>
    <row r="62" spans="1:13" x14ac:dyDescent="0.3">
      <c r="A62" s="8">
        <v>43952</v>
      </c>
      <c r="B62" t="s">
        <v>12</v>
      </c>
      <c r="K62" s="4">
        <f t="shared" si="63"/>
        <v>117.55</v>
      </c>
      <c r="L62" s="4"/>
      <c r="M62" s="4"/>
    </row>
    <row r="63" spans="1:13" x14ac:dyDescent="0.3">
      <c r="A63" s="8">
        <v>43953</v>
      </c>
      <c r="B63" t="s">
        <v>13</v>
      </c>
      <c r="K63" s="4">
        <f t="shared" si="63"/>
        <v>117.55</v>
      </c>
      <c r="L63" s="4"/>
      <c r="M63" s="4"/>
    </row>
    <row r="64" spans="1:13" x14ac:dyDescent="0.3">
      <c r="A64" s="8">
        <v>43954</v>
      </c>
      <c r="B64" t="s">
        <v>14</v>
      </c>
      <c r="K64" s="4">
        <f t="shared" si="63"/>
        <v>117.55</v>
      </c>
      <c r="L64" s="4"/>
      <c r="M64" s="4"/>
    </row>
    <row r="65" spans="1:13" x14ac:dyDescent="0.3">
      <c r="A65" s="8">
        <v>43955</v>
      </c>
      <c r="B65" t="s">
        <v>8</v>
      </c>
      <c r="K65" s="4">
        <f t="shared" si="63"/>
        <v>117.55</v>
      </c>
      <c r="L65" s="4"/>
      <c r="M65" s="4"/>
    </row>
    <row r="66" spans="1:13" x14ac:dyDescent="0.3">
      <c r="A66" s="8">
        <v>43956</v>
      </c>
      <c r="B66" t="s">
        <v>9</v>
      </c>
      <c r="K66" s="4">
        <f t="shared" si="63"/>
        <v>117.55</v>
      </c>
      <c r="L66" s="4"/>
      <c r="M66" s="4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1" sqref="K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D8" sqref="D8"/>
    </sheetView>
  </sheetViews>
  <sheetFormatPr defaultRowHeight="14.4" x14ac:dyDescent="0.3"/>
  <cols>
    <col min="2" max="2" width="9.5546875" bestFit="1" customWidth="1"/>
    <col min="3" max="3" width="28.5546875" bestFit="1" customWidth="1"/>
    <col min="4" max="5" width="12.5546875" bestFit="1" customWidth="1"/>
    <col min="6" max="6" width="13.6640625" bestFit="1" customWidth="1"/>
    <col min="11" max="11" width="9.5546875" bestFit="1" customWidth="1"/>
  </cols>
  <sheetData>
    <row r="2" spans="1:12" x14ac:dyDescent="0.3">
      <c r="C2" t="s">
        <v>32</v>
      </c>
    </row>
    <row r="3" spans="1:12" x14ac:dyDescent="0.3">
      <c r="C3" t="s">
        <v>31</v>
      </c>
      <c r="D3" s="45">
        <v>18</v>
      </c>
      <c r="E3" t="s">
        <v>27</v>
      </c>
    </row>
    <row r="4" spans="1:12" x14ac:dyDescent="0.3">
      <c r="C4" t="s">
        <v>30</v>
      </c>
      <c r="D4" s="45">
        <v>0.01</v>
      </c>
      <c r="E4" t="s">
        <v>29</v>
      </c>
    </row>
    <row r="5" spans="1:12" x14ac:dyDescent="0.3">
      <c r="C5" t="s">
        <v>28</v>
      </c>
      <c r="D5" s="42">
        <v>9</v>
      </c>
      <c r="E5" t="s">
        <v>27</v>
      </c>
    </row>
    <row r="6" spans="1:12" ht="15" thickBot="1" x14ac:dyDescent="0.35">
      <c r="A6" t="s">
        <v>87</v>
      </c>
      <c r="B6" s="44">
        <v>43928</v>
      </c>
      <c r="C6" t="s">
        <v>26</v>
      </c>
      <c r="D6" s="10">
        <f>VLOOKUP(B6,Summary!A3:E66,4)</f>
        <v>12722</v>
      </c>
    </row>
    <row r="7" spans="1:12" ht="15" thickTop="1" x14ac:dyDescent="0.3"/>
    <row r="8" spans="1:12" x14ac:dyDescent="0.3">
      <c r="C8" t="str">
        <f>"probable cases " &amp; D3 &amp; " days ago."</f>
        <v>probable cases 18 days ago.</v>
      </c>
      <c r="D8">
        <f>D6/D4</f>
        <v>1272200</v>
      </c>
      <c r="F8" s="33">
        <f ca="1">TODAY()-18</f>
        <v>43910</v>
      </c>
    </row>
    <row r="9" spans="1:12" x14ac:dyDescent="0.3">
      <c r="C9" t="str">
        <f>"number of doubles in " &amp; D3 &amp; " days"</f>
        <v>number of doubles in 18 days</v>
      </c>
      <c r="D9">
        <f>D3/D5</f>
        <v>2</v>
      </c>
    </row>
    <row r="10" spans="1:12" x14ac:dyDescent="0.3">
      <c r="D10" t="s">
        <v>25</v>
      </c>
      <c r="E10" t="s">
        <v>24</v>
      </c>
      <c r="F10" t="s">
        <v>23</v>
      </c>
    </row>
    <row r="11" spans="1:12" x14ac:dyDescent="0.3">
      <c r="C11" t="s">
        <v>22</v>
      </c>
      <c r="D11" s="11">
        <f>$D$8 * (2^$D$9)</f>
        <v>5088800</v>
      </c>
      <c r="E11" s="11">
        <f>D8*2^(INT(D9))</f>
        <v>5088800</v>
      </c>
      <c r="F11" s="11">
        <f>D8*2^(1+INT(D9))</f>
        <v>10177600</v>
      </c>
    </row>
    <row r="12" spans="1:12" x14ac:dyDescent="0.3">
      <c r="C12" t="str">
        <f>"number of deaths in " &amp; D3 &amp; " days."</f>
        <v>number of deaths in 18 days.</v>
      </c>
      <c r="D12" s="12">
        <f>D11*$D$4</f>
        <v>50888</v>
      </c>
      <c r="E12" s="12">
        <f>E11*$D$4</f>
        <v>50888</v>
      </c>
      <c r="F12" s="12">
        <f>F11*$D$4</f>
        <v>101776</v>
      </c>
      <c r="H12" t="s">
        <v>85</v>
      </c>
    </row>
    <row r="13" spans="1:12" ht="15" thickBot="1" x14ac:dyDescent="0.35">
      <c r="B13" s="33">
        <f>B6+D3</f>
        <v>43946</v>
      </c>
      <c r="C13" t="s">
        <v>88</v>
      </c>
      <c r="D13" s="43">
        <f>VLOOKUP(B13,Summary!A3:E66,4)</f>
        <v>0</v>
      </c>
      <c r="H13" t="s">
        <v>51</v>
      </c>
      <c r="K13" s="33">
        <f>18+DATE(2020,3,28)</f>
        <v>43936</v>
      </c>
      <c r="L13" t="s">
        <v>86</v>
      </c>
    </row>
    <row r="14" spans="1:12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workbookViewId="0">
      <selection activeCell="B3" sqref="B3"/>
    </sheetView>
  </sheetViews>
  <sheetFormatPr defaultRowHeight="14.4" x14ac:dyDescent="0.3"/>
  <cols>
    <col min="8" max="8" width="10.5546875" bestFit="1" customWidth="1"/>
    <col min="9" max="10" width="9.5546875" bestFit="1" customWidth="1"/>
  </cols>
  <sheetData>
    <row r="1" spans="2:11" x14ac:dyDescent="0.3">
      <c r="B1" t="s">
        <v>52</v>
      </c>
      <c r="D1" s="40" t="s">
        <v>81</v>
      </c>
    </row>
    <row r="3" spans="2:11" x14ac:dyDescent="0.3">
      <c r="B3" s="41" t="s">
        <v>53</v>
      </c>
    </row>
    <row r="5" spans="2:11" ht="28.8" x14ac:dyDescent="0.3">
      <c r="B5" s="36" t="s">
        <v>54</v>
      </c>
      <c r="C5" s="36" t="s">
        <v>55</v>
      </c>
      <c r="D5" s="36" t="s">
        <v>56</v>
      </c>
      <c r="E5" s="36" t="s">
        <v>57</v>
      </c>
      <c r="F5" s="36" t="s">
        <v>58</v>
      </c>
      <c r="G5" s="36" t="s">
        <v>59</v>
      </c>
      <c r="H5" s="36" t="s">
        <v>60</v>
      </c>
      <c r="I5" s="36" t="s">
        <v>61</v>
      </c>
      <c r="J5" s="36" t="s">
        <v>62</v>
      </c>
      <c r="K5" s="36" t="s">
        <v>63</v>
      </c>
    </row>
    <row r="6" spans="2:11" ht="43.2" x14ac:dyDescent="0.3">
      <c r="B6" s="37" t="s">
        <v>64</v>
      </c>
      <c r="C6" s="37">
        <v>4.5999999999999996</v>
      </c>
      <c r="D6" s="37">
        <v>3.3</v>
      </c>
      <c r="E6" s="37">
        <v>5.7</v>
      </c>
      <c r="F6" s="37" t="s">
        <v>65</v>
      </c>
      <c r="G6" s="37" t="s">
        <v>66</v>
      </c>
      <c r="H6" s="38">
        <v>43830</v>
      </c>
      <c r="I6" s="38">
        <v>43855</v>
      </c>
      <c r="J6" s="38">
        <v>43858</v>
      </c>
      <c r="K6" s="39" t="s">
        <v>67</v>
      </c>
    </row>
    <row r="7" spans="2:11" ht="43.2" x14ac:dyDescent="0.3">
      <c r="B7" s="37" t="s">
        <v>64</v>
      </c>
      <c r="C7" s="37">
        <v>5</v>
      </c>
      <c r="D7" s="37">
        <v>4.0999999999999996</v>
      </c>
      <c r="E7" s="37">
        <v>5.8</v>
      </c>
      <c r="F7" s="37" t="s">
        <v>65</v>
      </c>
      <c r="G7" s="37" t="s">
        <v>68</v>
      </c>
      <c r="H7" s="38">
        <v>43830</v>
      </c>
      <c r="I7" s="38">
        <v>43855</v>
      </c>
      <c r="J7" s="38">
        <v>43858</v>
      </c>
      <c r="K7" s="39" t="s">
        <v>67</v>
      </c>
    </row>
    <row r="8" spans="2:11" ht="28.8" x14ac:dyDescent="0.3">
      <c r="B8" s="37" t="s">
        <v>64</v>
      </c>
      <c r="C8" s="37">
        <v>5.4</v>
      </c>
      <c r="D8" s="37">
        <v>4.2</v>
      </c>
      <c r="E8" s="37">
        <v>6.7</v>
      </c>
      <c r="F8" s="37" t="s">
        <v>65</v>
      </c>
      <c r="G8" s="37" t="s">
        <v>69</v>
      </c>
      <c r="H8" s="38">
        <v>43809</v>
      </c>
      <c r="I8" s="38">
        <v>43855</v>
      </c>
      <c r="J8" s="38">
        <v>43856</v>
      </c>
      <c r="K8" s="39" t="s">
        <v>70</v>
      </c>
    </row>
    <row r="9" spans="2:11" ht="28.8" x14ac:dyDescent="0.3">
      <c r="B9" s="37" t="s">
        <v>71</v>
      </c>
      <c r="C9" s="37">
        <v>5.2</v>
      </c>
      <c r="D9" s="37">
        <v>4.4000000000000004</v>
      </c>
      <c r="E9" s="37">
        <v>6</v>
      </c>
      <c r="F9" s="37" t="s">
        <v>65</v>
      </c>
      <c r="G9" s="37" t="s">
        <v>66</v>
      </c>
      <c r="H9" s="38">
        <v>43800</v>
      </c>
      <c r="I9" s="38">
        <v>43500</v>
      </c>
      <c r="J9" s="38">
        <v>43865</v>
      </c>
      <c r="K9" s="39" t="s">
        <v>72</v>
      </c>
    </row>
    <row r="10" spans="2:11" ht="28.8" x14ac:dyDescent="0.3">
      <c r="B10" s="37" t="s">
        <v>64</v>
      </c>
      <c r="C10" s="37">
        <v>4.2</v>
      </c>
      <c r="D10" s="37">
        <v>3.5</v>
      </c>
      <c r="E10" s="37">
        <v>5.0999999999999996</v>
      </c>
      <c r="F10" s="37" t="s">
        <v>65</v>
      </c>
      <c r="G10" s="37" t="s">
        <v>73</v>
      </c>
      <c r="H10" s="38">
        <v>43830</v>
      </c>
      <c r="I10" s="38">
        <v>43871</v>
      </c>
      <c r="J10" s="38">
        <v>43872</v>
      </c>
      <c r="K10" s="39" t="s">
        <v>74</v>
      </c>
    </row>
    <row r="11" spans="2:11" ht="28.8" x14ac:dyDescent="0.3">
      <c r="B11" s="37" t="s">
        <v>64</v>
      </c>
      <c r="C11" s="37">
        <v>6.6</v>
      </c>
      <c r="D11" s="37">
        <v>1.8</v>
      </c>
      <c r="E11" s="37">
        <v>11.4</v>
      </c>
      <c r="F11" s="37" t="s">
        <v>75</v>
      </c>
      <c r="G11" s="37" t="s">
        <v>73</v>
      </c>
      <c r="H11" s="38">
        <v>43849</v>
      </c>
      <c r="I11" s="38">
        <v>43887</v>
      </c>
      <c r="J11" s="38">
        <v>43896</v>
      </c>
      <c r="K11" s="39" t="s">
        <v>76</v>
      </c>
    </row>
    <row r="12" spans="2:11" ht="28.8" x14ac:dyDescent="0.3">
      <c r="B12" s="37" t="s">
        <v>64</v>
      </c>
      <c r="C12" s="37">
        <v>5.4</v>
      </c>
      <c r="D12" s="37">
        <v>0.9</v>
      </c>
      <c r="E12" s="37">
        <v>9.9</v>
      </c>
      <c r="F12" s="37" t="s">
        <v>65</v>
      </c>
      <c r="G12" s="37" t="s">
        <v>77</v>
      </c>
      <c r="H12" s="38">
        <v>43851</v>
      </c>
      <c r="I12" s="38">
        <v>43883</v>
      </c>
      <c r="J12" s="38">
        <v>43896</v>
      </c>
      <c r="K12" s="39" t="s">
        <v>76</v>
      </c>
    </row>
    <row r="13" spans="2:11" ht="28.8" x14ac:dyDescent="0.3">
      <c r="B13" s="37" t="s">
        <v>64</v>
      </c>
      <c r="C13" s="37">
        <v>5.2</v>
      </c>
      <c r="D13" s="37">
        <v>1</v>
      </c>
      <c r="E13" s="37">
        <v>9.4</v>
      </c>
      <c r="F13" s="37" t="s">
        <v>65</v>
      </c>
      <c r="G13" s="37" t="s">
        <v>77</v>
      </c>
      <c r="H13" s="38">
        <v>43851</v>
      </c>
      <c r="I13" s="38">
        <v>43883</v>
      </c>
      <c r="J13" s="38">
        <v>43896</v>
      </c>
      <c r="K13" s="39" t="s">
        <v>76</v>
      </c>
    </row>
    <row r="14" spans="2:11" ht="28.8" x14ac:dyDescent="0.3">
      <c r="B14" s="37" t="s">
        <v>64</v>
      </c>
      <c r="C14" s="37">
        <v>7.1</v>
      </c>
      <c r="D14" s="37">
        <v>6.1</v>
      </c>
      <c r="E14" s="37">
        <v>8.3000000000000007</v>
      </c>
      <c r="F14" s="37" t="s">
        <v>75</v>
      </c>
      <c r="G14" s="37" t="s">
        <v>73</v>
      </c>
      <c r="H14" s="38">
        <v>43849</v>
      </c>
      <c r="I14" s="38">
        <v>43887</v>
      </c>
      <c r="J14" s="38">
        <v>43896</v>
      </c>
      <c r="K14" s="39" t="s">
        <v>76</v>
      </c>
    </row>
    <row r="15" spans="2:11" ht="28.8" x14ac:dyDescent="0.3">
      <c r="B15" s="37" t="s">
        <v>64</v>
      </c>
      <c r="C15" s="37">
        <v>5.46</v>
      </c>
      <c r="D15" s="37">
        <v>1.34</v>
      </c>
      <c r="E15" s="37">
        <v>11.1</v>
      </c>
      <c r="F15" s="37" t="s">
        <v>75</v>
      </c>
      <c r="G15" s="37" t="s">
        <v>73</v>
      </c>
      <c r="H15" s="38">
        <v>43849</v>
      </c>
      <c r="I15" s="38">
        <v>43861</v>
      </c>
      <c r="J15" s="38">
        <v>43896</v>
      </c>
      <c r="K15" s="39" t="s">
        <v>76</v>
      </c>
    </row>
    <row r="16" spans="2:11" ht="28.8" x14ac:dyDescent="0.3">
      <c r="B16" s="37" t="s">
        <v>64</v>
      </c>
      <c r="C16" s="37">
        <v>7.27</v>
      </c>
      <c r="D16" s="37">
        <v>1.31</v>
      </c>
      <c r="E16" s="37">
        <v>17.3</v>
      </c>
      <c r="F16" s="37" t="s">
        <v>75</v>
      </c>
      <c r="G16" s="37" t="s">
        <v>73</v>
      </c>
      <c r="H16" s="38">
        <v>43862</v>
      </c>
      <c r="I16" s="38">
        <v>43887</v>
      </c>
      <c r="J16" s="38">
        <v>43896</v>
      </c>
      <c r="K16" s="39" t="s">
        <v>76</v>
      </c>
    </row>
    <row r="17" spans="2:11" ht="28.8" x14ac:dyDescent="0.3">
      <c r="B17" s="37" t="s">
        <v>64</v>
      </c>
      <c r="C17" s="37">
        <v>9</v>
      </c>
      <c r="D17" s="37">
        <v>7.92</v>
      </c>
      <c r="E17" s="37">
        <v>10.199999999999999</v>
      </c>
      <c r="F17" s="37" t="s">
        <v>65</v>
      </c>
      <c r="G17" s="37" t="s">
        <v>77</v>
      </c>
      <c r="H17" s="38">
        <v>43851</v>
      </c>
      <c r="I17" s="38">
        <v>43883</v>
      </c>
      <c r="J17" s="38">
        <v>43896</v>
      </c>
      <c r="K17" s="39" t="s">
        <v>76</v>
      </c>
    </row>
    <row r="18" spans="2:11" ht="28.8" x14ac:dyDescent="0.3">
      <c r="B18" s="37" t="s">
        <v>64</v>
      </c>
      <c r="C18" s="37">
        <v>6.9</v>
      </c>
      <c r="D18" s="37">
        <v>2</v>
      </c>
      <c r="E18" s="37">
        <v>12.7</v>
      </c>
      <c r="F18" s="37" t="s">
        <v>65</v>
      </c>
      <c r="G18" s="37" t="s">
        <v>77</v>
      </c>
      <c r="H18" s="38">
        <v>43851</v>
      </c>
      <c r="I18" s="38">
        <v>43861</v>
      </c>
      <c r="J18" s="38">
        <v>43896</v>
      </c>
      <c r="K18" s="39" t="s">
        <v>76</v>
      </c>
    </row>
    <row r="19" spans="2:11" ht="28.8" x14ac:dyDescent="0.3">
      <c r="B19" s="37" t="s">
        <v>64</v>
      </c>
      <c r="C19" s="37">
        <v>12.4</v>
      </c>
      <c r="D19" s="37">
        <v>5.4</v>
      </c>
      <c r="E19" s="37">
        <v>19</v>
      </c>
      <c r="F19" s="37" t="s">
        <v>65</v>
      </c>
      <c r="G19" s="37" t="s">
        <v>77</v>
      </c>
      <c r="H19" s="38">
        <v>43862</v>
      </c>
      <c r="I19" s="38">
        <v>43883</v>
      </c>
      <c r="J19" s="38">
        <v>43896</v>
      </c>
      <c r="K19" s="39" t="s">
        <v>76</v>
      </c>
    </row>
    <row r="20" spans="2:11" ht="28.8" x14ac:dyDescent="0.3">
      <c r="B20" s="37" t="s">
        <v>64</v>
      </c>
      <c r="C20" s="37">
        <v>8.1300000000000008</v>
      </c>
      <c r="D20" s="37">
        <v>7.37</v>
      </c>
      <c r="E20" s="37">
        <v>8.91</v>
      </c>
      <c r="F20" s="37" t="s">
        <v>65</v>
      </c>
      <c r="G20" s="37" t="s">
        <v>73</v>
      </c>
      <c r="H20" s="38">
        <v>43842</v>
      </c>
      <c r="I20" s="38">
        <v>43853</v>
      </c>
      <c r="J20" s="38">
        <v>43900</v>
      </c>
      <c r="K20" s="39" t="s">
        <v>78</v>
      </c>
    </row>
    <row r="21" spans="2:11" ht="28.8" x14ac:dyDescent="0.3">
      <c r="B21" s="37" t="s">
        <v>64</v>
      </c>
      <c r="C21" s="37">
        <v>8.6199999999999992</v>
      </c>
      <c r="D21" s="37">
        <v>8.02</v>
      </c>
      <c r="E21" s="37">
        <v>9.2799999999999994</v>
      </c>
      <c r="F21" s="37" t="s">
        <v>65</v>
      </c>
      <c r="G21" s="37" t="s">
        <v>73</v>
      </c>
      <c r="H21" s="38">
        <v>43842</v>
      </c>
      <c r="I21" s="38">
        <v>43853</v>
      </c>
      <c r="J21" s="38">
        <v>43900</v>
      </c>
      <c r="K21" s="39" t="s">
        <v>78</v>
      </c>
    </row>
    <row r="22" spans="2:11" ht="28.8" x14ac:dyDescent="0.3">
      <c r="B22" s="37" t="s">
        <v>64</v>
      </c>
      <c r="C22" s="37">
        <v>4.8</v>
      </c>
      <c r="D22" s="37">
        <v>4.2</v>
      </c>
      <c r="E22" s="37">
        <v>5.4</v>
      </c>
      <c r="F22" s="37" t="s">
        <v>65</v>
      </c>
      <c r="G22" s="37" t="s">
        <v>79</v>
      </c>
      <c r="H22" s="38">
        <v>43844</v>
      </c>
      <c r="I22" s="38">
        <v>43873</v>
      </c>
      <c r="J22" s="38">
        <v>43894</v>
      </c>
      <c r="K22" s="39" t="s">
        <v>80</v>
      </c>
    </row>
    <row r="24" spans="2:11" x14ac:dyDescent="0.3">
      <c r="C24">
        <f>AVERAGE(C6:C22)</f>
        <v>6.5458823529411774</v>
      </c>
    </row>
  </sheetData>
  <hyperlinks>
    <hyperlink ref="K6" r:id="rId1" display="https://www.medrxiv.org/content/medrxiv/early/2020/01/28/2020.01.26.20018754.full.pdf"/>
    <hyperlink ref="K7" r:id="rId2" display="https://www.medrxiv.org/content/medrxiv/early/2020/01/28/2020.01.26.20018754.full.pdf"/>
    <hyperlink ref="K8" r:id="rId3" display="https://institutefordiseasemodeling.github.io/nCoV-public/analyses/individual_dynamics_estimates/nCoV_incubation_period.html"/>
    <hyperlink ref="K9" r:id="rId4" display="https://annals.org/aim/fullarticle/2762808/incubation-period-coronavirus-disease-2019-covid-19-from-publicly-reported"/>
    <hyperlink ref="K10" r:id="rId5" display="https://www.medrxiv.org/content/10.1101/2020.02.07.20021154v1"/>
    <hyperlink ref="K11" r:id="rId6" display="https://www.medrxiv.org/content/10.1101/2020.03.03.20029983v1"/>
    <hyperlink ref="K12" r:id="rId7" display="https://www.medrxiv.org/content/10.1101/2020.03.03.20029983v1"/>
    <hyperlink ref="K13" r:id="rId8" display="https://www.medrxiv.org/content/10.1101/2020.03.03.20029983v1"/>
    <hyperlink ref="K14" r:id="rId9" display="https://www.medrxiv.org/content/10.1101/2020.03.03.20029983v1"/>
    <hyperlink ref="K15" r:id="rId10" display="https://www.medrxiv.org/content/10.1101/2020.03.03.20029983v1"/>
    <hyperlink ref="K16" r:id="rId11" display="https://www.medrxiv.org/content/10.1101/2020.03.03.20029983v1"/>
    <hyperlink ref="K17" r:id="rId12" display="https://www.medrxiv.org/content/10.1101/2020.03.03.20029983v1"/>
    <hyperlink ref="K18" r:id="rId13" display="https://www.medrxiv.org/content/10.1101/2020.03.03.20029983v1"/>
    <hyperlink ref="K19" r:id="rId14" display="https://www.medrxiv.org/content/10.1101/2020.03.03.20029983v1"/>
    <hyperlink ref="K20" r:id="rId15" display="https://www.medrxiv.org/content/10.1101/2020.03.06.20032417v1"/>
    <hyperlink ref="K21" r:id="rId16" display="https://www.medrxiv.org/content/10.1101/2020.03.06.20032417v1"/>
    <hyperlink ref="K22" r:id="rId17" display="https://www.medrxiv.org/content/10.1101/2020.03.03.20028423v1.article-info"/>
    <hyperlink ref="D1" r:id="rId18"/>
    <hyperlink ref="B3" r:id="rId19" location="incubation-perio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1"/>
  <sheetViews>
    <sheetView workbookViewId="0">
      <selection activeCell="C11" sqref="C11"/>
    </sheetView>
  </sheetViews>
  <sheetFormatPr defaultRowHeight="14.4" x14ac:dyDescent="0.3"/>
  <sheetData>
    <row r="4" spans="2:11" x14ac:dyDescent="0.3">
      <c r="B4" s="41" t="s">
        <v>82</v>
      </c>
    </row>
    <row r="6" spans="2:11" ht="28.8" x14ac:dyDescent="0.3">
      <c r="B6" s="36" t="s">
        <v>54</v>
      </c>
      <c r="C6" s="36" t="s">
        <v>55</v>
      </c>
      <c r="D6" s="36" t="s">
        <v>56</v>
      </c>
      <c r="E6" s="36" t="s">
        <v>57</v>
      </c>
      <c r="F6" s="36" t="s">
        <v>58</v>
      </c>
      <c r="G6" s="36" t="s">
        <v>59</v>
      </c>
      <c r="H6" s="36" t="s">
        <v>60</v>
      </c>
      <c r="I6" s="36" t="s">
        <v>61</v>
      </c>
      <c r="J6" s="36" t="s">
        <v>62</v>
      </c>
      <c r="K6" s="36" t="s">
        <v>63</v>
      </c>
    </row>
    <row r="7" spans="2:11" ht="28.8" x14ac:dyDescent="0.3">
      <c r="B7" s="37" t="s">
        <v>64</v>
      </c>
      <c r="C7" s="37">
        <v>22.3</v>
      </c>
      <c r="D7" s="37">
        <v>18</v>
      </c>
      <c r="E7" s="37">
        <v>82</v>
      </c>
      <c r="F7" s="37" t="s">
        <v>65</v>
      </c>
      <c r="G7" s="37" t="s">
        <v>69</v>
      </c>
      <c r="H7" s="38">
        <v>43830</v>
      </c>
      <c r="I7" s="38">
        <v>43851</v>
      </c>
      <c r="J7" s="38">
        <v>43871</v>
      </c>
      <c r="K7" s="39" t="s">
        <v>83</v>
      </c>
    </row>
    <row r="8" spans="2:11" ht="43.2" x14ac:dyDescent="0.3">
      <c r="B8" s="37" t="s">
        <v>64</v>
      </c>
      <c r="C8" s="37">
        <v>13.8</v>
      </c>
      <c r="D8" s="37">
        <v>11.8</v>
      </c>
      <c r="E8" s="37">
        <v>16</v>
      </c>
      <c r="F8" s="37" t="s">
        <v>65</v>
      </c>
      <c r="G8" s="37" t="s">
        <v>73</v>
      </c>
      <c r="H8" s="38">
        <v>43830</v>
      </c>
      <c r="I8" s="38">
        <v>43855</v>
      </c>
      <c r="J8" s="38">
        <v>43858</v>
      </c>
      <c r="K8" s="39" t="s">
        <v>67</v>
      </c>
    </row>
    <row r="9" spans="2:11" ht="28.8" x14ac:dyDescent="0.3">
      <c r="B9" s="37" t="s">
        <v>64</v>
      </c>
      <c r="C9" s="37">
        <v>15.2</v>
      </c>
      <c r="D9" s="37">
        <v>13.1</v>
      </c>
      <c r="E9" s="37">
        <v>17.7</v>
      </c>
      <c r="F9" s="37" t="s">
        <v>65</v>
      </c>
      <c r="G9" s="37" t="s">
        <v>73</v>
      </c>
      <c r="H9" s="38">
        <v>43830</v>
      </c>
      <c r="I9" s="38">
        <v>43854</v>
      </c>
      <c r="J9" s="38">
        <v>43878</v>
      </c>
      <c r="K9" s="39" t="s">
        <v>84</v>
      </c>
    </row>
    <row r="11" spans="2:11" x14ac:dyDescent="0.3">
      <c r="C11">
        <f>AVERAGE(C7:C9)</f>
        <v>17.099999999999998</v>
      </c>
    </row>
  </sheetData>
  <hyperlinks>
    <hyperlink ref="B4" r:id="rId1" location="time-from-symptom-onset-to-death" display="https://github.com/midas-network/COVID-19/tree/master/parameter_estimates/2019_novel_coronavirus - time-from-symptom-onset-to-death"/>
    <hyperlink ref="K7" r:id="rId2" display="https://www.imperial.ac.uk/mrc-global-infectious-disease-analysis/news--wuhan-coronavirus/"/>
    <hyperlink ref="K8" r:id="rId3" display="https://www.medrxiv.org/content/medrxiv/early/2020/01/28/2020.01.26.20018754.full.pdf"/>
    <hyperlink ref="K9" r:id="rId4" display="http://medrxiv.org/content/early/2020/02/02/2020.01.29.20019547.abstrac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Charts</vt:lpstr>
      <vt:lpstr>Screenshots</vt:lpstr>
      <vt:lpstr>Death Projection</vt:lpstr>
      <vt:lpstr>Incubation</vt:lpstr>
      <vt:lpstr>Mortality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Pellessier</dc:creator>
  <cp:lastModifiedBy>Richard Pellessier</cp:lastModifiedBy>
  <dcterms:created xsi:type="dcterms:W3CDTF">2020-03-07T00:33:44Z</dcterms:created>
  <dcterms:modified xsi:type="dcterms:W3CDTF">2020-04-08T01:07:51Z</dcterms:modified>
</cp:coreProperties>
</file>