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C\Documents\GitHub\scraping-fbref\"/>
    </mc:Choice>
  </mc:AlternateContent>
  <xr:revisionPtr revIDLastSave="0" documentId="13_ncr:1_{BAC1F68E-F360-40F3-9077-C8AC6A8786B5}" xr6:coauthVersionLast="47" xr6:coauthVersionMax="47" xr10:uidLastSave="{00000000-0000-0000-0000-000000000000}"/>
  <bookViews>
    <workbookView xWindow="-120" yWindow="-120" windowWidth="29040" windowHeight="15720" activeTab="8" xr2:uid="{00000000-000D-0000-FFFF-FFFF00000000}"/>
  </bookViews>
  <sheets>
    <sheet name="Hasil Match" sheetId="1" r:id="rId1"/>
    <sheet name="Per Team" sheetId="2" r:id="rId2"/>
    <sheet name="Elbow Method" sheetId="3" r:id="rId3"/>
    <sheet name="K-Means" sheetId="5" r:id="rId4"/>
    <sheet name="Z Score" sheetId="10" r:id="rId5"/>
    <sheet name="Silhouette" sheetId="9" r:id="rId6"/>
    <sheet name="Contoh Apriori" sheetId="6" r:id="rId7"/>
    <sheet name="Apriori" sheetId="4" r:id="rId8"/>
    <sheet name="Contoh Apriori 2" sheetId="7" r:id="rId9"/>
  </sheets>
  <definedNames>
    <definedName name="_xlnm._FilterDatabase" localSheetId="0" hidden="1">'Hasil Match'!$A$1:$AE$381</definedName>
    <definedName name="_xlnm._FilterDatabase" localSheetId="1" hidden="1">'Per Team'!$A$1:$S$761</definedName>
  </definedNames>
  <calcPr calcId="191029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7" l="1"/>
  <c r="K3" i="7"/>
  <c r="K4" i="7"/>
  <c r="K5" i="7"/>
  <c r="K6" i="7"/>
  <c r="K7" i="7"/>
  <c r="K8" i="7"/>
  <c r="K9" i="7"/>
  <c r="K10" i="7"/>
  <c r="K11" i="7"/>
  <c r="K2" i="7"/>
  <c r="J2" i="7"/>
  <c r="J3" i="7"/>
  <c r="J4" i="7"/>
  <c r="J5" i="7"/>
  <c r="J6" i="7"/>
  <c r="J7" i="7"/>
  <c r="J8" i="7"/>
  <c r="J9" i="7"/>
  <c r="J10" i="7"/>
  <c r="J11" i="7"/>
  <c r="F2" i="7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N2" i="10"/>
  <c r="P23" i="10" s="1"/>
  <c r="W1" i="9"/>
  <c r="W6" i="9"/>
  <c r="W11" i="9"/>
  <c r="W10" i="9"/>
  <c r="H72" i="9"/>
  <c r="W8" i="9"/>
  <c r="W3" i="9"/>
  <c r="W5" i="9"/>
  <c r="S24" i="10"/>
  <c r="S25" i="10"/>
  <c r="S26" i="10"/>
  <c r="S27" i="10"/>
  <c r="S28" i="10"/>
  <c r="S29" i="10"/>
  <c r="S30" i="10"/>
  <c r="S31" i="10"/>
  <c r="S32" i="10"/>
  <c r="S33" i="10"/>
  <c r="S34" i="10"/>
  <c r="S35" i="10"/>
  <c r="S36" i="10"/>
  <c r="S37" i="10"/>
  <c r="S38" i="10"/>
  <c r="S39" i="10"/>
  <c r="S40" i="10"/>
  <c r="S41" i="10"/>
  <c r="S42" i="10"/>
  <c r="R24" i="10"/>
  <c r="R25" i="10"/>
  <c r="R26" i="10"/>
  <c r="R27" i="10"/>
  <c r="R28" i="10"/>
  <c r="R29" i="10"/>
  <c r="R30" i="10"/>
  <c r="R31" i="10"/>
  <c r="R32" i="10"/>
  <c r="R33" i="10"/>
  <c r="R34" i="10"/>
  <c r="R35" i="10"/>
  <c r="R36" i="10"/>
  <c r="R37" i="10"/>
  <c r="R38" i="10"/>
  <c r="R39" i="10"/>
  <c r="R40" i="10"/>
  <c r="R41" i="10"/>
  <c r="R42" i="10"/>
  <c r="Q24" i="10"/>
  <c r="Q25" i="10"/>
  <c r="Q26" i="10"/>
  <c r="Q27" i="10"/>
  <c r="Q28" i="10"/>
  <c r="Q29" i="10"/>
  <c r="Q30" i="10"/>
  <c r="Q31" i="10"/>
  <c r="Q32" i="10"/>
  <c r="Q33" i="10"/>
  <c r="Q34" i="10"/>
  <c r="Q35" i="10"/>
  <c r="Q36" i="10"/>
  <c r="Q37" i="10"/>
  <c r="Q38" i="10"/>
  <c r="Q39" i="10"/>
  <c r="Q40" i="10"/>
  <c r="Q41" i="10"/>
  <c r="Q42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Q23" i="10"/>
  <c r="O23" i="10"/>
  <c r="Q2" i="5"/>
  <c r="O24" i="10"/>
  <c r="O25" i="10"/>
  <c r="O26" i="10"/>
  <c r="O27" i="10"/>
  <c r="O28" i="10"/>
  <c r="O29" i="10"/>
  <c r="O30" i="10"/>
  <c r="O31" i="10"/>
  <c r="O32" i="10"/>
  <c r="O33" i="10"/>
  <c r="O34" i="10"/>
  <c r="O35" i="10"/>
  <c r="O36" i="10"/>
  <c r="O37" i="10"/>
  <c r="O38" i="10"/>
  <c r="O39" i="10"/>
  <c r="O40" i="10"/>
  <c r="O41" i="10"/>
  <c r="O42" i="10"/>
  <c r="N42" i="10"/>
  <c r="N39" i="10"/>
  <c r="N40" i="10"/>
  <c r="N41" i="10"/>
  <c r="N33" i="10"/>
  <c r="N34" i="10"/>
  <c r="N35" i="10"/>
  <c r="N36" i="10"/>
  <c r="N37" i="10"/>
  <c r="N38" i="10"/>
  <c r="N25" i="10"/>
  <c r="N26" i="10"/>
  <c r="N27" i="10"/>
  <c r="N28" i="10"/>
  <c r="N29" i="10"/>
  <c r="N30" i="10"/>
  <c r="N31" i="10"/>
  <c r="N32" i="10"/>
  <c r="N24" i="10"/>
  <c r="N23" i="10"/>
  <c r="S3" i="10"/>
  <c r="S4" i="10"/>
  <c r="S5" i="10"/>
  <c r="S6" i="10"/>
  <c r="S7" i="10"/>
  <c r="S8" i="10"/>
  <c r="S9" i="10"/>
  <c r="S10" i="10"/>
  <c r="S11" i="10"/>
  <c r="S12" i="10"/>
  <c r="S13" i="10"/>
  <c r="S14" i="10"/>
  <c r="S15" i="10"/>
  <c r="S16" i="10"/>
  <c r="S17" i="10"/>
  <c r="S18" i="10"/>
  <c r="S19" i="10"/>
  <c r="S20" i="10"/>
  <c r="S21" i="10"/>
  <c r="S2" i="10"/>
  <c r="R3" i="10"/>
  <c r="R4" i="10"/>
  <c r="R5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" i="10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R90" i="9"/>
  <c r="L19" i="9"/>
  <c r="K60" i="9"/>
  <c r="B84" i="9"/>
  <c r="B83" i="9"/>
  <c r="B82" i="9"/>
  <c r="I78" i="9"/>
  <c r="I79" i="9"/>
  <c r="I77" i="9"/>
  <c r="H79" i="9"/>
  <c r="G79" i="9"/>
  <c r="F79" i="9"/>
  <c r="E79" i="9"/>
  <c r="D79" i="9"/>
  <c r="C79" i="9"/>
  <c r="B79" i="9"/>
  <c r="N94" i="9"/>
  <c r="N95" i="9"/>
  <c r="N96" i="9"/>
  <c r="N97" i="9"/>
  <c r="N98" i="9"/>
  <c r="N99" i="9"/>
  <c r="N100" i="9"/>
  <c r="N101" i="9"/>
  <c r="N102" i="9"/>
  <c r="N93" i="9"/>
  <c r="N82" i="9"/>
  <c r="H78" i="9"/>
  <c r="G78" i="9"/>
  <c r="F78" i="9"/>
  <c r="E78" i="9"/>
  <c r="D78" i="9"/>
  <c r="C78" i="9"/>
  <c r="B78" i="9"/>
  <c r="H77" i="9"/>
  <c r="G77" i="9"/>
  <c r="F77" i="9"/>
  <c r="E77" i="9"/>
  <c r="D77" i="9"/>
  <c r="B77" i="9"/>
  <c r="H74" i="9"/>
  <c r="H73" i="9"/>
  <c r="G73" i="9"/>
  <c r="F74" i="9"/>
  <c r="G72" i="9"/>
  <c r="E74" i="9"/>
  <c r="F72" i="9"/>
  <c r="N83" i="9"/>
  <c r="N84" i="9"/>
  <c r="N85" i="9"/>
  <c r="N86" i="9"/>
  <c r="N87" i="9"/>
  <c r="N88" i="9"/>
  <c r="N89" i="9"/>
  <c r="N90" i="9"/>
  <c r="N91" i="9"/>
  <c r="N72" i="9"/>
  <c r="N73" i="9"/>
  <c r="N74" i="9"/>
  <c r="N75" i="9"/>
  <c r="N76" i="9"/>
  <c r="N77" i="9"/>
  <c r="N78" i="9"/>
  <c r="N79" i="9"/>
  <c r="N80" i="9"/>
  <c r="N71" i="9"/>
  <c r="K84" i="9"/>
  <c r="K81" i="9"/>
  <c r="K73" i="9"/>
  <c r="K74" i="9"/>
  <c r="K75" i="9"/>
  <c r="K76" i="9"/>
  <c r="K77" i="9"/>
  <c r="K72" i="9"/>
  <c r="K68" i="9"/>
  <c r="M64" i="9"/>
  <c r="K64" i="9"/>
  <c r="O49" i="9"/>
  <c r="O39" i="9"/>
  <c r="M60" i="9"/>
  <c r="O32" i="9"/>
  <c r="O25" i="9"/>
  <c r="O16" i="9"/>
  <c r="N49" i="9"/>
  <c r="N50" i="9"/>
  <c r="N51" i="9"/>
  <c r="N52" i="9"/>
  <c r="N53" i="9"/>
  <c r="N54" i="9"/>
  <c r="N55" i="9"/>
  <c r="N56" i="9"/>
  <c r="N48" i="9"/>
  <c r="N15" i="9"/>
  <c r="N44" i="9"/>
  <c r="N45" i="9"/>
  <c r="N46" i="9"/>
  <c r="N39" i="9"/>
  <c r="N40" i="9"/>
  <c r="N41" i="9"/>
  <c r="N42" i="9"/>
  <c r="N43" i="9"/>
  <c r="N38" i="9"/>
  <c r="N31" i="9"/>
  <c r="N36" i="9"/>
  <c r="N32" i="9"/>
  <c r="N33" i="9"/>
  <c r="N34" i="9"/>
  <c r="N35" i="9"/>
  <c r="N24" i="9"/>
  <c r="N25" i="9"/>
  <c r="N26" i="9"/>
  <c r="N27" i="9"/>
  <c r="N28" i="9"/>
  <c r="L47" i="9"/>
  <c r="L41" i="9"/>
  <c r="L35" i="9"/>
  <c r="L28" i="9"/>
  <c r="K35" i="9"/>
  <c r="K27" i="9"/>
  <c r="K33" i="9"/>
  <c r="K32" i="9"/>
  <c r="K31" i="9"/>
  <c r="K29" i="9"/>
  <c r="K25" i="9"/>
  <c r="K26" i="9"/>
  <c r="K28" i="9"/>
  <c r="K24" i="9"/>
  <c r="K17" i="9"/>
  <c r="K21" i="9"/>
  <c r="K22" i="9"/>
  <c r="K20" i="9"/>
  <c r="K18" i="9"/>
  <c r="K19" i="9"/>
  <c r="K16" i="9"/>
  <c r="K3" i="9"/>
  <c r="P12" i="9"/>
  <c r="N12" i="9"/>
  <c r="P6" i="9"/>
  <c r="P5" i="9"/>
  <c r="P3" i="9"/>
  <c r="P9" i="9"/>
  <c r="P7" i="9"/>
  <c r="P8" i="9"/>
  <c r="P4" i="9"/>
  <c r="P2" i="9"/>
  <c r="N2" i="9"/>
  <c r="N9" i="9"/>
  <c r="N7" i="9"/>
  <c r="N8" i="9"/>
  <c r="N6" i="9"/>
  <c r="N4" i="9"/>
  <c r="K4" i="9"/>
  <c r="H27" i="7"/>
  <c r="I27" i="7" s="1"/>
  <c r="I26" i="7"/>
  <c r="G26" i="7"/>
  <c r="F26" i="7"/>
  <c r="H14" i="7"/>
  <c r="H13" i="7"/>
  <c r="G13" i="7"/>
  <c r="H13" i="6"/>
  <c r="G3" i="7"/>
  <c r="G4" i="7"/>
  <c r="F27" i="7" s="1"/>
  <c r="G5" i="7"/>
  <c r="G6" i="7"/>
  <c r="G7" i="7"/>
  <c r="G8" i="7"/>
  <c r="G9" i="7"/>
  <c r="G10" i="7"/>
  <c r="G11" i="7"/>
  <c r="G2" i="7"/>
  <c r="G23" i="7" s="1"/>
  <c r="F3" i="7"/>
  <c r="F4" i="7"/>
  <c r="F5" i="7"/>
  <c r="F14" i="7" s="1"/>
  <c r="F6" i="7"/>
  <c r="F7" i="7"/>
  <c r="F8" i="7"/>
  <c r="F9" i="7"/>
  <c r="F10" i="7"/>
  <c r="F11" i="7"/>
  <c r="H2" i="6"/>
  <c r="M13" i="6"/>
  <c r="L13" i="6"/>
  <c r="K13" i="6"/>
  <c r="J13" i="6"/>
  <c r="I14" i="6"/>
  <c r="I13" i="6"/>
  <c r="H14" i="6"/>
  <c r="M3" i="6"/>
  <c r="M4" i="6"/>
  <c r="M5" i="6"/>
  <c r="M6" i="6"/>
  <c r="M7" i="6"/>
  <c r="M8" i="6"/>
  <c r="M9" i="6"/>
  <c r="M10" i="6"/>
  <c r="M11" i="6"/>
  <c r="M2" i="6"/>
  <c r="L3" i="6"/>
  <c r="L4" i="6"/>
  <c r="L5" i="6"/>
  <c r="L6" i="6"/>
  <c r="L7" i="6"/>
  <c r="L8" i="6"/>
  <c r="L9" i="6"/>
  <c r="L10" i="6"/>
  <c r="L11" i="6"/>
  <c r="L2" i="6"/>
  <c r="K3" i="6"/>
  <c r="K4" i="6"/>
  <c r="K5" i="6"/>
  <c r="K6" i="6"/>
  <c r="K7" i="6"/>
  <c r="K8" i="6"/>
  <c r="K9" i="6"/>
  <c r="K10" i="6"/>
  <c r="K11" i="6"/>
  <c r="K2" i="6"/>
  <c r="J2" i="6"/>
  <c r="J3" i="6"/>
  <c r="J4" i="6"/>
  <c r="J5" i="6"/>
  <c r="J6" i="6"/>
  <c r="J7" i="6"/>
  <c r="J8" i="6"/>
  <c r="J9" i="6"/>
  <c r="J10" i="6"/>
  <c r="J11" i="6"/>
  <c r="I3" i="6"/>
  <c r="I4" i="6"/>
  <c r="I5" i="6"/>
  <c r="I6" i="6"/>
  <c r="I7" i="6"/>
  <c r="I8" i="6"/>
  <c r="I9" i="6"/>
  <c r="I10" i="6"/>
  <c r="I11" i="6"/>
  <c r="I2" i="6"/>
  <c r="H3" i="6"/>
  <c r="H4" i="6"/>
  <c r="H5" i="6"/>
  <c r="H6" i="6"/>
  <c r="H7" i="6"/>
  <c r="H8" i="6"/>
  <c r="H9" i="6"/>
  <c r="H10" i="6"/>
  <c r="H11" i="6"/>
  <c r="Q2" i="4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" i="5"/>
  <c r="AE8" i="5" s="1"/>
  <c r="O2" i="5"/>
  <c r="AB10" i="5"/>
  <c r="Y3" i="5"/>
  <c r="Y4" i="5"/>
  <c r="Y5" i="5"/>
  <c r="Y6" i="5"/>
  <c r="Y7" i="5"/>
  <c r="Y8" i="5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" i="5"/>
  <c r="X3" i="5"/>
  <c r="X4" i="5"/>
  <c r="X5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" i="5"/>
  <c r="V3" i="5"/>
  <c r="V4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" i="5"/>
  <c r="AG2" i="5" s="1"/>
  <c r="U3" i="5"/>
  <c r="U4" i="5"/>
  <c r="U5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" i="5"/>
  <c r="AF3" i="5" s="1"/>
  <c r="S3" i="5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" i="5"/>
  <c r="AD3" i="5" s="1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" i="5"/>
  <c r="AC4" i="5" s="1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O3" i="5"/>
  <c r="O4" i="5"/>
  <c r="C28" i="5" s="1"/>
  <c r="O5" i="5"/>
  <c r="O6" i="5"/>
  <c r="C30" i="5" s="1"/>
  <c r="O7" i="5"/>
  <c r="O8" i="5"/>
  <c r="C32" i="5" s="1"/>
  <c r="O9" i="5"/>
  <c r="O10" i="5"/>
  <c r="O11" i="5"/>
  <c r="O12" i="5"/>
  <c r="O13" i="5"/>
  <c r="O14" i="5"/>
  <c r="O15" i="5"/>
  <c r="O16" i="5"/>
  <c r="O17" i="5"/>
  <c r="O18" i="5"/>
  <c r="O19" i="5"/>
  <c r="C43" i="5" s="1"/>
  <c r="O20" i="5"/>
  <c r="C44" i="5" s="1"/>
  <c r="O21" i="5"/>
  <c r="AB26" i="5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2" i="2"/>
  <c r="AC2" i="2"/>
  <c r="AB2" i="2"/>
  <c r="AC9" i="2"/>
  <c r="U3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U110" i="4"/>
  <c r="U111" i="4"/>
  <c r="U112" i="4"/>
  <c r="U113" i="4"/>
  <c r="U114" i="4"/>
  <c r="U115" i="4"/>
  <c r="U116" i="4"/>
  <c r="U117" i="4"/>
  <c r="U118" i="4"/>
  <c r="U119" i="4"/>
  <c r="U120" i="4"/>
  <c r="U121" i="4"/>
  <c r="U122" i="4"/>
  <c r="U123" i="4"/>
  <c r="U124" i="4"/>
  <c r="U125" i="4"/>
  <c r="U126" i="4"/>
  <c r="U127" i="4"/>
  <c r="U128" i="4"/>
  <c r="U129" i="4"/>
  <c r="U130" i="4"/>
  <c r="U131" i="4"/>
  <c r="U132" i="4"/>
  <c r="U133" i="4"/>
  <c r="U134" i="4"/>
  <c r="U135" i="4"/>
  <c r="U136" i="4"/>
  <c r="U137" i="4"/>
  <c r="U138" i="4"/>
  <c r="U139" i="4"/>
  <c r="U140" i="4"/>
  <c r="U141" i="4"/>
  <c r="U142" i="4"/>
  <c r="U143" i="4"/>
  <c r="U144" i="4"/>
  <c r="U145" i="4"/>
  <c r="U146" i="4"/>
  <c r="U147" i="4"/>
  <c r="U148" i="4"/>
  <c r="U149" i="4"/>
  <c r="U150" i="4"/>
  <c r="U151" i="4"/>
  <c r="U152" i="4"/>
  <c r="U153" i="4"/>
  <c r="U154" i="4"/>
  <c r="U155" i="4"/>
  <c r="U156" i="4"/>
  <c r="U157" i="4"/>
  <c r="U158" i="4"/>
  <c r="U159" i="4"/>
  <c r="U160" i="4"/>
  <c r="U161" i="4"/>
  <c r="U162" i="4"/>
  <c r="U163" i="4"/>
  <c r="U164" i="4"/>
  <c r="U165" i="4"/>
  <c r="U166" i="4"/>
  <c r="U167" i="4"/>
  <c r="U168" i="4"/>
  <c r="U169" i="4"/>
  <c r="U170" i="4"/>
  <c r="U171" i="4"/>
  <c r="U172" i="4"/>
  <c r="U173" i="4"/>
  <c r="U174" i="4"/>
  <c r="U175" i="4"/>
  <c r="U176" i="4"/>
  <c r="U177" i="4"/>
  <c r="U178" i="4"/>
  <c r="U179" i="4"/>
  <c r="U180" i="4"/>
  <c r="U181" i="4"/>
  <c r="U182" i="4"/>
  <c r="U183" i="4"/>
  <c r="U184" i="4"/>
  <c r="U185" i="4"/>
  <c r="U186" i="4"/>
  <c r="U187" i="4"/>
  <c r="U188" i="4"/>
  <c r="U189" i="4"/>
  <c r="U190" i="4"/>
  <c r="U191" i="4"/>
  <c r="U192" i="4"/>
  <c r="U193" i="4"/>
  <c r="U194" i="4"/>
  <c r="U195" i="4"/>
  <c r="U196" i="4"/>
  <c r="U197" i="4"/>
  <c r="U198" i="4"/>
  <c r="U199" i="4"/>
  <c r="U200" i="4"/>
  <c r="U201" i="4"/>
  <c r="U202" i="4"/>
  <c r="U203" i="4"/>
  <c r="U204" i="4"/>
  <c r="U205" i="4"/>
  <c r="U206" i="4"/>
  <c r="U207" i="4"/>
  <c r="U208" i="4"/>
  <c r="U209" i="4"/>
  <c r="U210" i="4"/>
  <c r="U211" i="4"/>
  <c r="U212" i="4"/>
  <c r="U213" i="4"/>
  <c r="U214" i="4"/>
  <c r="U215" i="4"/>
  <c r="U216" i="4"/>
  <c r="U217" i="4"/>
  <c r="U218" i="4"/>
  <c r="U219" i="4"/>
  <c r="U220" i="4"/>
  <c r="U221" i="4"/>
  <c r="U222" i="4"/>
  <c r="U223" i="4"/>
  <c r="U224" i="4"/>
  <c r="U225" i="4"/>
  <c r="U226" i="4"/>
  <c r="U227" i="4"/>
  <c r="U228" i="4"/>
  <c r="U229" i="4"/>
  <c r="U230" i="4"/>
  <c r="U231" i="4"/>
  <c r="U232" i="4"/>
  <c r="U233" i="4"/>
  <c r="U234" i="4"/>
  <c r="U235" i="4"/>
  <c r="U236" i="4"/>
  <c r="U237" i="4"/>
  <c r="U238" i="4"/>
  <c r="U239" i="4"/>
  <c r="U240" i="4"/>
  <c r="U241" i="4"/>
  <c r="U242" i="4"/>
  <c r="U243" i="4"/>
  <c r="U244" i="4"/>
  <c r="U245" i="4"/>
  <c r="U246" i="4"/>
  <c r="U247" i="4"/>
  <c r="U248" i="4"/>
  <c r="U249" i="4"/>
  <c r="U250" i="4"/>
  <c r="U251" i="4"/>
  <c r="U252" i="4"/>
  <c r="U253" i="4"/>
  <c r="U254" i="4"/>
  <c r="U255" i="4"/>
  <c r="U256" i="4"/>
  <c r="U257" i="4"/>
  <c r="U258" i="4"/>
  <c r="U259" i="4"/>
  <c r="U260" i="4"/>
  <c r="U261" i="4"/>
  <c r="U262" i="4"/>
  <c r="U263" i="4"/>
  <c r="U264" i="4"/>
  <c r="U265" i="4"/>
  <c r="U266" i="4"/>
  <c r="U267" i="4"/>
  <c r="U268" i="4"/>
  <c r="U269" i="4"/>
  <c r="U270" i="4"/>
  <c r="U271" i="4"/>
  <c r="U272" i="4"/>
  <c r="U273" i="4"/>
  <c r="U274" i="4"/>
  <c r="U275" i="4"/>
  <c r="U276" i="4"/>
  <c r="U277" i="4"/>
  <c r="U278" i="4"/>
  <c r="U279" i="4"/>
  <c r="U280" i="4"/>
  <c r="U281" i="4"/>
  <c r="U282" i="4"/>
  <c r="U283" i="4"/>
  <c r="U284" i="4"/>
  <c r="U285" i="4"/>
  <c r="U286" i="4"/>
  <c r="U287" i="4"/>
  <c r="U288" i="4"/>
  <c r="U289" i="4"/>
  <c r="U290" i="4"/>
  <c r="U291" i="4"/>
  <c r="U292" i="4"/>
  <c r="U293" i="4"/>
  <c r="U294" i="4"/>
  <c r="U295" i="4"/>
  <c r="U296" i="4"/>
  <c r="U297" i="4"/>
  <c r="U298" i="4"/>
  <c r="U299" i="4"/>
  <c r="U300" i="4"/>
  <c r="U301" i="4"/>
  <c r="U302" i="4"/>
  <c r="U303" i="4"/>
  <c r="U304" i="4"/>
  <c r="U305" i="4"/>
  <c r="U306" i="4"/>
  <c r="U307" i="4"/>
  <c r="U308" i="4"/>
  <c r="U309" i="4"/>
  <c r="U310" i="4"/>
  <c r="U311" i="4"/>
  <c r="U312" i="4"/>
  <c r="U313" i="4"/>
  <c r="U314" i="4"/>
  <c r="U315" i="4"/>
  <c r="U316" i="4"/>
  <c r="U317" i="4"/>
  <c r="U318" i="4"/>
  <c r="U319" i="4"/>
  <c r="U320" i="4"/>
  <c r="U321" i="4"/>
  <c r="U322" i="4"/>
  <c r="U323" i="4"/>
  <c r="U324" i="4"/>
  <c r="U325" i="4"/>
  <c r="U326" i="4"/>
  <c r="U327" i="4"/>
  <c r="U328" i="4"/>
  <c r="U329" i="4"/>
  <c r="U330" i="4"/>
  <c r="U331" i="4"/>
  <c r="U332" i="4"/>
  <c r="U333" i="4"/>
  <c r="U334" i="4"/>
  <c r="U335" i="4"/>
  <c r="U336" i="4"/>
  <c r="U337" i="4"/>
  <c r="U338" i="4"/>
  <c r="U339" i="4"/>
  <c r="U340" i="4"/>
  <c r="U341" i="4"/>
  <c r="U342" i="4"/>
  <c r="U343" i="4"/>
  <c r="U344" i="4"/>
  <c r="U345" i="4"/>
  <c r="U346" i="4"/>
  <c r="U347" i="4"/>
  <c r="U348" i="4"/>
  <c r="U349" i="4"/>
  <c r="U350" i="4"/>
  <c r="U351" i="4"/>
  <c r="U352" i="4"/>
  <c r="U353" i="4"/>
  <c r="U354" i="4"/>
  <c r="U355" i="4"/>
  <c r="U356" i="4"/>
  <c r="U357" i="4"/>
  <c r="U358" i="4"/>
  <c r="U359" i="4"/>
  <c r="U360" i="4"/>
  <c r="U361" i="4"/>
  <c r="U362" i="4"/>
  <c r="U363" i="4"/>
  <c r="U364" i="4"/>
  <c r="U365" i="4"/>
  <c r="U366" i="4"/>
  <c r="U367" i="4"/>
  <c r="U368" i="4"/>
  <c r="U369" i="4"/>
  <c r="U370" i="4"/>
  <c r="U371" i="4"/>
  <c r="U372" i="4"/>
  <c r="U373" i="4"/>
  <c r="U374" i="4"/>
  <c r="U375" i="4"/>
  <c r="U376" i="4"/>
  <c r="U377" i="4"/>
  <c r="U378" i="4"/>
  <c r="U379" i="4"/>
  <c r="U380" i="4"/>
  <c r="U381" i="4"/>
  <c r="U382" i="4"/>
  <c r="U383" i="4"/>
  <c r="U384" i="4"/>
  <c r="U385" i="4"/>
  <c r="U386" i="4"/>
  <c r="U387" i="4"/>
  <c r="U388" i="4"/>
  <c r="U389" i="4"/>
  <c r="U390" i="4"/>
  <c r="U391" i="4"/>
  <c r="U392" i="4"/>
  <c r="U393" i="4"/>
  <c r="U394" i="4"/>
  <c r="U395" i="4"/>
  <c r="U396" i="4"/>
  <c r="U397" i="4"/>
  <c r="U398" i="4"/>
  <c r="U399" i="4"/>
  <c r="U400" i="4"/>
  <c r="U401" i="4"/>
  <c r="U402" i="4"/>
  <c r="U403" i="4"/>
  <c r="U404" i="4"/>
  <c r="U405" i="4"/>
  <c r="U406" i="4"/>
  <c r="U407" i="4"/>
  <c r="U408" i="4"/>
  <c r="U409" i="4"/>
  <c r="U410" i="4"/>
  <c r="U411" i="4"/>
  <c r="U412" i="4"/>
  <c r="U413" i="4"/>
  <c r="U414" i="4"/>
  <c r="U415" i="4"/>
  <c r="U416" i="4"/>
  <c r="U417" i="4"/>
  <c r="U418" i="4"/>
  <c r="U419" i="4"/>
  <c r="U420" i="4"/>
  <c r="U421" i="4"/>
  <c r="U422" i="4"/>
  <c r="U423" i="4"/>
  <c r="U424" i="4"/>
  <c r="U425" i="4"/>
  <c r="U426" i="4"/>
  <c r="U427" i="4"/>
  <c r="U428" i="4"/>
  <c r="U429" i="4"/>
  <c r="U430" i="4"/>
  <c r="U431" i="4"/>
  <c r="U432" i="4"/>
  <c r="U433" i="4"/>
  <c r="U434" i="4"/>
  <c r="U435" i="4"/>
  <c r="U436" i="4"/>
  <c r="U437" i="4"/>
  <c r="U438" i="4"/>
  <c r="U439" i="4"/>
  <c r="U440" i="4"/>
  <c r="U441" i="4"/>
  <c r="U442" i="4"/>
  <c r="U443" i="4"/>
  <c r="U444" i="4"/>
  <c r="U445" i="4"/>
  <c r="U446" i="4"/>
  <c r="U447" i="4"/>
  <c r="U448" i="4"/>
  <c r="U449" i="4"/>
  <c r="U450" i="4"/>
  <c r="U451" i="4"/>
  <c r="U452" i="4"/>
  <c r="U453" i="4"/>
  <c r="U454" i="4"/>
  <c r="U455" i="4"/>
  <c r="U456" i="4"/>
  <c r="U457" i="4"/>
  <c r="U458" i="4"/>
  <c r="U459" i="4"/>
  <c r="U460" i="4"/>
  <c r="U461" i="4"/>
  <c r="U462" i="4"/>
  <c r="U463" i="4"/>
  <c r="U464" i="4"/>
  <c r="U465" i="4"/>
  <c r="U466" i="4"/>
  <c r="U467" i="4"/>
  <c r="U468" i="4"/>
  <c r="U469" i="4"/>
  <c r="U470" i="4"/>
  <c r="U471" i="4"/>
  <c r="U472" i="4"/>
  <c r="U473" i="4"/>
  <c r="U474" i="4"/>
  <c r="U475" i="4"/>
  <c r="U476" i="4"/>
  <c r="U477" i="4"/>
  <c r="U478" i="4"/>
  <c r="U479" i="4"/>
  <c r="U480" i="4"/>
  <c r="U481" i="4"/>
  <c r="U482" i="4"/>
  <c r="U483" i="4"/>
  <c r="U484" i="4"/>
  <c r="U485" i="4"/>
  <c r="U486" i="4"/>
  <c r="U487" i="4"/>
  <c r="U488" i="4"/>
  <c r="U489" i="4"/>
  <c r="U490" i="4"/>
  <c r="U491" i="4"/>
  <c r="U492" i="4"/>
  <c r="U493" i="4"/>
  <c r="U494" i="4"/>
  <c r="U495" i="4"/>
  <c r="U496" i="4"/>
  <c r="U497" i="4"/>
  <c r="U498" i="4"/>
  <c r="U499" i="4"/>
  <c r="U500" i="4"/>
  <c r="U501" i="4"/>
  <c r="U502" i="4"/>
  <c r="U503" i="4"/>
  <c r="U504" i="4"/>
  <c r="U505" i="4"/>
  <c r="U506" i="4"/>
  <c r="U507" i="4"/>
  <c r="U508" i="4"/>
  <c r="U509" i="4"/>
  <c r="U510" i="4"/>
  <c r="U511" i="4"/>
  <c r="U512" i="4"/>
  <c r="U513" i="4"/>
  <c r="U514" i="4"/>
  <c r="U515" i="4"/>
  <c r="U516" i="4"/>
  <c r="U517" i="4"/>
  <c r="U518" i="4"/>
  <c r="U519" i="4"/>
  <c r="U520" i="4"/>
  <c r="U521" i="4"/>
  <c r="U522" i="4"/>
  <c r="U523" i="4"/>
  <c r="U524" i="4"/>
  <c r="U525" i="4"/>
  <c r="U526" i="4"/>
  <c r="U527" i="4"/>
  <c r="U528" i="4"/>
  <c r="U529" i="4"/>
  <c r="U530" i="4"/>
  <c r="U531" i="4"/>
  <c r="U532" i="4"/>
  <c r="U533" i="4"/>
  <c r="U534" i="4"/>
  <c r="U535" i="4"/>
  <c r="U536" i="4"/>
  <c r="U537" i="4"/>
  <c r="U538" i="4"/>
  <c r="U539" i="4"/>
  <c r="U540" i="4"/>
  <c r="U541" i="4"/>
  <c r="U542" i="4"/>
  <c r="U543" i="4"/>
  <c r="U544" i="4"/>
  <c r="U545" i="4"/>
  <c r="U546" i="4"/>
  <c r="U547" i="4"/>
  <c r="U548" i="4"/>
  <c r="U549" i="4"/>
  <c r="U550" i="4"/>
  <c r="U551" i="4"/>
  <c r="U552" i="4"/>
  <c r="U553" i="4"/>
  <c r="U554" i="4"/>
  <c r="U555" i="4"/>
  <c r="U556" i="4"/>
  <c r="U557" i="4"/>
  <c r="U558" i="4"/>
  <c r="U559" i="4"/>
  <c r="U560" i="4"/>
  <c r="U561" i="4"/>
  <c r="U562" i="4"/>
  <c r="U563" i="4"/>
  <c r="U564" i="4"/>
  <c r="U565" i="4"/>
  <c r="U566" i="4"/>
  <c r="U567" i="4"/>
  <c r="U568" i="4"/>
  <c r="U569" i="4"/>
  <c r="U570" i="4"/>
  <c r="U571" i="4"/>
  <c r="U572" i="4"/>
  <c r="U573" i="4"/>
  <c r="U574" i="4"/>
  <c r="U575" i="4"/>
  <c r="U576" i="4"/>
  <c r="U577" i="4"/>
  <c r="U578" i="4"/>
  <c r="U579" i="4"/>
  <c r="U580" i="4"/>
  <c r="U581" i="4"/>
  <c r="U582" i="4"/>
  <c r="U583" i="4"/>
  <c r="U584" i="4"/>
  <c r="U585" i="4"/>
  <c r="U586" i="4"/>
  <c r="U587" i="4"/>
  <c r="U588" i="4"/>
  <c r="U589" i="4"/>
  <c r="U590" i="4"/>
  <c r="U591" i="4"/>
  <c r="U592" i="4"/>
  <c r="U593" i="4"/>
  <c r="U594" i="4"/>
  <c r="U595" i="4"/>
  <c r="U596" i="4"/>
  <c r="U597" i="4"/>
  <c r="U598" i="4"/>
  <c r="U599" i="4"/>
  <c r="U600" i="4"/>
  <c r="U601" i="4"/>
  <c r="U602" i="4"/>
  <c r="U603" i="4"/>
  <c r="U604" i="4"/>
  <c r="U605" i="4"/>
  <c r="U606" i="4"/>
  <c r="U607" i="4"/>
  <c r="U608" i="4"/>
  <c r="U609" i="4"/>
  <c r="U610" i="4"/>
  <c r="U611" i="4"/>
  <c r="U612" i="4"/>
  <c r="U613" i="4"/>
  <c r="U614" i="4"/>
  <c r="U615" i="4"/>
  <c r="U616" i="4"/>
  <c r="U617" i="4"/>
  <c r="U618" i="4"/>
  <c r="U619" i="4"/>
  <c r="U620" i="4"/>
  <c r="U621" i="4"/>
  <c r="U622" i="4"/>
  <c r="U623" i="4"/>
  <c r="U624" i="4"/>
  <c r="U625" i="4"/>
  <c r="U626" i="4"/>
  <c r="U627" i="4"/>
  <c r="U628" i="4"/>
  <c r="U629" i="4"/>
  <c r="U630" i="4"/>
  <c r="U631" i="4"/>
  <c r="U632" i="4"/>
  <c r="U633" i="4"/>
  <c r="U634" i="4"/>
  <c r="U635" i="4"/>
  <c r="U636" i="4"/>
  <c r="U637" i="4"/>
  <c r="U638" i="4"/>
  <c r="U639" i="4"/>
  <c r="U640" i="4"/>
  <c r="U641" i="4"/>
  <c r="U642" i="4"/>
  <c r="U643" i="4"/>
  <c r="U644" i="4"/>
  <c r="U645" i="4"/>
  <c r="U646" i="4"/>
  <c r="U647" i="4"/>
  <c r="U648" i="4"/>
  <c r="U649" i="4"/>
  <c r="U650" i="4"/>
  <c r="U651" i="4"/>
  <c r="U652" i="4"/>
  <c r="U653" i="4"/>
  <c r="U654" i="4"/>
  <c r="U655" i="4"/>
  <c r="U656" i="4"/>
  <c r="U657" i="4"/>
  <c r="U658" i="4"/>
  <c r="U659" i="4"/>
  <c r="U660" i="4"/>
  <c r="U661" i="4"/>
  <c r="U662" i="4"/>
  <c r="U663" i="4"/>
  <c r="U664" i="4"/>
  <c r="U665" i="4"/>
  <c r="U666" i="4"/>
  <c r="U667" i="4"/>
  <c r="U668" i="4"/>
  <c r="U669" i="4"/>
  <c r="U670" i="4"/>
  <c r="U671" i="4"/>
  <c r="U672" i="4"/>
  <c r="U673" i="4"/>
  <c r="U674" i="4"/>
  <c r="U675" i="4"/>
  <c r="U676" i="4"/>
  <c r="U677" i="4"/>
  <c r="U678" i="4"/>
  <c r="U679" i="4"/>
  <c r="U680" i="4"/>
  <c r="U681" i="4"/>
  <c r="U682" i="4"/>
  <c r="U683" i="4"/>
  <c r="U684" i="4"/>
  <c r="U685" i="4"/>
  <c r="U686" i="4"/>
  <c r="U687" i="4"/>
  <c r="U688" i="4"/>
  <c r="U689" i="4"/>
  <c r="U690" i="4"/>
  <c r="U691" i="4"/>
  <c r="U692" i="4"/>
  <c r="U693" i="4"/>
  <c r="U694" i="4"/>
  <c r="U695" i="4"/>
  <c r="U696" i="4"/>
  <c r="U697" i="4"/>
  <c r="U698" i="4"/>
  <c r="U699" i="4"/>
  <c r="U700" i="4"/>
  <c r="U701" i="4"/>
  <c r="U702" i="4"/>
  <c r="U703" i="4"/>
  <c r="U704" i="4"/>
  <c r="U705" i="4"/>
  <c r="U706" i="4"/>
  <c r="U707" i="4"/>
  <c r="U708" i="4"/>
  <c r="U709" i="4"/>
  <c r="U710" i="4"/>
  <c r="U711" i="4"/>
  <c r="U712" i="4"/>
  <c r="U713" i="4"/>
  <c r="U714" i="4"/>
  <c r="U715" i="4"/>
  <c r="U716" i="4"/>
  <c r="U717" i="4"/>
  <c r="U718" i="4"/>
  <c r="U719" i="4"/>
  <c r="U720" i="4"/>
  <c r="U721" i="4"/>
  <c r="U722" i="4"/>
  <c r="U723" i="4"/>
  <c r="U724" i="4"/>
  <c r="U725" i="4"/>
  <c r="U726" i="4"/>
  <c r="U727" i="4"/>
  <c r="U728" i="4"/>
  <c r="U729" i="4"/>
  <c r="U730" i="4"/>
  <c r="U731" i="4"/>
  <c r="U732" i="4"/>
  <c r="U733" i="4"/>
  <c r="U734" i="4"/>
  <c r="U735" i="4"/>
  <c r="U736" i="4"/>
  <c r="U737" i="4"/>
  <c r="U738" i="4"/>
  <c r="U739" i="4"/>
  <c r="U740" i="4"/>
  <c r="U741" i="4"/>
  <c r="U742" i="4"/>
  <c r="U743" i="4"/>
  <c r="U744" i="4"/>
  <c r="U745" i="4"/>
  <c r="U746" i="4"/>
  <c r="U747" i="4"/>
  <c r="U748" i="4"/>
  <c r="U749" i="4"/>
  <c r="U750" i="4"/>
  <c r="U751" i="4"/>
  <c r="U752" i="4"/>
  <c r="U753" i="4"/>
  <c r="U754" i="4"/>
  <c r="U755" i="4"/>
  <c r="U756" i="4"/>
  <c r="U757" i="4"/>
  <c r="U758" i="4"/>
  <c r="U759" i="4"/>
  <c r="U760" i="4"/>
  <c r="U761" i="4"/>
  <c r="P2" i="4"/>
  <c r="P1" i="4"/>
  <c r="U2" i="4"/>
  <c r="Q110" i="5"/>
  <c r="R110" i="5"/>
  <c r="S110" i="5"/>
  <c r="T110" i="5"/>
  <c r="U110" i="5"/>
  <c r="V110" i="5"/>
  <c r="W110" i="5"/>
  <c r="X110" i="5"/>
  <c r="Y110" i="5"/>
  <c r="P110" i="5"/>
  <c r="Q101" i="5"/>
  <c r="R101" i="5"/>
  <c r="S101" i="5"/>
  <c r="T101" i="5"/>
  <c r="U101" i="5"/>
  <c r="V101" i="5"/>
  <c r="W101" i="5"/>
  <c r="X101" i="5"/>
  <c r="Y101" i="5"/>
  <c r="P101" i="5"/>
  <c r="Q97" i="5"/>
  <c r="R97" i="5"/>
  <c r="S97" i="5"/>
  <c r="T97" i="5"/>
  <c r="U97" i="5"/>
  <c r="V97" i="5"/>
  <c r="W97" i="5"/>
  <c r="X97" i="5"/>
  <c r="Y97" i="5"/>
  <c r="P97" i="5"/>
  <c r="Q87" i="5"/>
  <c r="R87" i="5"/>
  <c r="S87" i="5"/>
  <c r="T87" i="5"/>
  <c r="U87" i="5"/>
  <c r="V87" i="5"/>
  <c r="W87" i="5"/>
  <c r="X87" i="5"/>
  <c r="Y87" i="5"/>
  <c r="P87" i="5"/>
  <c r="P68" i="5"/>
  <c r="Q68" i="5"/>
  <c r="Q81" i="5"/>
  <c r="R81" i="5"/>
  <c r="S81" i="5"/>
  <c r="T81" i="5"/>
  <c r="U81" i="5"/>
  <c r="V81" i="5"/>
  <c r="W81" i="5"/>
  <c r="X81" i="5"/>
  <c r="Y81" i="5"/>
  <c r="P81" i="5"/>
  <c r="Q72" i="5"/>
  <c r="R72" i="5"/>
  <c r="S72" i="5"/>
  <c r="T72" i="5"/>
  <c r="U72" i="5"/>
  <c r="V72" i="5"/>
  <c r="W72" i="5"/>
  <c r="X72" i="5"/>
  <c r="Y72" i="5"/>
  <c r="P72" i="5"/>
  <c r="R68" i="5"/>
  <c r="S68" i="5"/>
  <c r="T68" i="5"/>
  <c r="U68" i="5"/>
  <c r="V68" i="5"/>
  <c r="W68" i="5"/>
  <c r="X68" i="5"/>
  <c r="Y68" i="5"/>
  <c r="Q58" i="5"/>
  <c r="R58" i="5"/>
  <c r="S58" i="5"/>
  <c r="T58" i="5"/>
  <c r="U58" i="5"/>
  <c r="V58" i="5"/>
  <c r="W58" i="5"/>
  <c r="X58" i="5"/>
  <c r="Y58" i="5"/>
  <c r="P58" i="5"/>
  <c r="Q52" i="5"/>
  <c r="R52" i="5"/>
  <c r="S52" i="5"/>
  <c r="T52" i="5"/>
  <c r="U52" i="5"/>
  <c r="V52" i="5"/>
  <c r="W52" i="5"/>
  <c r="X52" i="5"/>
  <c r="Y52" i="5"/>
  <c r="P52" i="5"/>
  <c r="Q45" i="5"/>
  <c r="R45" i="5"/>
  <c r="S45" i="5"/>
  <c r="T45" i="5"/>
  <c r="U45" i="5"/>
  <c r="V45" i="5"/>
  <c r="W45" i="5"/>
  <c r="X45" i="5"/>
  <c r="Y45" i="5"/>
  <c r="P45" i="5"/>
  <c r="Q41" i="5"/>
  <c r="R41" i="5"/>
  <c r="S41" i="5"/>
  <c r="T41" i="5"/>
  <c r="U41" i="5"/>
  <c r="V41" i="5"/>
  <c r="W41" i="5"/>
  <c r="X41" i="5"/>
  <c r="Y41" i="5"/>
  <c r="P41" i="5"/>
  <c r="Q29" i="5"/>
  <c r="R29" i="5"/>
  <c r="S29" i="5"/>
  <c r="T29" i="5"/>
  <c r="U29" i="5"/>
  <c r="V29" i="5"/>
  <c r="W29" i="5"/>
  <c r="X29" i="5"/>
  <c r="Y29" i="5"/>
  <c r="P29" i="5"/>
  <c r="E25" i="5"/>
  <c r="B25" i="5"/>
  <c r="AK45" i="5"/>
  <c r="AJ45" i="5"/>
  <c r="AI45" i="5"/>
  <c r="AH45" i="5"/>
  <c r="AG45" i="5"/>
  <c r="AF45" i="5"/>
  <c r="AE45" i="5"/>
  <c r="AD45" i="5"/>
  <c r="AC45" i="5"/>
  <c r="AB45" i="5"/>
  <c r="AK44" i="5"/>
  <c r="AJ44" i="5"/>
  <c r="AI44" i="5"/>
  <c r="AH44" i="5"/>
  <c r="AG44" i="5"/>
  <c r="AF44" i="5"/>
  <c r="AE44" i="5"/>
  <c r="AD44" i="5"/>
  <c r="AC44" i="5"/>
  <c r="AB44" i="5"/>
  <c r="AK43" i="5"/>
  <c r="AJ43" i="5"/>
  <c r="AI43" i="5"/>
  <c r="AH43" i="5"/>
  <c r="AG43" i="5"/>
  <c r="AF43" i="5"/>
  <c r="AE43" i="5"/>
  <c r="AD43" i="5"/>
  <c r="AC43" i="5"/>
  <c r="AB43" i="5"/>
  <c r="AK42" i="5"/>
  <c r="AJ42" i="5"/>
  <c r="AI42" i="5"/>
  <c r="AH42" i="5"/>
  <c r="AG42" i="5"/>
  <c r="AF42" i="5"/>
  <c r="AE42" i="5"/>
  <c r="AD42" i="5"/>
  <c r="AC42" i="5"/>
  <c r="AB42" i="5"/>
  <c r="AK41" i="5"/>
  <c r="AJ41" i="5"/>
  <c r="AI41" i="5"/>
  <c r="AH41" i="5"/>
  <c r="AG41" i="5"/>
  <c r="AF41" i="5"/>
  <c r="AE41" i="5"/>
  <c r="AD41" i="5"/>
  <c r="AC41" i="5"/>
  <c r="AB41" i="5"/>
  <c r="AK40" i="5"/>
  <c r="AJ40" i="5"/>
  <c r="AI40" i="5"/>
  <c r="AH40" i="5"/>
  <c r="AG40" i="5"/>
  <c r="AF40" i="5"/>
  <c r="AE40" i="5"/>
  <c r="AD40" i="5"/>
  <c r="AC40" i="5"/>
  <c r="AB40" i="5"/>
  <c r="AK39" i="5"/>
  <c r="AJ39" i="5"/>
  <c r="AI39" i="5"/>
  <c r="AH39" i="5"/>
  <c r="AG39" i="5"/>
  <c r="AF39" i="5"/>
  <c r="AE39" i="5"/>
  <c r="AD39" i="5"/>
  <c r="AC39" i="5"/>
  <c r="AB39" i="5"/>
  <c r="AK38" i="5"/>
  <c r="AJ38" i="5"/>
  <c r="AI38" i="5"/>
  <c r="AH38" i="5"/>
  <c r="AG38" i="5"/>
  <c r="AF38" i="5"/>
  <c r="AE38" i="5"/>
  <c r="AD38" i="5"/>
  <c r="AC38" i="5"/>
  <c r="AB38" i="5"/>
  <c r="AK37" i="5"/>
  <c r="AJ37" i="5"/>
  <c r="AI37" i="5"/>
  <c r="AH37" i="5"/>
  <c r="AG37" i="5"/>
  <c r="AF37" i="5"/>
  <c r="AE37" i="5"/>
  <c r="AD37" i="5"/>
  <c r="AC37" i="5"/>
  <c r="AB37" i="5"/>
  <c r="AK36" i="5"/>
  <c r="AJ36" i="5"/>
  <c r="AI36" i="5"/>
  <c r="AH36" i="5"/>
  <c r="AG36" i="5"/>
  <c r="AF36" i="5"/>
  <c r="AE36" i="5"/>
  <c r="AD36" i="5"/>
  <c r="AC36" i="5"/>
  <c r="AB36" i="5"/>
  <c r="AK35" i="5"/>
  <c r="AJ35" i="5"/>
  <c r="AI35" i="5"/>
  <c r="AH35" i="5"/>
  <c r="AG35" i="5"/>
  <c r="AF35" i="5"/>
  <c r="AE35" i="5"/>
  <c r="AD35" i="5"/>
  <c r="AC35" i="5"/>
  <c r="AB35" i="5"/>
  <c r="AK34" i="5"/>
  <c r="AJ34" i="5"/>
  <c r="AI34" i="5"/>
  <c r="AH34" i="5"/>
  <c r="AG34" i="5"/>
  <c r="AF34" i="5"/>
  <c r="AE34" i="5"/>
  <c r="AD34" i="5"/>
  <c r="AC34" i="5"/>
  <c r="AB34" i="5"/>
  <c r="AK33" i="5"/>
  <c r="AJ33" i="5"/>
  <c r="AI33" i="5"/>
  <c r="AH33" i="5"/>
  <c r="AG33" i="5"/>
  <c r="AF33" i="5"/>
  <c r="AE33" i="5"/>
  <c r="AD33" i="5"/>
  <c r="AC33" i="5"/>
  <c r="AB33" i="5"/>
  <c r="AK32" i="5"/>
  <c r="AJ32" i="5"/>
  <c r="AI32" i="5"/>
  <c r="AH32" i="5"/>
  <c r="AG32" i="5"/>
  <c r="AF32" i="5"/>
  <c r="AE32" i="5"/>
  <c r="AD32" i="5"/>
  <c r="AC32" i="5"/>
  <c r="AB32" i="5"/>
  <c r="AK31" i="5"/>
  <c r="AJ31" i="5"/>
  <c r="AI31" i="5"/>
  <c r="AH31" i="5"/>
  <c r="AG31" i="5"/>
  <c r="AF31" i="5"/>
  <c r="AE31" i="5"/>
  <c r="AD31" i="5"/>
  <c r="AC31" i="5"/>
  <c r="AB31" i="5"/>
  <c r="AK30" i="5"/>
  <c r="AJ30" i="5"/>
  <c r="AI30" i="5"/>
  <c r="AH30" i="5"/>
  <c r="AG30" i="5"/>
  <c r="AF30" i="5"/>
  <c r="AE30" i="5"/>
  <c r="AD30" i="5"/>
  <c r="AC30" i="5"/>
  <c r="AB30" i="5"/>
  <c r="AK29" i="5"/>
  <c r="AJ29" i="5"/>
  <c r="AI29" i="5"/>
  <c r="AH29" i="5"/>
  <c r="AG29" i="5"/>
  <c r="AF29" i="5"/>
  <c r="AE29" i="5"/>
  <c r="AD29" i="5"/>
  <c r="AC29" i="5"/>
  <c r="AB29" i="5"/>
  <c r="AK28" i="5"/>
  <c r="AJ28" i="5"/>
  <c r="AI28" i="5"/>
  <c r="AH28" i="5"/>
  <c r="AG28" i="5"/>
  <c r="AF28" i="5"/>
  <c r="AE28" i="5"/>
  <c r="AD28" i="5"/>
  <c r="AC28" i="5"/>
  <c r="AB28" i="5"/>
  <c r="AK27" i="5"/>
  <c r="AJ27" i="5"/>
  <c r="AI27" i="5"/>
  <c r="AH27" i="5"/>
  <c r="AG27" i="5"/>
  <c r="AF27" i="5"/>
  <c r="AE27" i="5"/>
  <c r="AD27" i="5"/>
  <c r="AC27" i="5"/>
  <c r="AB27" i="5"/>
  <c r="AK26" i="5"/>
  <c r="AJ26" i="5"/>
  <c r="AI26" i="5"/>
  <c r="AH26" i="5"/>
  <c r="AG26" i="5"/>
  <c r="AF26" i="5"/>
  <c r="AE26" i="5"/>
  <c r="AD26" i="5"/>
  <c r="AC26" i="5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103" i="2"/>
  <c r="AB104" i="2"/>
  <c r="AB105" i="2"/>
  <c r="AB106" i="2"/>
  <c r="AB107" i="2"/>
  <c r="AB108" i="2"/>
  <c r="AB109" i="2"/>
  <c r="AB110" i="2"/>
  <c r="AB111" i="2"/>
  <c r="AB112" i="2"/>
  <c r="AB113" i="2"/>
  <c r="AB114" i="2"/>
  <c r="AB115" i="2"/>
  <c r="AB116" i="2"/>
  <c r="AB117" i="2"/>
  <c r="AB118" i="2"/>
  <c r="AB119" i="2"/>
  <c r="AB120" i="2"/>
  <c r="AB121" i="2"/>
  <c r="AB122" i="2"/>
  <c r="AB123" i="2"/>
  <c r="AB124" i="2"/>
  <c r="AB125" i="2"/>
  <c r="AB126" i="2"/>
  <c r="AB127" i="2"/>
  <c r="AB128" i="2"/>
  <c r="AB129" i="2"/>
  <c r="AB130" i="2"/>
  <c r="AB131" i="2"/>
  <c r="AB132" i="2"/>
  <c r="AB133" i="2"/>
  <c r="AB134" i="2"/>
  <c r="AB135" i="2"/>
  <c r="AB136" i="2"/>
  <c r="AB137" i="2"/>
  <c r="AB138" i="2"/>
  <c r="AB139" i="2"/>
  <c r="AB140" i="2"/>
  <c r="AB141" i="2"/>
  <c r="AB142" i="2"/>
  <c r="AB143" i="2"/>
  <c r="AB144" i="2"/>
  <c r="AB145" i="2"/>
  <c r="AB146" i="2"/>
  <c r="AB147" i="2"/>
  <c r="AB148" i="2"/>
  <c r="AB149" i="2"/>
  <c r="AB150" i="2"/>
  <c r="AB151" i="2"/>
  <c r="AB152" i="2"/>
  <c r="AB153" i="2"/>
  <c r="AB154" i="2"/>
  <c r="AB155" i="2"/>
  <c r="AB156" i="2"/>
  <c r="AB157" i="2"/>
  <c r="AB158" i="2"/>
  <c r="AB159" i="2"/>
  <c r="AB160" i="2"/>
  <c r="AB161" i="2"/>
  <c r="AB162" i="2"/>
  <c r="AB163" i="2"/>
  <c r="AB164" i="2"/>
  <c r="AB165" i="2"/>
  <c r="AB166" i="2"/>
  <c r="AB167" i="2"/>
  <c r="AB168" i="2"/>
  <c r="AB169" i="2"/>
  <c r="AB170" i="2"/>
  <c r="AB171" i="2"/>
  <c r="AB172" i="2"/>
  <c r="AB173" i="2"/>
  <c r="AB174" i="2"/>
  <c r="AB175" i="2"/>
  <c r="AB176" i="2"/>
  <c r="AB177" i="2"/>
  <c r="AB178" i="2"/>
  <c r="AB179" i="2"/>
  <c r="AB180" i="2"/>
  <c r="AB181" i="2"/>
  <c r="AB182" i="2"/>
  <c r="AB183" i="2"/>
  <c r="AB184" i="2"/>
  <c r="AB185" i="2"/>
  <c r="AB186" i="2"/>
  <c r="AB187" i="2"/>
  <c r="AB188" i="2"/>
  <c r="AB189" i="2"/>
  <c r="AB190" i="2"/>
  <c r="AB191" i="2"/>
  <c r="AB192" i="2"/>
  <c r="AB193" i="2"/>
  <c r="AB194" i="2"/>
  <c r="AB195" i="2"/>
  <c r="AB196" i="2"/>
  <c r="AB197" i="2"/>
  <c r="AB198" i="2"/>
  <c r="AB199" i="2"/>
  <c r="AB200" i="2"/>
  <c r="AB201" i="2"/>
  <c r="AB202" i="2"/>
  <c r="AB203" i="2"/>
  <c r="AB204" i="2"/>
  <c r="AB205" i="2"/>
  <c r="AB206" i="2"/>
  <c r="AB207" i="2"/>
  <c r="AB208" i="2"/>
  <c r="AB209" i="2"/>
  <c r="AB210" i="2"/>
  <c r="AB211" i="2"/>
  <c r="AB212" i="2"/>
  <c r="AB213" i="2"/>
  <c r="AB214" i="2"/>
  <c r="AB215" i="2"/>
  <c r="AB216" i="2"/>
  <c r="AB217" i="2"/>
  <c r="AB218" i="2"/>
  <c r="AB219" i="2"/>
  <c r="AB220" i="2"/>
  <c r="AB221" i="2"/>
  <c r="AB222" i="2"/>
  <c r="AB223" i="2"/>
  <c r="AB224" i="2"/>
  <c r="AB225" i="2"/>
  <c r="AB226" i="2"/>
  <c r="AB227" i="2"/>
  <c r="AB228" i="2"/>
  <c r="AB229" i="2"/>
  <c r="AB230" i="2"/>
  <c r="AB231" i="2"/>
  <c r="AB232" i="2"/>
  <c r="AB233" i="2"/>
  <c r="AB234" i="2"/>
  <c r="AB235" i="2"/>
  <c r="AB236" i="2"/>
  <c r="AB237" i="2"/>
  <c r="AB238" i="2"/>
  <c r="AB239" i="2"/>
  <c r="AB240" i="2"/>
  <c r="AB241" i="2"/>
  <c r="AB242" i="2"/>
  <c r="AB243" i="2"/>
  <c r="AB244" i="2"/>
  <c r="AB245" i="2"/>
  <c r="AB246" i="2"/>
  <c r="AB247" i="2"/>
  <c r="AB248" i="2"/>
  <c r="AB249" i="2"/>
  <c r="AB250" i="2"/>
  <c r="AB251" i="2"/>
  <c r="AB252" i="2"/>
  <c r="AB253" i="2"/>
  <c r="AB254" i="2"/>
  <c r="AB255" i="2"/>
  <c r="AB256" i="2"/>
  <c r="AB257" i="2"/>
  <c r="AB258" i="2"/>
  <c r="AB259" i="2"/>
  <c r="AB260" i="2"/>
  <c r="AB261" i="2"/>
  <c r="AB262" i="2"/>
  <c r="AB263" i="2"/>
  <c r="AB264" i="2"/>
  <c r="AB265" i="2"/>
  <c r="AB266" i="2"/>
  <c r="AB267" i="2"/>
  <c r="AB268" i="2"/>
  <c r="AB269" i="2"/>
  <c r="AB270" i="2"/>
  <c r="AB271" i="2"/>
  <c r="AB272" i="2"/>
  <c r="AB273" i="2"/>
  <c r="AB274" i="2"/>
  <c r="AB275" i="2"/>
  <c r="AB276" i="2"/>
  <c r="AB277" i="2"/>
  <c r="AB278" i="2"/>
  <c r="AB279" i="2"/>
  <c r="AB280" i="2"/>
  <c r="AB281" i="2"/>
  <c r="AB282" i="2"/>
  <c r="AB283" i="2"/>
  <c r="AB284" i="2"/>
  <c r="AB285" i="2"/>
  <c r="AB286" i="2"/>
  <c r="AB287" i="2"/>
  <c r="AB288" i="2"/>
  <c r="AB289" i="2"/>
  <c r="AB290" i="2"/>
  <c r="AB291" i="2"/>
  <c r="AB292" i="2"/>
  <c r="AB293" i="2"/>
  <c r="AB294" i="2"/>
  <c r="AB295" i="2"/>
  <c r="AB296" i="2"/>
  <c r="AB297" i="2"/>
  <c r="AB298" i="2"/>
  <c r="AB299" i="2"/>
  <c r="AB300" i="2"/>
  <c r="AB301" i="2"/>
  <c r="AB302" i="2"/>
  <c r="AB303" i="2"/>
  <c r="AB304" i="2"/>
  <c r="AB305" i="2"/>
  <c r="AB306" i="2"/>
  <c r="AB307" i="2"/>
  <c r="AB308" i="2"/>
  <c r="AB309" i="2"/>
  <c r="AB310" i="2"/>
  <c r="AB311" i="2"/>
  <c r="AB312" i="2"/>
  <c r="AB313" i="2"/>
  <c r="AB314" i="2"/>
  <c r="AB315" i="2"/>
  <c r="AB316" i="2"/>
  <c r="AB317" i="2"/>
  <c r="AB318" i="2"/>
  <c r="AB319" i="2"/>
  <c r="AB320" i="2"/>
  <c r="AB321" i="2"/>
  <c r="AB322" i="2"/>
  <c r="AB323" i="2"/>
  <c r="AB324" i="2"/>
  <c r="AB325" i="2"/>
  <c r="AB326" i="2"/>
  <c r="AB327" i="2"/>
  <c r="AB328" i="2"/>
  <c r="AB329" i="2"/>
  <c r="AB330" i="2"/>
  <c r="AB331" i="2"/>
  <c r="AB332" i="2"/>
  <c r="AB333" i="2"/>
  <c r="AB334" i="2"/>
  <c r="AB335" i="2"/>
  <c r="AB336" i="2"/>
  <c r="AB337" i="2"/>
  <c r="AB338" i="2"/>
  <c r="AB339" i="2"/>
  <c r="AB340" i="2"/>
  <c r="AB341" i="2"/>
  <c r="AB342" i="2"/>
  <c r="AB343" i="2"/>
  <c r="AB344" i="2"/>
  <c r="AB345" i="2"/>
  <c r="AB346" i="2"/>
  <c r="AB347" i="2"/>
  <c r="AB348" i="2"/>
  <c r="AB349" i="2"/>
  <c r="AB350" i="2"/>
  <c r="AB351" i="2"/>
  <c r="AB352" i="2"/>
  <c r="AB353" i="2"/>
  <c r="AB354" i="2"/>
  <c r="AB355" i="2"/>
  <c r="AB356" i="2"/>
  <c r="AB357" i="2"/>
  <c r="AB358" i="2"/>
  <c r="AB359" i="2"/>
  <c r="AB360" i="2"/>
  <c r="AB361" i="2"/>
  <c r="AB362" i="2"/>
  <c r="AB363" i="2"/>
  <c r="AB364" i="2"/>
  <c r="AB365" i="2"/>
  <c r="AB366" i="2"/>
  <c r="AB367" i="2"/>
  <c r="AB368" i="2"/>
  <c r="AB369" i="2"/>
  <c r="AB370" i="2"/>
  <c r="AB371" i="2"/>
  <c r="AB372" i="2"/>
  <c r="AB373" i="2"/>
  <c r="AB374" i="2"/>
  <c r="AB375" i="2"/>
  <c r="AB376" i="2"/>
  <c r="AB377" i="2"/>
  <c r="AB378" i="2"/>
  <c r="AB379" i="2"/>
  <c r="AB380" i="2"/>
  <c r="AB381" i="2"/>
  <c r="AB382" i="2"/>
  <c r="AB383" i="2"/>
  <c r="AB384" i="2"/>
  <c r="AB385" i="2"/>
  <c r="AB386" i="2"/>
  <c r="AB387" i="2"/>
  <c r="AB388" i="2"/>
  <c r="AB389" i="2"/>
  <c r="AB390" i="2"/>
  <c r="AB391" i="2"/>
  <c r="AB392" i="2"/>
  <c r="AB393" i="2"/>
  <c r="AB394" i="2"/>
  <c r="AB395" i="2"/>
  <c r="AB396" i="2"/>
  <c r="AB397" i="2"/>
  <c r="AB398" i="2"/>
  <c r="AB399" i="2"/>
  <c r="AB400" i="2"/>
  <c r="AB401" i="2"/>
  <c r="AB402" i="2"/>
  <c r="AB403" i="2"/>
  <c r="AB404" i="2"/>
  <c r="AB405" i="2"/>
  <c r="AB406" i="2"/>
  <c r="AB407" i="2"/>
  <c r="AB408" i="2"/>
  <c r="AB409" i="2"/>
  <c r="AB410" i="2"/>
  <c r="AB411" i="2"/>
  <c r="AB412" i="2"/>
  <c r="AB413" i="2"/>
  <c r="AB414" i="2"/>
  <c r="AB415" i="2"/>
  <c r="AB416" i="2"/>
  <c r="AB417" i="2"/>
  <c r="AB418" i="2"/>
  <c r="AB419" i="2"/>
  <c r="AB420" i="2"/>
  <c r="AB421" i="2"/>
  <c r="AB422" i="2"/>
  <c r="AB423" i="2"/>
  <c r="AB424" i="2"/>
  <c r="AB425" i="2"/>
  <c r="AB426" i="2"/>
  <c r="AB427" i="2"/>
  <c r="AB428" i="2"/>
  <c r="AB429" i="2"/>
  <c r="AB430" i="2"/>
  <c r="AB431" i="2"/>
  <c r="AB432" i="2"/>
  <c r="AB433" i="2"/>
  <c r="AB434" i="2"/>
  <c r="AB435" i="2"/>
  <c r="AB436" i="2"/>
  <c r="AB437" i="2"/>
  <c r="AB438" i="2"/>
  <c r="AB439" i="2"/>
  <c r="AB440" i="2"/>
  <c r="AB441" i="2"/>
  <c r="AB442" i="2"/>
  <c r="AB443" i="2"/>
  <c r="AB444" i="2"/>
  <c r="AB445" i="2"/>
  <c r="AB446" i="2"/>
  <c r="AB447" i="2"/>
  <c r="AB448" i="2"/>
  <c r="AB449" i="2"/>
  <c r="AB450" i="2"/>
  <c r="AB451" i="2"/>
  <c r="AB452" i="2"/>
  <c r="AB453" i="2"/>
  <c r="AB454" i="2"/>
  <c r="AB455" i="2"/>
  <c r="AB456" i="2"/>
  <c r="AB457" i="2"/>
  <c r="AB458" i="2"/>
  <c r="AB459" i="2"/>
  <c r="AB460" i="2"/>
  <c r="AB461" i="2"/>
  <c r="AB462" i="2"/>
  <c r="AB463" i="2"/>
  <c r="AB464" i="2"/>
  <c r="AB465" i="2"/>
  <c r="AB466" i="2"/>
  <c r="AB467" i="2"/>
  <c r="AB468" i="2"/>
  <c r="AB469" i="2"/>
  <c r="AB470" i="2"/>
  <c r="AB471" i="2"/>
  <c r="AB472" i="2"/>
  <c r="AB473" i="2"/>
  <c r="AB474" i="2"/>
  <c r="AB475" i="2"/>
  <c r="AB476" i="2"/>
  <c r="AB477" i="2"/>
  <c r="AB478" i="2"/>
  <c r="AB479" i="2"/>
  <c r="AB480" i="2"/>
  <c r="AB481" i="2"/>
  <c r="AB482" i="2"/>
  <c r="AB483" i="2"/>
  <c r="AB484" i="2"/>
  <c r="AB485" i="2"/>
  <c r="AB486" i="2"/>
  <c r="AB487" i="2"/>
  <c r="AB488" i="2"/>
  <c r="AB489" i="2"/>
  <c r="AB490" i="2"/>
  <c r="AB491" i="2"/>
  <c r="AB492" i="2"/>
  <c r="AB493" i="2"/>
  <c r="AB494" i="2"/>
  <c r="AB495" i="2"/>
  <c r="AB496" i="2"/>
  <c r="AB497" i="2"/>
  <c r="AB498" i="2"/>
  <c r="AB499" i="2"/>
  <c r="AB500" i="2"/>
  <c r="AB501" i="2"/>
  <c r="AB502" i="2"/>
  <c r="AB503" i="2"/>
  <c r="AB504" i="2"/>
  <c r="AB505" i="2"/>
  <c r="AB506" i="2"/>
  <c r="AB507" i="2"/>
  <c r="AB508" i="2"/>
  <c r="AB509" i="2"/>
  <c r="AB510" i="2"/>
  <c r="AB511" i="2"/>
  <c r="AB512" i="2"/>
  <c r="AB513" i="2"/>
  <c r="AB514" i="2"/>
  <c r="AB515" i="2"/>
  <c r="AB516" i="2"/>
  <c r="AB517" i="2"/>
  <c r="AB518" i="2"/>
  <c r="AB519" i="2"/>
  <c r="AB520" i="2"/>
  <c r="AB521" i="2"/>
  <c r="AB522" i="2"/>
  <c r="AB523" i="2"/>
  <c r="AB524" i="2"/>
  <c r="AB525" i="2"/>
  <c r="AB526" i="2"/>
  <c r="AB527" i="2"/>
  <c r="AB528" i="2"/>
  <c r="AB529" i="2"/>
  <c r="AB530" i="2"/>
  <c r="AB531" i="2"/>
  <c r="AB532" i="2"/>
  <c r="AB533" i="2"/>
  <c r="AB534" i="2"/>
  <c r="AB535" i="2"/>
  <c r="AB536" i="2"/>
  <c r="AB537" i="2"/>
  <c r="AB538" i="2"/>
  <c r="AB539" i="2"/>
  <c r="AB540" i="2"/>
  <c r="AB541" i="2"/>
  <c r="AB542" i="2"/>
  <c r="AB543" i="2"/>
  <c r="AB544" i="2"/>
  <c r="AB545" i="2"/>
  <c r="AB546" i="2"/>
  <c r="AB547" i="2"/>
  <c r="AB548" i="2"/>
  <c r="AB549" i="2"/>
  <c r="AB550" i="2"/>
  <c r="AB551" i="2"/>
  <c r="AB552" i="2"/>
  <c r="AB553" i="2"/>
  <c r="AB554" i="2"/>
  <c r="AB555" i="2"/>
  <c r="AB556" i="2"/>
  <c r="AB557" i="2"/>
  <c r="AB558" i="2"/>
  <c r="AB559" i="2"/>
  <c r="AB560" i="2"/>
  <c r="AB561" i="2"/>
  <c r="AB562" i="2"/>
  <c r="AB563" i="2"/>
  <c r="AB564" i="2"/>
  <c r="AB565" i="2"/>
  <c r="AB566" i="2"/>
  <c r="AB567" i="2"/>
  <c r="AB568" i="2"/>
  <c r="AB569" i="2"/>
  <c r="AB570" i="2"/>
  <c r="AB571" i="2"/>
  <c r="AB572" i="2"/>
  <c r="AB573" i="2"/>
  <c r="AB574" i="2"/>
  <c r="AB575" i="2"/>
  <c r="AB576" i="2"/>
  <c r="AB577" i="2"/>
  <c r="AB578" i="2"/>
  <c r="AB579" i="2"/>
  <c r="AB580" i="2"/>
  <c r="AB581" i="2"/>
  <c r="AB582" i="2"/>
  <c r="AB583" i="2"/>
  <c r="AB584" i="2"/>
  <c r="AB585" i="2"/>
  <c r="AB586" i="2"/>
  <c r="AB587" i="2"/>
  <c r="AB588" i="2"/>
  <c r="AB589" i="2"/>
  <c r="AB590" i="2"/>
  <c r="AB591" i="2"/>
  <c r="AB592" i="2"/>
  <c r="AB593" i="2"/>
  <c r="AB594" i="2"/>
  <c r="AB595" i="2"/>
  <c r="AB596" i="2"/>
  <c r="AB597" i="2"/>
  <c r="AB598" i="2"/>
  <c r="AB599" i="2"/>
  <c r="AB600" i="2"/>
  <c r="AB601" i="2"/>
  <c r="AB602" i="2"/>
  <c r="AB603" i="2"/>
  <c r="AB604" i="2"/>
  <c r="AB605" i="2"/>
  <c r="AB606" i="2"/>
  <c r="AB607" i="2"/>
  <c r="AB608" i="2"/>
  <c r="AB609" i="2"/>
  <c r="AB610" i="2"/>
  <c r="AB611" i="2"/>
  <c r="AB612" i="2"/>
  <c r="AB613" i="2"/>
  <c r="AB614" i="2"/>
  <c r="AB615" i="2"/>
  <c r="AB616" i="2"/>
  <c r="AB617" i="2"/>
  <c r="AB618" i="2"/>
  <c r="AB619" i="2"/>
  <c r="AB620" i="2"/>
  <c r="AB621" i="2"/>
  <c r="AB622" i="2"/>
  <c r="AB623" i="2"/>
  <c r="AB624" i="2"/>
  <c r="AB625" i="2"/>
  <c r="AB626" i="2"/>
  <c r="AB627" i="2"/>
  <c r="AB628" i="2"/>
  <c r="AB629" i="2"/>
  <c r="AB630" i="2"/>
  <c r="AB631" i="2"/>
  <c r="AB632" i="2"/>
  <c r="AB633" i="2"/>
  <c r="AB634" i="2"/>
  <c r="AB635" i="2"/>
  <c r="AB636" i="2"/>
  <c r="AB637" i="2"/>
  <c r="AB638" i="2"/>
  <c r="AB639" i="2"/>
  <c r="AB640" i="2"/>
  <c r="AB641" i="2"/>
  <c r="AB642" i="2"/>
  <c r="AB643" i="2"/>
  <c r="AB644" i="2"/>
  <c r="AB645" i="2"/>
  <c r="AB646" i="2"/>
  <c r="AB647" i="2"/>
  <c r="AB648" i="2"/>
  <c r="AB649" i="2"/>
  <c r="AB650" i="2"/>
  <c r="AB651" i="2"/>
  <c r="AB652" i="2"/>
  <c r="AB653" i="2"/>
  <c r="AB654" i="2"/>
  <c r="AB655" i="2"/>
  <c r="AB656" i="2"/>
  <c r="AB657" i="2"/>
  <c r="AB658" i="2"/>
  <c r="AB659" i="2"/>
  <c r="AB660" i="2"/>
  <c r="AB661" i="2"/>
  <c r="AB662" i="2"/>
  <c r="AB663" i="2"/>
  <c r="AB664" i="2"/>
  <c r="AB665" i="2"/>
  <c r="AB666" i="2"/>
  <c r="AB667" i="2"/>
  <c r="AB668" i="2"/>
  <c r="AB669" i="2"/>
  <c r="AB670" i="2"/>
  <c r="AB671" i="2"/>
  <c r="AB672" i="2"/>
  <c r="AB673" i="2"/>
  <c r="AB674" i="2"/>
  <c r="AB675" i="2"/>
  <c r="AB676" i="2"/>
  <c r="AB677" i="2"/>
  <c r="AB678" i="2"/>
  <c r="AB679" i="2"/>
  <c r="AB680" i="2"/>
  <c r="AB681" i="2"/>
  <c r="AB682" i="2"/>
  <c r="AB683" i="2"/>
  <c r="AB684" i="2"/>
  <c r="AB685" i="2"/>
  <c r="AB686" i="2"/>
  <c r="AB687" i="2"/>
  <c r="AB688" i="2"/>
  <c r="AB689" i="2"/>
  <c r="AB690" i="2"/>
  <c r="AB691" i="2"/>
  <c r="AB692" i="2"/>
  <c r="AB693" i="2"/>
  <c r="AB694" i="2"/>
  <c r="AB695" i="2"/>
  <c r="AB696" i="2"/>
  <c r="AB697" i="2"/>
  <c r="AB698" i="2"/>
  <c r="AB699" i="2"/>
  <c r="AB700" i="2"/>
  <c r="AB701" i="2"/>
  <c r="AB702" i="2"/>
  <c r="AB703" i="2"/>
  <c r="AB704" i="2"/>
  <c r="AB705" i="2"/>
  <c r="AB706" i="2"/>
  <c r="AB707" i="2"/>
  <c r="AB708" i="2"/>
  <c r="AB709" i="2"/>
  <c r="AB710" i="2"/>
  <c r="AB711" i="2"/>
  <c r="AB712" i="2"/>
  <c r="AB713" i="2"/>
  <c r="AB714" i="2"/>
  <c r="AB715" i="2"/>
  <c r="AB716" i="2"/>
  <c r="AB717" i="2"/>
  <c r="AB718" i="2"/>
  <c r="AB719" i="2"/>
  <c r="AB720" i="2"/>
  <c r="AB721" i="2"/>
  <c r="AB722" i="2"/>
  <c r="AB723" i="2"/>
  <c r="AB724" i="2"/>
  <c r="AB725" i="2"/>
  <c r="AB726" i="2"/>
  <c r="AB727" i="2"/>
  <c r="AB728" i="2"/>
  <c r="AB729" i="2"/>
  <c r="AB730" i="2"/>
  <c r="AB731" i="2"/>
  <c r="AB732" i="2"/>
  <c r="AB733" i="2"/>
  <c r="AB734" i="2"/>
  <c r="AB735" i="2"/>
  <c r="AB736" i="2"/>
  <c r="AB737" i="2"/>
  <c r="AB738" i="2"/>
  <c r="AB739" i="2"/>
  <c r="AB740" i="2"/>
  <c r="AB741" i="2"/>
  <c r="AB742" i="2"/>
  <c r="AB743" i="2"/>
  <c r="AB744" i="2"/>
  <c r="AB745" i="2"/>
  <c r="AB746" i="2"/>
  <c r="AB747" i="2"/>
  <c r="AB748" i="2"/>
  <c r="AB749" i="2"/>
  <c r="AB750" i="2"/>
  <c r="AB751" i="2"/>
  <c r="AB752" i="2"/>
  <c r="AB753" i="2"/>
  <c r="AB754" i="2"/>
  <c r="AB755" i="2"/>
  <c r="AB756" i="2"/>
  <c r="AB757" i="2"/>
  <c r="AB758" i="2"/>
  <c r="AB759" i="2"/>
  <c r="AB760" i="2"/>
  <c r="AB761" i="2"/>
  <c r="AC3" i="2"/>
  <c r="AC4" i="2"/>
  <c r="AC5" i="2"/>
  <c r="AC6" i="2"/>
  <c r="AC7" i="2"/>
  <c r="AC8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2" i="2"/>
  <c r="AC143" i="2"/>
  <c r="AC144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185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0" i="2"/>
  <c r="AC251" i="2"/>
  <c r="AC252" i="2"/>
  <c r="AC253" i="2"/>
  <c r="AC254" i="2"/>
  <c r="AC255" i="2"/>
  <c r="AC256" i="2"/>
  <c r="AC257" i="2"/>
  <c r="AC258" i="2"/>
  <c r="AC259" i="2"/>
  <c r="AC260" i="2"/>
  <c r="AC261" i="2"/>
  <c r="AC262" i="2"/>
  <c r="AC263" i="2"/>
  <c r="AC264" i="2"/>
  <c r="AC265" i="2"/>
  <c r="AC266" i="2"/>
  <c r="AC267" i="2"/>
  <c r="AC268" i="2"/>
  <c r="AC269" i="2"/>
  <c r="AC270" i="2"/>
  <c r="AC271" i="2"/>
  <c r="AC272" i="2"/>
  <c r="AC273" i="2"/>
  <c r="AC274" i="2"/>
  <c r="AC275" i="2"/>
  <c r="AC276" i="2"/>
  <c r="AC277" i="2"/>
  <c r="AC278" i="2"/>
  <c r="AC279" i="2"/>
  <c r="AC280" i="2"/>
  <c r="AC281" i="2"/>
  <c r="AC282" i="2"/>
  <c r="AC283" i="2"/>
  <c r="AC284" i="2"/>
  <c r="AC285" i="2"/>
  <c r="AC286" i="2"/>
  <c r="AC287" i="2"/>
  <c r="AC288" i="2"/>
  <c r="AC289" i="2"/>
  <c r="AC290" i="2"/>
  <c r="AC291" i="2"/>
  <c r="AC292" i="2"/>
  <c r="AC293" i="2"/>
  <c r="AC294" i="2"/>
  <c r="AC295" i="2"/>
  <c r="AC296" i="2"/>
  <c r="AC297" i="2"/>
  <c r="AC298" i="2"/>
  <c r="AC299" i="2"/>
  <c r="AC300" i="2"/>
  <c r="AC301" i="2"/>
  <c r="AC302" i="2"/>
  <c r="AC303" i="2"/>
  <c r="AC304" i="2"/>
  <c r="AC305" i="2"/>
  <c r="AC306" i="2"/>
  <c r="AC307" i="2"/>
  <c r="AC308" i="2"/>
  <c r="AC309" i="2"/>
  <c r="AC310" i="2"/>
  <c r="AC311" i="2"/>
  <c r="AC312" i="2"/>
  <c r="AC313" i="2"/>
  <c r="AC314" i="2"/>
  <c r="AC315" i="2"/>
  <c r="AC316" i="2"/>
  <c r="AC317" i="2"/>
  <c r="AC318" i="2"/>
  <c r="AC319" i="2"/>
  <c r="AC320" i="2"/>
  <c r="AC321" i="2"/>
  <c r="AC322" i="2"/>
  <c r="AC323" i="2"/>
  <c r="AC324" i="2"/>
  <c r="AC325" i="2"/>
  <c r="AC326" i="2"/>
  <c r="AC327" i="2"/>
  <c r="AC328" i="2"/>
  <c r="AC329" i="2"/>
  <c r="AC330" i="2"/>
  <c r="AC331" i="2"/>
  <c r="AC332" i="2"/>
  <c r="AC333" i="2"/>
  <c r="AC334" i="2"/>
  <c r="AC335" i="2"/>
  <c r="AC336" i="2"/>
  <c r="AC337" i="2"/>
  <c r="AC338" i="2"/>
  <c r="AC339" i="2"/>
  <c r="AC340" i="2"/>
  <c r="AC341" i="2"/>
  <c r="AC342" i="2"/>
  <c r="AC343" i="2"/>
  <c r="AC344" i="2"/>
  <c r="AC345" i="2"/>
  <c r="AC346" i="2"/>
  <c r="AC347" i="2"/>
  <c r="AC348" i="2"/>
  <c r="AC349" i="2"/>
  <c r="AC350" i="2"/>
  <c r="AC351" i="2"/>
  <c r="AC352" i="2"/>
  <c r="AC353" i="2"/>
  <c r="AC354" i="2"/>
  <c r="AC355" i="2"/>
  <c r="AC356" i="2"/>
  <c r="AC357" i="2"/>
  <c r="AC358" i="2"/>
  <c r="AC359" i="2"/>
  <c r="AC360" i="2"/>
  <c r="AC361" i="2"/>
  <c r="AC362" i="2"/>
  <c r="AC363" i="2"/>
  <c r="AC364" i="2"/>
  <c r="AC365" i="2"/>
  <c r="AC366" i="2"/>
  <c r="AC367" i="2"/>
  <c r="AC368" i="2"/>
  <c r="AC369" i="2"/>
  <c r="AC370" i="2"/>
  <c r="AC371" i="2"/>
  <c r="AC372" i="2"/>
  <c r="AC373" i="2"/>
  <c r="AC374" i="2"/>
  <c r="AC375" i="2"/>
  <c r="AC376" i="2"/>
  <c r="AC377" i="2"/>
  <c r="AC378" i="2"/>
  <c r="AC379" i="2"/>
  <c r="AC380" i="2"/>
  <c r="AC381" i="2"/>
  <c r="AC382" i="2"/>
  <c r="AC383" i="2"/>
  <c r="AC384" i="2"/>
  <c r="AC385" i="2"/>
  <c r="AC386" i="2"/>
  <c r="AC387" i="2"/>
  <c r="AC388" i="2"/>
  <c r="AC389" i="2"/>
  <c r="AC390" i="2"/>
  <c r="AC391" i="2"/>
  <c r="AC392" i="2"/>
  <c r="AC393" i="2"/>
  <c r="AC394" i="2"/>
  <c r="AC395" i="2"/>
  <c r="AC396" i="2"/>
  <c r="AC397" i="2"/>
  <c r="AC398" i="2"/>
  <c r="AC399" i="2"/>
  <c r="AC400" i="2"/>
  <c r="AC401" i="2"/>
  <c r="AC402" i="2"/>
  <c r="AC403" i="2"/>
  <c r="AC404" i="2"/>
  <c r="AC405" i="2"/>
  <c r="AC406" i="2"/>
  <c r="AC407" i="2"/>
  <c r="AC408" i="2"/>
  <c r="AC409" i="2"/>
  <c r="AC410" i="2"/>
  <c r="AC411" i="2"/>
  <c r="AC412" i="2"/>
  <c r="AC413" i="2"/>
  <c r="AC414" i="2"/>
  <c r="AC415" i="2"/>
  <c r="AC416" i="2"/>
  <c r="AC417" i="2"/>
  <c r="AC418" i="2"/>
  <c r="AC419" i="2"/>
  <c r="AC420" i="2"/>
  <c r="AC421" i="2"/>
  <c r="AC422" i="2"/>
  <c r="AC423" i="2"/>
  <c r="AC424" i="2"/>
  <c r="AC425" i="2"/>
  <c r="AC426" i="2"/>
  <c r="AC427" i="2"/>
  <c r="AC428" i="2"/>
  <c r="AC429" i="2"/>
  <c r="AC430" i="2"/>
  <c r="AC431" i="2"/>
  <c r="AC432" i="2"/>
  <c r="AC433" i="2"/>
  <c r="AC434" i="2"/>
  <c r="AC435" i="2"/>
  <c r="AC436" i="2"/>
  <c r="AC437" i="2"/>
  <c r="AC438" i="2"/>
  <c r="AC439" i="2"/>
  <c r="AC440" i="2"/>
  <c r="AC441" i="2"/>
  <c r="AC442" i="2"/>
  <c r="AC443" i="2"/>
  <c r="AC444" i="2"/>
  <c r="AC445" i="2"/>
  <c r="AC446" i="2"/>
  <c r="AC447" i="2"/>
  <c r="AC448" i="2"/>
  <c r="AC449" i="2"/>
  <c r="AC450" i="2"/>
  <c r="AC451" i="2"/>
  <c r="AC452" i="2"/>
  <c r="AC453" i="2"/>
  <c r="AC454" i="2"/>
  <c r="AC455" i="2"/>
  <c r="AC456" i="2"/>
  <c r="AC457" i="2"/>
  <c r="AC458" i="2"/>
  <c r="AC459" i="2"/>
  <c r="AC460" i="2"/>
  <c r="AC461" i="2"/>
  <c r="AC462" i="2"/>
  <c r="AC463" i="2"/>
  <c r="AC464" i="2"/>
  <c r="AC465" i="2"/>
  <c r="AC466" i="2"/>
  <c r="AC467" i="2"/>
  <c r="AC468" i="2"/>
  <c r="AC469" i="2"/>
  <c r="AC470" i="2"/>
  <c r="AC471" i="2"/>
  <c r="AC472" i="2"/>
  <c r="AC473" i="2"/>
  <c r="AC474" i="2"/>
  <c r="AC475" i="2"/>
  <c r="AC476" i="2"/>
  <c r="AC477" i="2"/>
  <c r="AC478" i="2"/>
  <c r="AC479" i="2"/>
  <c r="AC480" i="2"/>
  <c r="AC481" i="2"/>
  <c r="AC482" i="2"/>
  <c r="AC483" i="2"/>
  <c r="AC484" i="2"/>
  <c r="AC485" i="2"/>
  <c r="AC486" i="2"/>
  <c r="AC487" i="2"/>
  <c r="AC488" i="2"/>
  <c r="AC489" i="2"/>
  <c r="AC490" i="2"/>
  <c r="AC491" i="2"/>
  <c r="AC492" i="2"/>
  <c r="AC493" i="2"/>
  <c r="AC494" i="2"/>
  <c r="AC495" i="2"/>
  <c r="AC496" i="2"/>
  <c r="AC497" i="2"/>
  <c r="AC498" i="2"/>
  <c r="AC499" i="2"/>
  <c r="AC500" i="2"/>
  <c r="AC501" i="2"/>
  <c r="AC502" i="2"/>
  <c r="AC503" i="2"/>
  <c r="AC504" i="2"/>
  <c r="AC505" i="2"/>
  <c r="AC506" i="2"/>
  <c r="AC507" i="2"/>
  <c r="AC508" i="2"/>
  <c r="AC509" i="2"/>
  <c r="AC510" i="2"/>
  <c r="AC511" i="2"/>
  <c r="AC512" i="2"/>
  <c r="AC513" i="2"/>
  <c r="AC514" i="2"/>
  <c r="AC515" i="2"/>
  <c r="AC516" i="2"/>
  <c r="AC517" i="2"/>
  <c r="AC518" i="2"/>
  <c r="AC519" i="2"/>
  <c r="AC520" i="2"/>
  <c r="AC521" i="2"/>
  <c r="AC522" i="2"/>
  <c r="AC523" i="2"/>
  <c r="AC524" i="2"/>
  <c r="AC525" i="2"/>
  <c r="AC526" i="2"/>
  <c r="AC527" i="2"/>
  <c r="AC528" i="2"/>
  <c r="AC529" i="2"/>
  <c r="AC530" i="2"/>
  <c r="AC531" i="2"/>
  <c r="AC532" i="2"/>
  <c r="AC533" i="2"/>
  <c r="AC534" i="2"/>
  <c r="AC535" i="2"/>
  <c r="AC536" i="2"/>
  <c r="AC537" i="2"/>
  <c r="AC538" i="2"/>
  <c r="AC539" i="2"/>
  <c r="AC540" i="2"/>
  <c r="AC541" i="2"/>
  <c r="AC542" i="2"/>
  <c r="AC543" i="2"/>
  <c r="AC544" i="2"/>
  <c r="AC545" i="2"/>
  <c r="AC546" i="2"/>
  <c r="AC547" i="2"/>
  <c r="AC548" i="2"/>
  <c r="AC549" i="2"/>
  <c r="AC550" i="2"/>
  <c r="AC551" i="2"/>
  <c r="AC552" i="2"/>
  <c r="AC553" i="2"/>
  <c r="AC554" i="2"/>
  <c r="AC555" i="2"/>
  <c r="AC556" i="2"/>
  <c r="AC557" i="2"/>
  <c r="AC558" i="2"/>
  <c r="AC559" i="2"/>
  <c r="AC560" i="2"/>
  <c r="AC561" i="2"/>
  <c r="AC562" i="2"/>
  <c r="AC563" i="2"/>
  <c r="AC564" i="2"/>
  <c r="AC565" i="2"/>
  <c r="AC566" i="2"/>
  <c r="AC567" i="2"/>
  <c r="AC568" i="2"/>
  <c r="AC569" i="2"/>
  <c r="AC570" i="2"/>
  <c r="AC571" i="2"/>
  <c r="AC572" i="2"/>
  <c r="AC573" i="2"/>
  <c r="AC574" i="2"/>
  <c r="AC575" i="2"/>
  <c r="AC576" i="2"/>
  <c r="AC577" i="2"/>
  <c r="AC578" i="2"/>
  <c r="AC579" i="2"/>
  <c r="AC580" i="2"/>
  <c r="AC581" i="2"/>
  <c r="AC582" i="2"/>
  <c r="AC583" i="2"/>
  <c r="AC584" i="2"/>
  <c r="AC585" i="2"/>
  <c r="AC586" i="2"/>
  <c r="AC587" i="2"/>
  <c r="AC588" i="2"/>
  <c r="AC589" i="2"/>
  <c r="AC590" i="2"/>
  <c r="AC591" i="2"/>
  <c r="AC592" i="2"/>
  <c r="AC593" i="2"/>
  <c r="AC594" i="2"/>
  <c r="AC595" i="2"/>
  <c r="AC596" i="2"/>
  <c r="AC597" i="2"/>
  <c r="AC598" i="2"/>
  <c r="AC599" i="2"/>
  <c r="AC600" i="2"/>
  <c r="AC601" i="2"/>
  <c r="AC602" i="2"/>
  <c r="AC603" i="2"/>
  <c r="AC604" i="2"/>
  <c r="AC605" i="2"/>
  <c r="AC606" i="2"/>
  <c r="AC607" i="2"/>
  <c r="AC608" i="2"/>
  <c r="AC609" i="2"/>
  <c r="AC610" i="2"/>
  <c r="AC611" i="2"/>
  <c r="AC612" i="2"/>
  <c r="AC613" i="2"/>
  <c r="AC614" i="2"/>
  <c r="AC615" i="2"/>
  <c r="AC616" i="2"/>
  <c r="AC617" i="2"/>
  <c r="AC618" i="2"/>
  <c r="AC619" i="2"/>
  <c r="AC620" i="2"/>
  <c r="AC621" i="2"/>
  <c r="AC622" i="2"/>
  <c r="AC623" i="2"/>
  <c r="AC624" i="2"/>
  <c r="AC625" i="2"/>
  <c r="AC626" i="2"/>
  <c r="AC627" i="2"/>
  <c r="AC628" i="2"/>
  <c r="AC629" i="2"/>
  <c r="AC630" i="2"/>
  <c r="AC631" i="2"/>
  <c r="AC632" i="2"/>
  <c r="AC633" i="2"/>
  <c r="AC634" i="2"/>
  <c r="AC635" i="2"/>
  <c r="AC636" i="2"/>
  <c r="AC637" i="2"/>
  <c r="AC638" i="2"/>
  <c r="AC639" i="2"/>
  <c r="AC640" i="2"/>
  <c r="AC641" i="2"/>
  <c r="AC642" i="2"/>
  <c r="AC643" i="2"/>
  <c r="AC644" i="2"/>
  <c r="AC645" i="2"/>
  <c r="AC646" i="2"/>
  <c r="AC647" i="2"/>
  <c r="AC648" i="2"/>
  <c r="AC649" i="2"/>
  <c r="AC650" i="2"/>
  <c r="AC651" i="2"/>
  <c r="AC652" i="2"/>
  <c r="AC653" i="2"/>
  <c r="AC654" i="2"/>
  <c r="AC655" i="2"/>
  <c r="AC656" i="2"/>
  <c r="AC657" i="2"/>
  <c r="AC658" i="2"/>
  <c r="AC659" i="2"/>
  <c r="AC660" i="2"/>
  <c r="AC661" i="2"/>
  <c r="AC662" i="2"/>
  <c r="AC663" i="2"/>
  <c r="AC664" i="2"/>
  <c r="AC665" i="2"/>
  <c r="AC666" i="2"/>
  <c r="AC667" i="2"/>
  <c r="AC668" i="2"/>
  <c r="AC669" i="2"/>
  <c r="AC670" i="2"/>
  <c r="AC671" i="2"/>
  <c r="AC672" i="2"/>
  <c r="AC673" i="2"/>
  <c r="AC674" i="2"/>
  <c r="AC675" i="2"/>
  <c r="AC676" i="2"/>
  <c r="AC677" i="2"/>
  <c r="AC678" i="2"/>
  <c r="AC679" i="2"/>
  <c r="AC680" i="2"/>
  <c r="AC681" i="2"/>
  <c r="AC682" i="2"/>
  <c r="AC683" i="2"/>
  <c r="AC684" i="2"/>
  <c r="AC685" i="2"/>
  <c r="AC686" i="2"/>
  <c r="AC687" i="2"/>
  <c r="AC688" i="2"/>
  <c r="AC689" i="2"/>
  <c r="AC690" i="2"/>
  <c r="AC691" i="2"/>
  <c r="AC692" i="2"/>
  <c r="AC693" i="2"/>
  <c r="AC694" i="2"/>
  <c r="AC695" i="2"/>
  <c r="AC696" i="2"/>
  <c r="AC697" i="2"/>
  <c r="AC698" i="2"/>
  <c r="AC699" i="2"/>
  <c r="AC700" i="2"/>
  <c r="AC701" i="2"/>
  <c r="AC702" i="2"/>
  <c r="AC703" i="2"/>
  <c r="AC704" i="2"/>
  <c r="AC705" i="2"/>
  <c r="AC706" i="2"/>
  <c r="AC707" i="2"/>
  <c r="AC708" i="2"/>
  <c r="AC709" i="2"/>
  <c r="AC710" i="2"/>
  <c r="AC711" i="2"/>
  <c r="AC712" i="2"/>
  <c r="AC713" i="2"/>
  <c r="AC714" i="2"/>
  <c r="AC715" i="2"/>
  <c r="AC716" i="2"/>
  <c r="AC717" i="2"/>
  <c r="AC718" i="2"/>
  <c r="AC719" i="2"/>
  <c r="AC720" i="2"/>
  <c r="AC721" i="2"/>
  <c r="AC722" i="2"/>
  <c r="AC723" i="2"/>
  <c r="AC724" i="2"/>
  <c r="AC725" i="2"/>
  <c r="AC726" i="2"/>
  <c r="AC727" i="2"/>
  <c r="AC728" i="2"/>
  <c r="AC729" i="2"/>
  <c r="AC730" i="2"/>
  <c r="AC731" i="2"/>
  <c r="AC732" i="2"/>
  <c r="AC733" i="2"/>
  <c r="AC734" i="2"/>
  <c r="AC735" i="2"/>
  <c r="AC736" i="2"/>
  <c r="AC737" i="2"/>
  <c r="AC738" i="2"/>
  <c r="AC739" i="2"/>
  <c r="AC740" i="2"/>
  <c r="AC741" i="2"/>
  <c r="AC742" i="2"/>
  <c r="AC743" i="2"/>
  <c r="AC744" i="2"/>
  <c r="AC745" i="2"/>
  <c r="AC746" i="2"/>
  <c r="AC747" i="2"/>
  <c r="AC748" i="2"/>
  <c r="AC749" i="2"/>
  <c r="AC750" i="2"/>
  <c r="AC751" i="2"/>
  <c r="AC752" i="2"/>
  <c r="AC753" i="2"/>
  <c r="AC754" i="2"/>
  <c r="AC755" i="2"/>
  <c r="AC756" i="2"/>
  <c r="AC757" i="2"/>
  <c r="AC758" i="2"/>
  <c r="AC759" i="2"/>
  <c r="AC760" i="2"/>
  <c r="AC761" i="2"/>
  <c r="P2" i="3"/>
  <c r="K170" i="3"/>
  <c r="L170" i="3"/>
  <c r="M170" i="3"/>
  <c r="N170" i="3"/>
  <c r="U168" i="3" s="1"/>
  <c r="O170" i="3"/>
  <c r="U163" i="3" s="1"/>
  <c r="P170" i="3"/>
  <c r="Q170" i="3"/>
  <c r="U164" i="3" s="1"/>
  <c r="R170" i="3"/>
  <c r="S170" i="3"/>
  <c r="J170" i="3"/>
  <c r="U167" i="3" s="1"/>
  <c r="K161" i="3"/>
  <c r="L161" i="3"/>
  <c r="M161" i="3"/>
  <c r="N161" i="3"/>
  <c r="O161" i="3"/>
  <c r="P161" i="3"/>
  <c r="Q161" i="3"/>
  <c r="R161" i="3"/>
  <c r="S161" i="3"/>
  <c r="J161" i="3"/>
  <c r="U158" i="3" s="1"/>
  <c r="K155" i="3"/>
  <c r="L155" i="3"/>
  <c r="M155" i="3"/>
  <c r="N155" i="3"/>
  <c r="O155" i="3"/>
  <c r="P155" i="3"/>
  <c r="Q155" i="3"/>
  <c r="R155" i="3"/>
  <c r="S155" i="3"/>
  <c r="J155" i="3"/>
  <c r="U152" i="3" s="1"/>
  <c r="K150" i="3"/>
  <c r="L150" i="3"/>
  <c r="M150" i="3"/>
  <c r="N150" i="3"/>
  <c r="O150" i="3"/>
  <c r="P150" i="3"/>
  <c r="Q150" i="3"/>
  <c r="R150" i="3"/>
  <c r="S150" i="3"/>
  <c r="J150" i="3"/>
  <c r="U147" i="3" s="1"/>
  <c r="K145" i="3"/>
  <c r="U143" i="3" s="1"/>
  <c r="L145" i="3"/>
  <c r="M145" i="3"/>
  <c r="N145" i="3"/>
  <c r="O145" i="3"/>
  <c r="P145" i="3"/>
  <c r="Q145" i="3"/>
  <c r="R145" i="3"/>
  <c r="S145" i="3"/>
  <c r="J145" i="3"/>
  <c r="U142" i="3" s="1"/>
  <c r="E141" i="3"/>
  <c r="F141" i="3"/>
  <c r="D141" i="3"/>
  <c r="C141" i="3"/>
  <c r="B141" i="3"/>
  <c r="J138" i="3"/>
  <c r="U130" i="3" s="1"/>
  <c r="J126" i="3"/>
  <c r="U124" i="3" s="1"/>
  <c r="J122" i="3"/>
  <c r="U120" i="3" s="1"/>
  <c r="J118" i="3"/>
  <c r="U116" i="3" s="1"/>
  <c r="S85" i="3"/>
  <c r="K138" i="3"/>
  <c r="L138" i="3"/>
  <c r="M138" i="3"/>
  <c r="N138" i="3"/>
  <c r="O138" i="3"/>
  <c r="P138" i="3"/>
  <c r="Q138" i="3"/>
  <c r="R138" i="3"/>
  <c r="S138" i="3"/>
  <c r="K126" i="3"/>
  <c r="L126" i="3"/>
  <c r="M126" i="3"/>
  <c r="N126" i="3"/>
  <c r="O126" i="3"/>
  <c r="P126" i="3"/>
  <c r="Q126" i="3"/>
  <c r="R126" i="3"/>
  <c r="S126" i="3"/>
  <c r="K122" i="3"/>
  <c r="U121" i="3" s="1"/>
  <c r="L122" i="3"/>
  <c r="M122" i="3"/>
  <c r="N122" i="3"/>
  <c r="O122" i="3"/>
  <c r="P122" i="3"/>
  <c r="Q122" i="3"/>
  <c r="R122" i="3"/>
  <c r="S122" i="3"/>
  <c r="K118" i="3"/>
  <c r="L118" i="3"/>
  <c r="M118" i="3"/>
  <c r="N118" i="3"/>
  <c r="O118" i="3"/>
  <c r="P118" i="3"/>
  <c r="Q118" i="3"/>
  <c r="R118" i="3"/>
  <c r="S118" i="3"/>
  <c r="K113" i="3"/>
  <c r="L113" i="3"/>
  <c r="M113" i="3"/>
  <c r="U111" i="3" s="1"/>
  <c r="N113" i="3"/>
  <c r="O113" i="3"/>
  <c r="P113" i="3"/>
  <c r="Q113" i="3"/>
  <c r="R113" i="3"/>
  <c r="S113" i="3"/>
  <c r="J113" i="3"/>
  <c r="U110" i="3" s="1"/>
  <c r="F109" i="3"/>
  <c r="E109" i="3"/>
  <c r="D109" i="3"/>
  <c r="C109" i="3"/>
  <c r="B109" i="3"/>
  <c r="J106" i="3"/>
  <c r="K106" i="3"/>
  <c r="L106" i="3"/>
  <c r="M106" i="3"/>
  <c r="N106" i="3"/>
  <c r="O106" i="3"/>
  <c r="P106" i="3"/>
  <c r="Q106" i="3"/>
  <c r="R106" i="3"/>
  <c r="I106" i="3"/>
  <c r="J95" i="3"/>
  <c r="K95" i="3"/>
  <c r="L95" i="3"/>
  <c r="M95" i="3"/>
  <c r="N95" i="3"/>
  <c r="O95" i="3"/>
  <c r="P95" i="3"/>
  <c r="Q95" i="3"/>
  <c r="R95" i="3"/>
  <c r="I95" i="3"/>
  <c r="S91" i="3" s="1"/>
  <c r="J87" i="3"/>
  <c r="K87" i="3"/>
  <c r="L87" i="3"/>
  <c r="M87" i="3"/>
  <c r="N87" i="3"/>
  <c r="O87" i="3"/>
  <c r="P87" i="3"/>
  <c r="Q87" i="3"/>
  <c r="R87" i="3"/>
  <c r="I87" i="3"/>
  <c r="J83" i="3"/>
  <c r="K83" i="3"/>
  <c r="L83" i="3"/>
  <c r="M83" i="3"/>
  <c r="N83" i="3"/>
  <c r="O83" i="3"/>
  <c r="P83" i="3"/>
  <c r="Q83" i="3"/>
  <c r="R83" i="3"/>
  <c r="I83" i="3"/>
  <c r="I76" i="3"/>
  <c r="J76" i="3"/>
  <c r="K76" i="3"/>
  <c r="L76" i="3"/>
  <c r="M76" i="3"/>
  <c r="N76" i="3"/>
  <c r="O76" i="3"/>
  <c r="P76" i="3"/>
  <c r="Q76" i="3"/>
  <c r="H76" i="3"/>
  <c r="I61" i="3"/>
  <c r="R58" i="3" s="1"/>
  <c r="J61" i="3"/>
  <c r="K61" i="3"/>
  <c r="L61" i="3"/>
  <c r="M61" i="3"/>
  <c r="N61" i="3"/>
  <c r="O61" i="3"/>
  <c r="P61" i="3"/>
  <c r="Q61" i="3"/>
  <c r="H61" i="3"/>
  <c r="Q54" i="3"/>
  <c r="I54" i="3"/>
  <c r="J54" i="3"/>
  <c r="R53" i="3" s="1"/>
  <c r="K54" i="3"/>
  <c r="L54" i="3"/>
  <c r="M54" i="3"/>
  <c r="N54" i="3"/>
  <c r="O54" i="3"/>
  <c r="P54" i="3"/>
  <c r="H54" i="3"/>
  <c r="G48" i="3"/>
  <c r="H48" i="3"/>
  <c r="I48" i="3"/>
  <c r="J48" i="3"/>
  <c r="K48" i="3"/>
  <c r="L48" i="3"/>
  <c r="M48" i="3"/>
  <c r="N48" i="3"/>
  <c r="O48" i="3"/>
  <c r="F48" i="3"/>
  <c r="P39" i="3" s="1"/>
  <c r="G29" i="3"/>
  <c r="H29" i="3"/>
  <c r="I29" i="3"/>
  <c r="J29" i="3"/>
  <c r="K29" i="3"/>
  <c r="L29" i="3"/>
  <c r="M29" i="3"/>
  <c r="N29" i="3"/>
  <c r="O29" i="3"/>
  <c r="F29" i="3"/>
  <c r="T3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02" i="4"/>
  <c r="T103" i="4"/>
  <c r="T104" i="4"/>
  <c r="T105" i="4"/>
  <c r="T106" i="4"/>
  <c r="T107" i="4"/>
  <c r="T108" i="4"/>
  <c r="T109" i="4"/>
  <c r="T110" i="4"/>
  <c r="T111" i="4"/>
  <c r="T112" i="4"/>
  <c r="T113" i="4"/>
  <c r="T114" i="4"/>
  <c r="T115" i="4"/>
  <c r="T116" i="4"/>
  <c r="T117" i="4"/>
  <c r="T118" i="4"/>
  <c r="T119" i="4"/>
  <c r="T120" i="4"/>
  <c r="T121" i="4"/>
  <c r="T122" i="4"/>
  <c r="T123" i="4"/>
  <c r="T124" i="4"/>
  <c r="T125" i="4"/>
  <c r="T126" i="4"/>
  <c r="T127" i="4"/>
  <c r="T128" i="4"/>
  <c r="T129" i="4"/>
  <c r="T130" i="4"/>
  <c r="T131" i="4"/>
  <c r="T132" i="4"/>
  <c r="T133" i="4"/>
  <c r="T134" i="4"/>
  <c r="T135" i="4"/>
  <c r="T136" i="4"/>
  <c r="T137" i="4"/>
  <c r="T138" i="4"/>
  <c r="T139" i="4"/>
  <c r="T140" i="4"/>
  <c r="T141" i="4"/>
  <c r="T142" i="4"/>
  <c r="T143" i="4"/>
  <c r="T144" i="4"/>
  <c r="T145" i="4"/>
  <c r="T146" i="4"/>
  <c r="T147" i="4"/>
  <c r="T148" i="4"/>
  <c r="T149" i="4"/>
  <c r="T150" i="4"/>
  <c r="T151" i="4"/>
  <c r="T152" i="4"/>
  <c r="T153" i="4"/>
  <c r="T154" i="4"/>
  <c r="T155" i="4"/>
  <c r="T156" i="4"/>
  <c r="T157" i="4"/>
  <c r="T158" i="4"/>
  <c r="T159" i="4"/>
  <c r="T160" i="4"/>
  <c r="T161" i="4"/>
  <c r="T162" i="4"/>
  <c r="T163" i="4"/>
  <c r="T164" i="4"/>
  <c r="T165" i="4"/>
  <c r="T166" i="4"/>
  <c r="T167" i="4"/>
  <c r="T168" i="4"/>
  <c r="T169" i="4"/>
  <c r="T170" i="4"/>
  <c r="T171" i="4"/>
  <c r="T172" i="4"/>
  <c r="T173" i="4"/>
  <c r="T174" i="4"/>
  <c r="T175" i="4"/>
  <c r="T176" i="4"/>
  <c r="T177" i="4"/>
  <c r="T178" i="4"/>
  <c r="T179" i="4"/>
  <c r="T180" i="4"/>
  <c r="T181" i="4"/>
  <c r="T182" i="4"/>
  <c r="T183" i="4"/>
  <c r="T184" i="4"/>
  <c r="T185" i="4"/>
  <c r="T186" i="4"/>
  <c r="T187" i="4"/>
  <c r="T188" i="4"/>
  <c r="T189" i="4"/>
  <c r="T190" i="4"/>
  <c r="T191" i="4"/>
  <c r="T192" i="4"/>
  <c r="T193" i="4"/>
  <c r="T194" i="4"/>
  <c r="T195" i="4"/>
  <c r="T196" i="4"/>
  <c r="T197" i="4"/>
  <c r="T198" i="4"/>
  <c r="T199" i="4"/>
  <c r="T200" i="4"/>
  <c r="T201" i="4"/>
  <c r="T202" i="4"/>
  <c r="T203" i="4"/>
  <c r="T204" i="4"/>
  <c r="T205" i="4"/>
  <c r="T206" i="4"/>
  <c r="T207" i="4"/>
  <c r="T208" i="4"/>
  <c r="T209" i="4"/>
  <c r="T210" i="4"/>
  <c r="T211" i="4"/>
  <c r="T212" i="4"/>
  <c r="T213" i="4"/>
  <c r="T214" i="4"/>
  <c r="T215" i="4"/>
  <c r="T216" i="4"/>
  <c r="T217" i="4"/>
  <c r="T218" i="4"/>
  <c r="T219" i="4"/>
  <c r="T220" i="4"/>
  <c r="T221" i="4"/>
  <c r="T222" i="4"/>
  <c r="T223" i="4"/>
  <c r="T224" i="4"/>
  <c r="T225" i="4"/>
  <c r="T226" i="4"/>
  <c r="T227" i="4"/>
  <c r="T228" i="4"/>
  <c r="T229" i="4"/>
  <c r="T230" i="4"/>
  <c r="T231" i="4"/>
  <c r="T232" i="4"/>
  <c r="T233" i="4"/>
  <c r="T234" i="4"/>
  <c r="T235" i="4"/>
  <c r="T236" i="4"/>
  <c r="T237" i="4"/>
  <c r="T238" i="4"/>
  <c r="T239" i="4"/>
  <c r="T240" i="4"/>
  <c r="T241" i="4"/>
  <c r="T242" i="4"/>
  <c r="T243" i="4"/>
  <c r="T244" i="4"/>
  <c r="T245" i="4"/>
  <c r="T246" i="4"/>
  <c r="T247" i="4"/>
  <c r="T248" i="4"/>
  <c r="T249" i="4"/>
  <c r="T250" i="4"/>
  <c r="T251" i="4"/>
  <c r="T252" i="4"/>
  <c r="T253" i="4"/>
  <c r="T254" i="4"/>
  <c r="T255" i="4"/>
  <c r="T256" i="4"/>
  <c r="T257" i="4"/>
  <c r="T258" i="4"/>
  <c r="T259" i="4"/>
  <c r="T260" i="4"/>
  <c r="T261" i="4"/>
  <c r="T262" i="4"/>
  <c r="T263" i="4"/>
  <c r="T264" i="4"/>
  <c r="T265" i="4"/>
  <c r="T266" i="4"/>
  <c r="T267" i="4"/>
  <c r="T268" i="4"/>
  <c r="T269" i="4"/>
  <c r="T270" i="4"/>
  <c r="T271" i="4"/>
  <c r="T272" i="4"/>
  <c r="T273" i="4"/>
  <c r="T274" i="4"/>
  <c r="T275" i="4"/>
  <c r="T276" i="4"/>
  <c r="T277" i="4"/>
  <c r="T278" i="4"/>
  <c r="T279" i="4"/>
  <c r="T280" i="4"/>
  <c r="T281" i="4"/>
  <c r="T282" i="4"/>
  <c r="T283" i="4"/>
  <c r="T284" i="4"/>
  <c r="T285" i="4"/>
  <c r="T286" i="4"/>
  <c r="T287" i="4"/>
  <c r="T288" i="4"/>
  <c r="T289" i="4"/>
  <c r="T290" i="4"/>
  <c r="T291" i="4"/>
  <c r="T292" i="4"/>
  <c r="T293" i="4"/>
  <c r="T294" i="4"/>
  <c r="T295" i="4"/>
  <c r="T296" i="4"/>
  <c r="T297" i="4"/>
  <c r="T298" i="4"/>
  <c r="T299" i="4"/>
  <c r="T300" i="4"/>
  <c r="T301" i="4"/>
  <c r="T302" i="4"/>
  <c r="T303" i="4"/>
  <c r="T304" i="4"/>
  <c r="T305" i="4"/>
  <c r="T306" i="4"/>
  <c r="T307" i="4"/>
  <c r="T308" i="4"/>
  <c r="T309" i="4"/>
  <c r="T310" i="4"/>
  <c r="T311" i="4"/>
  <c r="T312" i="4"/>
  <c r="T313" i="4"/>
  <c r="T314" i="4"/>
  <c r="T315" i="4"/>
  <c r="T316" i="4"/>
  <c r="T317" i="4"/>
  <c r="T318" i="4"/>
  <c r="T319" i="4"/>
  <c r="T320" i="4"/>
  <c r="T321" i="4"/>
  <c r="T322" i="4"/>
  <c r="T323" i="4"/>
  <c r="T324" i="4"/>
  <c r="T325" i="4"/>
  <c r="T326" i="4"/>
  <c r="T327" i="4"/>
  <c r="T328" i="4"/>
  <c r="T329" i="4"/>
  <c r="T330" i="4"/>
  <c r="T331" i="4"/>
  <c r="T332" i="4"/>
  <c r="T333" i="4"/>
  <c r="T334" i="4"/>
  <c r="T335" i="4"/>
  <c r="T336" i="4"/>
  <c r="T337" i="4"/>
  <c r="T338" i="4"/>
  <c r="T339" i="4"/>
  <c r="T340" i="4"/>
  <c r="T341" i="4"/>
  <c r="T342" i="4"/>
  <c r="T343" i="4"/>
  <c r="T344" i="4"/>
  <c r="T345" i="4"/>
  <c r="T346" i="4"/>
  <c r="T347" i="4"/>
  <c r="T348" i="4"/>
  <c r="T349" i="4"/>
  <c r="T350" i="4"/>
  <c r="T351" i="4"/>
  <c r="T352" i="4"/>
  <c r="T353" i="4"/>
  <c r="T354" i="4"/>
  <c r="T355" i="4"/>
  <c r="T356" i="4"/>
  <c r="T357" i="4"/>
  <c r="T358" i="4"/>
  <c r="T359" i="4"/>
  <c r="T360" i="4"/>
  <c r="T361" i="4"/>
  <c r="T362" i="4"/>
  <c r="T363" i="4"/>
  <c r="T364" i="4"/>
  <c r="T365" i="4"/>
  <c r="T366" i="4"/>
  <c r="T367" i="4"/>
  <c r="T368" i="4"/>
  <c r="T369" i="4"/>
  <c r="T370" i="4"/>
  <c r="T371" i="4"/>
  <c r="T372" i="4"/>
  <c r="T373" i="4"/>
  <c r="T374" i="4"/>
  <c r="T375" i="4"/>
  <c r="T376" i="4"/>
  <c r="T377" i="4"/>
  <c r="T378" i="4"/>
  <c r="T379" i="4"/>
  <c r="T380" i="4"/>
  <c r="T381" i="4"/>
  <c r="T382" i="4"/>
  <c r="T383" i="4"/>
  <c r="T384" i="4"/>
  <c r="T385" i="4"/>
  <c r="T386" i="4"/>
  <c r="T387" i="4"/>
  <c r="T388" i="4"/>
  <c r="T389" i="4"/>
  <c r="T390" i="4"/>
  <c r="T391" i="4"/>
  <c r="T392" i="4"/>
  <c r="T393" i="4"/>
  <c r="T394" i="4"/>
  <c r="T395" i="4"/>
  <c r="T396" i="4"/>
  <c r="T397" i="4"/>
  <c r="T398" i="4"/>
  <c r="T399" i="4"/>
  <c r="T400" i="4"/>
  <c r="T401" i="4"/>
  <c r="T402" i="4"/>
  <c r="T403" i="4"/>
  <c r="T404" i="4"/>
  <c r="T405" i="4"/>
  <c r="T406" i="4"/>
  <c r="T407" i="4"/>
  <c r="T408" i="4"/>
  <c r="T409" i="4"/>
  <c r="T410" i="4"/>
  <c r="T411" i="4"/>
  <c r="T412" i="4"/>
  <c r="T413" i="4"/>
  <c r="T414" i="4"/>
  <c r="T415" i="4"/>
  <c r="T416" i="4"/>
  <c r="T417" i="4"/>
  <c r="T418" i="4"/>
  <c r="T419" i="4"/>
  <c r="T420" i="4"/>
  <c r="T421" i="4"/>
  <c r="T422" i="4"/>
  <c r="T423" i="4"/>
  <c r="T424" i="4"/>
  <c r="T425" i="4"/>
  <c r="T426" i="4"/>
  <c r="T427" i="4"/>
  <c r="T428" i="4"/>
  <c r="T429" i="4"/>
  <c r="T430" i="4"/>
  <c r="T431" i="4"/>
  <c r="T432" i="4"/>
  <c r="T433" i="4"/>
  <c r="T434" i="4"/>
  <c r="T435" i="4"/>
  <c r="T436" i="4"/>
  <c r="T437" i="4"/>
  <c r="T438" i="4"/>
  <c r="T439" i="4"/>
  <c r="T440" i="4"/>
  <c r="T441" i="4"/>
  <c r="T442" i="4"/>
  <c r="T443" i="4"/>
  <c r="T444" i="4"/>
  <c r="T445" i="4"/>
  <c r="T446" i="4"/>
  <c r="T447" i="4"/>
  <c r="T448" i="4"/>
  <c r="T449" i="4"/>
  <c r="T450" i="4"/>
  <c r="T451" i="4"/>
  <c r="T452" i="4"/>
  <c r="T453" i="4"/>
  <c r="T454" i="4"/>
  <c r="T455" i="4"/>
  <c r="T456" i="4"/>
  <c r="T457" i="4"/>
  <c r="T458" i="4"/>
  <c r="T459" i="4"/>
  <c r="T460" i="4"/>
  <c r="T461" i="4"/>
  <c r="T462" i="4"/>
  <c r="T463" i="4"/>
  <c r="T464" i="4"/>
  <c r="T465" i="4"/>
  <c r="T466" i="4"/>
  <c r="T467" i="4"/>
  <c r="T468" i="4"/>
  <c r="T469" i="4"/>
  <c r="T470" i="4"/>
  <c r="T471" i="4"/>
  <c r="T472" i="4"/>
  <c r="T473" i="4"/>
  <c r="T474" i="4"/>
  <c r="T475" i="4"/>
  <c r="T476" i="4"/>
  <c r="T477" i="4"/>
  <c r="T478" i="4"/>
  <c r="T479" i="4"/>
  <c r="T480" i="4"/>
  <c r="T481" i="4"/>
  <c r="T482" i="4"/>
  <c r="T483" i="4"/>
  <c r="T484" i="4"/>
  <c r="T485" i="4"/>
  <c r="T486" i="4"/>
  <c r="T487" i="4"/>
  <c r="T488" i="4"/>
  <c r="T489" i="4"/>
  <c r="T490" i="4"/>
  <c r="T491" i="4"/>
  <c r="T492" i="4"/>
  <c r="T493" i="4"/>
  <c r="T494" i="4"/>
  <c r="T495" i="4"/>
  <c r="T496" i="4"/>
  <c r="T497" i="4"/>
  <c r="T498" i="4"/>
  <c r="T499" i="4"/>
  <c r="T500" i="4"/>
  <c r="T501" i="4"/>
  <c r="T502" i="4"/>
  <c r="T503" i="4"/>
  <c r="T504" i="4"/>
  <c r="T505" i="4"/>
  <c r="T506" i="4"/>
  <c r="T507" i="4"/>
  <c r="T508" i="4"/>
  <c r="T509" i="4"/>
  <c r="T510" i="4"/>
  <c r="T511" i="4"/>
  <c r="T512" i="4"/>
  <c r="T513" i="4"/>
  <c r="T514" i="4"/>
  <c r="T515" i="4"/>
  <c r="T516" i="4"/>
  <c r="T517" i="4"/>
  <c r="T518" i="4"/>
  <c r="T519" i="4"/>
  <c r="T520" i="4"/>
  <c r="T521" i="4"/>
  <c r="T522" i="4"/>
  <c r="T523" i="4"/>
  <c r="T524" i="4"/>
  <c r="T525" i="4"/>
  <c r="T526" i="4"/>
  <c r="T527" i="4"/>
  <c r="T528" i="4"/>
  <c r="T529" i="4"/>
  <c r="T530" i="4"/>
  <c r="T531" i="4"/>
  <c r="T532" i="4"/>
  <c r="T533" i="4"/>
  <c r="T534" i="4"/>
  <c r="T535" i="4"/>
  <c r="T536" i="4"/>
  <c r="T537" i="4"/>
  <c r="T538" i="4"/>
  <c r="T539" i="4"/>
  <c r="T540" i="4"/>
  <c r="T541" i="4"/>
  <c r="T542" i="4"/>
  <c r="T543" i="4"/>
  <c r="T544" i="4"/>
  <c r="T545" i="4"/>
  <c r="T546" i="4"/>
  <c r="T547" i="4"/>
  <c r="T548" i="4"/>
  <c r="T549" i="4"/>
  <c r="T550" i="4"/>
  <c r="T551" i="4"/>
  <c r="T552" i="4"/>
  <c r="T553" i="4"/>
  <c r="T554" i="4"/>
  <c r="T555" i="4"/>
  <c r="T556" i="4"/>
  <c r="T557" i="4"/>
  <c r="T558" i="4"/>
  <c r="T559" i="4"/>
  <c r="T560" i="4"/>
  <c r="T561" i="4"/>
  <c r="T562" i="4"/>
  <c r="T563" i="4"/>
  <c r="T564" i="4"/>
  <c r="T565" i="4"/>
  <c r="T566" i="4"/>
  <c r="T567" i="4"/>
  <c r="T568" i="4"/>
  <c r="T569" i="4"/>
  <c r="T570" i="4"/>
  <c r="T571" i="4"/>
  <c r="T572" i="4"/>
  <c r="T573" i="4"/>
  <c r="T574" i="4"/>
  <c r="T575" i="4"/>
  <c r="T576" i="4"/>
  <c r="T577" i="4"/>
  <c r="T578" i="4"/>
  <c r="T579" i="4"/>
  <c r="T580" i="4"/>
  <c r="T581" i="4"/>
  <c r="T582" i="4"/>
  <c r="T583" i="4"/>
  <c r="T584" i="4"/>
  <c r="T585" i="4"/>
  <c r="T586" i="4"/>
  <c r="T587" i="4"/>
  <c r="T588" i="4"/>
  <c r="T589" i="4"/>
  <c r="T590" i="4"/>
  <c r="T591" i="4"/>
  <c r="T592" i="4"/>
  <c r="T593" i="4"/>
  <c r="T594" i="4"/>
  <c r="T595" i="4"/>
  <c r="T596" i="4"/>
  <c r="T597" i="4"/>
  <c r="T598" i="4"/>
  <c r="T599" i="4"/>
  <c r="T600" i="4"/>
  <c r="T601" i="4"/>
  <c r="T602" i="4"/>
  <c r="T603" i="4"/>
  <c r="T604" i="4"/>
  <c r="T605" i="4"/>
  <c r="T606" i="4"/>
  <c r="T607" i="4"/>
  <c r="T608" i="4"/>
  <c r="T609" i="4"/>
  <c r="T610" i="4"/>
  <c r="T611" i="4"/>
  <c r="T612" i="4"/>
  <c r="T613" i="4"/>
  <c r="T614" i="4"/>
  <c r="T615" i="4"/>
  <c r="T616" i="4"/>
  <c r="T617" i="4"/>
  <c r="T618" i="4"/>
  <c r="T619" i="4"/>
  <c r="T620" i="4"/>
  <c r="T621" i="4"/>
  <c r="T622" i="4"/>
  <c r="T623" i="4"/>
  <c r="T624" i="4"/>
  <c r="T625" i="4"/>
  <c r="T626" i="4"/>
  <c r="T627" i="4"/>
  <c r="T628" i="4"/>
  <c r="T629" i="4"/>
  <c r="T630" i="4"/>
  <c r="T631" i="4"/>
  <c r="T632" i="4"/>
  <c r="T633" i="4"/>
  <c r="T634" i="4"/>
  <c r="T635" i="4"/>
  <c r="T636" i="4"/>
  <c r="T637" i="4"/>
  <c r="T638" i="4"/>
  <c r="T639" i="4"/>
  <c r="T640" i="4"/>
  <c r="T641" i="4"/>
  <c r="T642" i="4"/>
  <c r="T643" i="4"/>
  <c r="T644" i="4"/>
  <c r="T645" i="4"/>
  <c r="T646" i="4"/>
  <c r="T647" i="4"/>
  <c r="T648" i="4"/>
  <c r="T649" i="4"/>
  <c r="T650" i="4"/>
  <c r="T651" i="4"/>
  <c r="T652" i="4"/>
  <c r="T653" i="4"/>
  <c r="T654" i="4"/>
  <c r="T655" i="4"/>
  <c r="T656" i="4"/>
  <c r="T657" i="4"/>
  <c r="T658" i="4"/>
  <c r="T659" i="4"/>
  <c r="T660" i="4"/>
  <c r="T661" i="4"/>
  <c r="T662" i="4"/>
  <c r="T663" i="4"/>
  <c r="T664" i="4"/>
  <c r="T665" i="4"/>
  <c r="T666" i="4"/>
  <c r="T667" i="4"/>
  <c r="T668" i="4"/>
  <c r="T669" i="4"/>
  <c r="T670" i="4"/>
  <c r="T671" i="4"/>
  <c r="T672" i="4"/>
  <c r="T673" i="4"/>
  <c r="T674" i="4"/>
  <c r="T675" i="4"/>
  <c r="T676" i="4"/>
  <c r="T677" i="4"/>
  <c r="T678" i="4"/>
  <c r="T679" i="4"/>
  <c r="T680" i="4"/>
  <c r="T681" i="4"/>
  <c r="T682" i="4"/>
  <c r="T683" i="4"/>
  <c r="T684" i="4"/>
  <c r="T685" i="4"/>
  <c r="T686" i="4"/>
  <c r="T687" i="4"/>
  <c r="T688" i="4"/>
  <c r="T689" i="4"/>
  <c r="T690" i="4"/>
  <c r="T691" i="4"/>
  <c r="T692" i="4"/>
  <c r="T693" i="4"/>
  <c r="T694" i="4"/>
  <c r="T695" i="4"/>
  <c r="T696" i="4"/>
  <c r="T697" i="4"/>
  <c r="T698" i="4"/>
  <c r="T699" i="4"/>
  <c r="T700" i="4"/>
  <c r="T701" i="4"/>
  <c r="T702" i="4"/>
  <c r="T703" i="4"/>
  <c r="T704" i="4"/>
  <c r="T705" i="4"/>
  <c r="T706" i="4"/>
  <c r="T707" i="4"/>
  <c r="T708" i="4"/>
  <c r="T709" i="4"/>
  <c r="T710" i="4"/>
  <c r="T711" i="4"/>
  <c r="T712" i="4"/>
  <c r="T713" i="4"/>
  <c r="T714" i="4"/>
  <c r="T715" i="4"/>
  <c r="T716" i="4"/>
  <c r="T717" i="4"/>
  <c r="T718" i="4"/>
  <c r="T719" i="4"/>
  <c r="T720" i="4"/>
  <c r="T721" i="4"/>
  <c r="T722" i="4"/>
  <c r="T723" i="4"/>
  <c r="T724" i="4"/>
  <c r="T725" i="4"/>
  <c r="T726" i="4"/>
  <c r="T727" i="4"/>
  <c r="T728" i="4"/>
  <c r="T729" i="4"/>
  <c r="T730" i="4"/>
  <c r="T731" i="4"/>
  <c r="T732" i="4"/>
  <c r="T733" i="4"/>
  <c r="T734" i="4"/>
  <c r="T735" i="4"/>
  <c r="T736" i="4"/>
  <c r="T737" i="4"/>
  <c r="T738" i="4"/>
  <c r="T739" i="4"/>
  <c r="T740" i="4"/>
  <c r="T741" i="4"/>
  <c r="T742" i="4"/>
  <c r="T743" i="4"/>
  <c r="T744" i="4"/>
  <c r="T745" i="4"/>
  <c r="T746" i="4"/>
  <c r="T747" i="4"/>
  <c r="T748" i="4"/>
  <c r="T749" i="4"/>
  <c r="T750" i="4"/>
  <c r="T751" i="4"/>
  <c r="T752" i="4"/>
  <c r="T753" i="4"/>
  <c r="T754" i="4"/>
  <c r="T755" i="4"/>
  <c r="T756" i="4"/>
  <c r="T757" i="4"/>
  <c r="T758" i="4"/>
  <c r="T759" i="4"/>
  <c r="T760" i="4"/>
  <c r="T761" i="4"/>
  <c r="T2" i="4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S110" i="4"/>
  <c r="S111" i="4"/>
  <c r="S112" i="4"/>
  <c r="S113" i="4"/>
  <c r="S114" i="4"/>
  <c r="S115" i="4"/>
  <c r="S116" i="4"/>
  <c r="S117" i="4"/>
  <c r="S118" i="4"/>
  <c r="S119" i="4"/>
  <c r="S120" i="4"/>
  <c r="S121" i="4"/>
  <c r="S122" i="4"/>
  <c r="S123" i="4"/>
  <c r="S124" i="4"/>
  <c r="S125" i="4"/>
  <c r="S126" i="4"/>
  <c r="S127" i="4"/>
  <c r="S128" i="4"/>
  <c r="S129" i="4"/>
  <c r="S130" i="4"/>
  <c r="S131" i="4"/>
  <c r="S132" i="4"/>
  <c r="S133" i="4"/>
  <c r="S134" i="4"/>
  <c r="S135" i="4"/>
  <c r="S136" i="4"/>
  <c r="S137" i="4"/>
  <c r="S138" i="4"/>
  <c r="S139" i="4"/>
  <c r="S140" i="4"/>
  <c r="S141" i="4"/>
  <c r="S142" i="4"/>
  <c r="S143" i="4"/>
  <c r="S144" i="4"/>
  <c r="S145" i="4"/>
  <c r="S146" i="4"/>
  <c r="S147" i="4"/>
  <c r="S148" i="4"/>
  <c r="S149" i="4"/>
  <c r="S150" i="4"/>
  <c r="S151" i="4"/>
  <c r="S152" i="4"/>
  <c r="S153" i="4"/>
  <c r="S154" i="4"/>
  <c r="S155" i="4"/>
  <c r="S156" i="4"/>
  <c r="S157" i="4"/>
  <c r="S158" i="4"/>
  <c r="S159" i="4"/>
  <c r="S160" i="4"/>
  <c r="S161" i="4"/>
  <c r="S162" i="4"/>
  <c r="S163" i="4"/>
  <c r="S164" i="4"/>
  <c r="S165" i="4"/>
  <c r="S166" i="4"/>
  <c r="S167" i="4"/>
  <c r="S168" i="4"/>
  <c r="S169" i="4"/>
  <c r="S170" i="4"/>
  <c r="S171" i="4"/>
  <c r="S172" i="4"/>
  <c r="S173" i="4"/>
  <c r="S174" i="4"/>
  <c r="S175" i="4"/>
  <c r="S176" i="4"/>
  <c r="S177" i="4"/>
  <c r="S178" i="4"/>
  <c r="S179" i="4"/>
  <c r="S180" i="4"/>
  <c r="S181" i="4"/>
  <c r="S182" i="4"/>
  <c r="S183" i="4"/>
  <c r="S184" i="4"/>
  <c r="S185" i="4"/>
  <c r="S186" i="4"/>
  <c r="S187" i="4"/>
  <c r="S188" i="4"/>
  <c r="S189" i="4"/>
  <c r="S190" i="4"/>
  <c r="S191" i="4"/>
  <c r="S192" i="4"/>
  <c r="S193" i="4"/>
  <c r="S194" i="4"/>
  <c r="S195" i="4"/>
  <c r="S196" i="4"/>
  <c r="S197" i="4"/>
  <c r="S198" i="4"/>
  <c r="S199" i="4"/>
  <c r="S200" i="4"/>
  <c r="S201" i="4"/>
  <c r="S202" i="4"/>
  <c r="S203" i="4"/>
  <c r="S204" i="4"/>
  <c r="S205" i="4"/>
  <c r="S206" i="4"/>
  <c r="S207" i="4"/>
  <c r="S208" i="4"/>
  <c r="S209" i="4"/>
  <c r="S210" i="4"/>
  <c r="S211" i="4"/>
  <c r="S212" i="4"/>
  <c r="S213" i="4"/>
  <c r="S214" i="4"/>
  <c r="S215" i="4"/>
  <c r="S216" i="4"/>
  <c r="S217" i="4"/>
  <c r="S218" i="4"/>
  <c r="S219" i="4"/>
  <c r="S220" i="4"/>
  <c r="S221" i="4"/>
  <c r="S222" i="4"/>
  <c r="S223" i="4"/>
  <c r="S224" i="4"/>
  <c r="S225" i="4"/>
  <c r="S226" i="4"/>
  <c r="S227" i="4"/>
  <c r="S228" i="4"/>
  <c r="S229" i="4"/>
  <c r="S230" i="4"/>
  <c r="S231" i="4"/>
  <c r="S232" i="4"/>
  <c r="S233" i="4"/>
  <c r="S234" i="4"/>
  <c r="S235" i="4"/>
  <c r="S236" i="4"/>
  <c r="S237" i="4"/>
  <c r="S238" i="4"/>
  <c r="S239" i="4"/>
  <c r="S240" i="4"/>
  <c r="S241" i="4"/>
  <c r="S242" i="4"/>
  <c r="S243" i="4"/>
  <c r="S244" i="4"/>
  <c r="S245" i="4"/>
  <c r="S246" i="4"/>
  <c r="S247" i="4"/>
  <c r="S248" i="4"/>
  <c r="S249" i="4"/>
  <c r="S250" i="4"/>
  <c r="S251" i="4"/>
  <c r="S252" i="4"/>
  <c r="S253" i="4"/>
  <c r="S254" i="4"/>
  <c r="S255" i="4"/>
  <c r="S256" i="4"/>
  <c r="S257" i="4"/>
  <c r="S258" i="4"/>
  <c r="S259" i="4"/>
  <c r="S260" i="4"/>
  <c r="S261" i="4"/>
  <c r="S262" i="4"/>
  <c r="S263" i="4"/>
  <c r="S264" i="4"/>
  <c r="S265" i="4"/>
  <c r="S266" i="4"/>
  <c r="S267" i="4"/>
  <c r="S268" i="4"/>
  <c r="S269" i="4"/>
  <c r="S270" i="4"/>
  <c r="S271" i="4"/>
  <c r="S272" i="4"/>
  <c r="S273" i="4"/>
  <c r="S274" i="4"/>
  <c r="S275" i="4"/>
  <c r="S276" i="4"/>
  <c r="S277" i="4"/>
  <c r="S278" i="4"/>
  <c r="S279" i="4"/>
  <c r="S280" i="4"/>
  <c r="S281" i="4"/>
  <c r="S282" i="4"/>
  <c r="S283" i="4"/>
  <c r="S284" i="4"/>
  <c r="S285" i="4"/>
  <c r="S286" i="4"/>
  <c r="S287" i="4"/>
  <c r="S288" i="4"/>
  <c r="S289" i="4"/>
  <c r="S290" i="4"/>
  <c r="S291" i="4"/>
  <c r="S292" i="4"/>
  <c r="S293" i="4"/>
  <c r="S294" i="4"/>
  <c r="S295" i="4"/>
  <c r="S296" i="4"/>
  <c r="S297" i="4"/>
  <c r="S298" i="4"/>
  <c r="S299" i="4"/>
  <c r="S300" i="4"/>
  <c r="S301" i="4"/>
  <c r="S302" i="4"/>
  <c r="S303" i="4"/>
  <c r="S304" i="4"/>
  <c r="S305" i="4"/>
  <c r="S306" i="4"/>
  <c r="S307" i="4"/>
  <c r="S308" i="4"/>
  <c r="S309" i="4"/>
  <c r="S310" i="4"/>
  <c r="S311" i="4"/>
  <c r="S312" i="4"/>
  <c r="S313" i="4"/>
  <c r="S314" i="4"/>
  <c r="S315" i="4"/>
  <c r="S316" i="4"/>
  <c r="S317" i="4"/>
  <c r="S318" i="4"/>
  <c r="S319" i="4"/>
  <c r="S320" i="4"/>
  <c r="S321" i="4"/>
  <c r="S322" i="4"/>
  <c r="S323" i="4"/>
  <c r="S324" i="4"/>
  <c r="S325" i="4"/>
  <c r="S326" i="4"/>
  <c r="S327" i="4"/>
  <c r="S328" i="4"/>
  <c r="S329" i="4"/>
  <c r="S330" i="4"/>
  <c r="S331" i="4"/>
  <c r="S332" i="4"/>
  <c r="S333" i="4"/>
  <c r="S334" i="4"/>
  <c r="S335" i="4"/>
  <c r="S336" i="4"/>
  <c r="S337" i="4"/>
  <c r="S338" i="4"/>
  <c r="S339" i="4"/>
  <c r="S340" i="4"/>
  <c r="S341" i="4"/>
  <c r="S342" i="4"/>
  <c r="S343" i="4"/>
  <c r="S344" i="4"/>
  <c r="S345" i="4"/>
  <c r="S346" i="4"/>
  <c r="S347" i="4"/>
  <c r="S348" i="4"/>
  <c r="S349" i="4"/>
  <c r="S350" i="4"/>
  <c r="S351" i="4"/>
  <c r="S352" i="4"/>
  <c r="S353" i="4"/>
  <c r="S354" i="4"/>
  <c r="S355" i="4"/>
  <c r="S356" i="4"/>
  <c r="S357" i="4"/>
  <c r="S358" i="4"/>
  <c r="S359" i="4"/>
  <c r="S360" i="4"/>
  <c r="S361" i="4"/>
  <c r="S362" i="4"/>
  <c r="S363" i="4"/>
  <c r="S364" i="4"/>
  <c r="S365" i="4"/>
  <c r="S366" i="4"/>
  <c r="S367" i="4"/>
  <c r="S368" i="4"/>
  <c r="S369" i="4"/>
  <c r="S370" i="4"/>
  <c r="S371" i="4"/>
  <c r="S372" i="4"/>
  <c r="S373" i="4"/>
  <c r="S374" i="4"/>
  <c r="S375" i="4"/>
  <c r="S376" i="4"/>
  <c r="S377" i="4"/>
  <c r="S378" i="4"/>
  <c r="S379" i="4"/>
  <c r="S380" i="4"/>
  <c r="S381" i="4"/>
  <c r="S382" i="4"/>
  <c r="S383" i="4"/>
  <c r="S384" i="4"/>
  <c r="S385" i="4"/>
  <c r="S386" i="4"/>
  <c r="S387" i="4"/>
  <c r="S388" i="4"/>
  <c r="S389" i="4"/>
  <c r="S390" i="4"/>
  <c r="S391" i="4"/>
  <c r="S392" i="4"/>
  <c r="S393" i="4"/>
  <c r="S394" i="4"/>
  <c r="S395" i="4"/>
  <c r="S396" i="4"/>
  <c r="S397" i="4"/>
  <c r="S398" i="4"/>
  <c r="S399" i="4"/>
  <c r="S400" i="4"/>
  <c r="S401" i="4"/>
  <c r="S402" i="4"/>
  <c r="S403" i="4"/>
  <c r="S404" i="4"/>
  <c r="S405" i="4"/>
  <c r="S406" i="4"/>
  <c r="S407" i="4"/>
  <c r="S408" i="4"/>
  <c r="S409" i="4"/>
  <c r="S410" i="4"/>
  <c r="S411" i="4"/>
  <c r="S412" i="4"/>
  <c r="S413" i="4"/>
  <c r="S414" i="4"/>
  <c r="S415" i="4"/>
  <c r="S416" i="4"/>
  <c r="S417" i="4"/>
  <c r="S418" i="4"/>
  <c r="S419" i="4"/>
  <c r="S420" i="4"/>
  <c r="S421" i="4"/>
  <c r="S422" i="4"/>
  <c r="S423" i="4"/>
  <c r="S424" i="4"/>
  <c r="S425" i="4"/>
  <c r="S426" i="4"/>
  <c r="S427" i="4"/>
  <c r="S428" i="4"/>
  <c r="S429" i="4"/>
  <c r="S430" i="4"/>
  <c r="S431" i="4"/>
  <c r="S432" i="4"/>
  <c r="S433" i="4"/>
  <c r="S434" i="4"/>
  <c r="S435" i="4"/>
  <c r="S436" i="4"/>
  <c r="S437" i="4"/>
  <c r="S438" i="4"/>
  <c r="S439" i="4"/>
  <c r="S440" i="4"/>
  <c r="S441" i="4"/>
  <c r="S442" i="4"/>
  <c r="S443" i="4"/>
  <c r="S444" i="4"/>
  <c r="S445" i="4"/>
  <c r="S446" i="4"/>
  <c r="S447" i="4"/>
  <c r="S448" i="4"/>
  <c r="S449" i="4"/>
  <c r="S450" i="4"/>
  <c r="S451" i="4"/>
  <c r="S452" i="4"/>
  <c r="S453" i="4"/>
  <c r="S454" i="4"/>
  <c r="S455" i="4"/>
  <c r="S456" i="4"/>
  <c r="S457" i="4"/>
  <c r="S458" i="4"/>
  <c r="S459" i="4"/>
  <c r="S460" i="4"/>
  <c r="S461" i="4"/>
  <c r="S462" i="4"/>
  <c r="S463" i="4"/>
  <c r="S464" i="4"/>
  <c r="S465" i="4"/>
  <c r="S466" i="4"/>
  <c r="S467" i="4"/>
  <c r="S468" i="4"/>
  <c r="S469" i="4"/>
  <c r="S470" i="4"/>
  <c r="S471" i="4"/>
  <c r="S472" i="4"/>
  <c r="S473" i="4"/>
  <c r="S474" i="4"/>
  <c r="S475" i="4"/>
  <c r="S476" i="4"/>
  <c r="S477" i="4"/>
  <c r="S478" i="4"/>
  <c r="S479" i="4"/>
  <c r="S480" i="4"/>
  <c r="S481" i="4"/>
  <c r="S482" i="4"/>
  <c r="S483" i="4"/>
  <c r="S484" i="4"/>
  <c r="S485" i="4"/>
  <c r="S486" i="4"/>
  <c r="S487" i="4"/>
  <c r="S488" i="4"/>
  <c r="S489" i="4"/>
  <c r="S490" i="4"/>
  <c r="S491" i="4"/>
  <c r="S492" i="4"/>
  <c r="S493" i="4"/>
  <c r="S494" i="4"/>
  <c r="S495" i="4"/>
  <c r="S496" i="4"/>
  <c r="S497" i="4"/>
  <c r="S498" i="4"/>
  <c r="S499" i="4"/>
  <c r="S500" i="4"/>
  <c r="S501" i="4"/>
  <c r="S502" i="4"/>
  <c r="S503" i="4"/>
  <c r="S504" i="4"/>
  <c r="S505" i="4"/>
  <c r="S506" i="4"/>
  <c r="S507" i="4"/>
  <c r="S508" i="4"/>
  <c r="S509" i="4"/>
  <c r="S510" i="4"/>
  <c r="S511" i="4"/>
  <c r="S512" i="4"/>
  <c r="S513" i="4"/>
  <c r="S514" i="4"/>
  <c r="S515" i="4"/>
  <c r="S516" i="4"/>
  <c r="S517" i="4"/>
  <c r="S518" i="4"/>
  <c r="S519" i="4"/>
  <c r="S520" i="4"/>
  <c r="S521" i="4"/>
  <c r="S522" i="4"/>
  <c r="S523" i="4"/>
  <c r="S524" i="4"/>
  <c r="S525" i="4"/>
  <c r="S526" i="4"/>
  <c r="S527" i="4"/>
  <c r="S528" i="4"/>
  <c r="S529" i="4"/>
  <c r="S530" i="4"/>
  <c r="S531" i="4"/>
  <c r="S532" i="4"/>
  <c r="S533" i="4"/>
  <c r="S534" i="4"/>
  <c r="S535" i="4"/>
  <c r="S536" i="4"/>
  <c r="S537" i="4"/>
  <c r="S538" i="4"/>
  <c r="S539" i="4"/>
  <c r="S540" i="4"/>
  <c r="S541" i="4"/>
  <c r="S542" i="4"/>
  <c r="S543" i="4"/>
  <c r="S544" i="4"/>
  <c r="S545" i="4"/>
  <c r="S546" i="4"/>
  <c r="S547" i="4"/>
  <c r="S548" i="4"/>
  <c r="S549" i="4"/>
  <c r="S550" i="4"/>
  <c r="S551" i="4"/>
  <c r="S552" i="4"/>
  <c r="S553" i="4"/>
  <c r="S554" i="4"/>
  <c r="S555" i="4"/>
  <c r="S556" i="4"/>
  <c r="S557" i="4"/>
  <c r="S558" i="4"/>
  <c r="S559" i="4"/>
  <c r="S560" i="4"/>
  <c r="S561" i="4"/>
  <c r="S562" i="4"/>
  <c r="S563" i="4"/>
  <c r="S564" i="4"/>
  <c r="S565" i="4"/>
  <c r="S566" i="4"/>
  <c r="S567" i="4"/>
  <c r="S568" i="4"/>
  <c r="S569" i="4"/>
  <c r="S570" i="4"/>
  <c r="S571" i="4"/>
  <c r="S572" i="4"/>
  <c r="S573" i="4"/>
  <c r="S574" i="4"/>
  <c r="S575" i="4"/>
  <c r="S576" i="4"/>
  <c r="S577" i="4"/>
  <c r="S578" i="4"/>
  <c r="S579" i="4"/>
  <c r="S580" i="4"/>
  <c r="S581" i="4"/>
  <c r="S582" i="4"/>
  <c r="S583" i="4"/>
  <c r="S584" i="4"/>
  <c r="S585" i="4"/>
  <c r="S586" i="4"/>
  <c r="S587" i="4"/>
  <c r="S588" i="4"/>
  <c r="S589" i="4"/>
  <c r="S590" i="4"/>
  <c r="S591" i="4"/>
  <c r="S592" i="4"/>
  <c r="S593" i="4"/>
  <c r="S594" i="4"/>
  <c r="S595" i="4"/>
  <c r="S596" i="4"/>
  <c r="S597" i="4"/>
  <c r="S598" i="4"/>
  <c r="S599" i="4"/>
  <c r="S600" i="4"/>
  <c r="S601" i="4"/>
  <c r="S602" i="4"/>
  <c r="S603" i="4"/>
  <c r="S604" i="4"/>
  <c r="S605" i="4"/>
  <c r="S606" i="4"/>
  <c r="S607" i="4"/>
  <c r="S608" i="4"/>
  <c r="S609" i="4"/>
  <c r="S610" i="4"/>
  <c r="S611" i="4"/>
  <c r="S612" i="4"/>
  <c r="S613" i="4"/>
  <c r="S614" i="4"/>
  <c r="S615" i="4"/>
  <c r="S616" i="4"/>
  <c r="S617" i="4"/>
  <c r="S618" i="4"/>
  <c r="S619" i="4"/>
  <c r="S620" i="4"/>
  <c r="S621" i="4"/>
  <c r="S622" i="4"/>
  <c r="S623" i="4"/>
  <c r="S624" i="4"/>
  <c r="S625" i="4"/>
  <c r="S626" i="4"/>
  <c r="S627" i="4"/>
  <c r="S628" i="4"/>
  <c r="S629" i="4"/>
  <c r="S630" i="4"/>
  <c r="S631" i="4"/>
  <c r="S632" i="4"/>
  <c r="S633" i="4"/>
  <c r="S634" i="4"/>
  <c r="S635" i="4"/>
  <c r="S636" i="4"/>
  <c r="S637" i="4"/>
  <c r="S638" i="4"/>
  <c r="S639" i="4"/>
  <c r="S640" i="4"/>
  <c r="S641" i="4"/>
  <c r="S642" i="4"/>
  <c r="S643" i="4"/>
  <c r="S644" i="4"/>
  <c r="S645" i="4"/>
  <c r="S646" i="4"/>
  <c r="S647" i="4"/>
  <c r="S648" i="4"/>
  <c r="S649" i="4"/>
  <c r="S650" i="4"/>
  <c r="S651" i="4"/>
  <c r="S652" i="4"/>
  <c r="S653" i="4"/>
  <c r="S654" i="4"/>
  <c r="S655" i="4"/>
  <c r="S656" i="4"/>
  <c r="S657" i="4"/>
  <c r="S658" i="4"/>
  <c r="S659" i="4"/>
  <c r="S660" i="4"/>
  <c r="S661" i="4"/>
  <c r="S662" i="4"/>
  <c r="S663" i="4"/>
  <c r="S664" i="4"/>
  <c r="S665" i="4"/>
  <c r="S666" i="4"/>
  <c r="S667" i="4"/>
  <c r="S668" i="4"/>
  <c r="S669" i="4"/>
  <c r="S670" i="4"/>
  <c r="S671" i="4"/>
  <c r="S672" i="4"/>
  <c r="S673" i="4"/>
  <c r="S674" i="4"/>
  <c r="S675" i="4"/>
  <c r="S676" i="4"/>
  <c r="S677" i="4"/>
  <c r="S678" i="4"/>
  <c r="S679" i="4"/>
  <c r="S680" i="4"/>
  <c r="S681" i="4"/>
  <c r="S682" i="4"/>
  <c r="S683" i="4"/>
  <c r="S684" i="4"/>
  <c r="S685" i="4"/>
  <c r="S686" i="4"/>
  <c r="S687" i="4"/>
  <c r="S688" i="4"/>
  <c r="S689" i="4"/>
  <c r="S690" i="4"/>
  <c r="S691" i="4"/>
  <c r="S692" i="4"/>
  <c r="S693" i="4"/>
  <c r="S694" i="4"/>
  <c r="S695" i="4"/>
  <c r="S696" i="4"/>
  <c r="S697" i="4"/>
  <c r="S698" i="4"/>
  <c r="S699" i="4"/>
  <c r="S700" i="4"/>
  <c r="S701" i="4"/>
  <c r="S702" i="4"/>
  <c r="S703" i="4"/>
  <c r="S704" i="4"/>
  <c r="S705" i="4"/>
  <c r="S706" i="4"/>
  <c r="S707" i="4"/>
  <c r="S708" i="4"/>
  <c r="S709" i="4"/>
  <c r="S710" i="4"/>
  <c r="S711" i="4"/>
  <c r="S712" i="4"/>
  <c r="S713" i="4"/>
  <c r="S714" i="4"/>
  <c r="S715" i="4"/>
  <c r="S716" i="4"/>
  <c r="S717" i="4"/>
  <c r="S718" i="4"/>
  <c r="S719" i="4"/>
  <c r="S720" i="4"/>
  <c r="S721" i="4"/>
  <c r="S722" i="4"/>
  <c r="S723" i="4"/>
  <c r="S724" i="4"/>
  <c r="S725" i="4"/>
  <c r="S726" i="4"/>
  <c r="S727" i="4"/>
  <c r="S728" i="4"/>
  <c r="S729" i="4"/>
  <c r="S730" i="4"/>
  <c r="S731" i="4"/>
  <c r="S732" i="4"/>
  <c r="S733" i="4"/>
  <c r="S734" i="4"/>
  <c r="S735" i="4"/>
  <c r="S736" i="4"/>
  <c r="S737" i="4"/>
  <c r="S738" i="4"/>
  <c r="S739" i="4"/>
  <c r="S740" i="4"/>
  <c r="S741" i="4"/>
  <c r="S742" i="4"/>
  <c r="S743" i="4"/>
  <c r="S744" i="4"/>
  <c r="S745" i="4"/>
  <c r="S746" i="4"/>
  <c r="S747" i="4"/>
  <c r="S748" i="4"/>
  <c r="S749" i="4"/>
  <c r="S750" i="4"/>
  <c r="S751" i="4"/>
  <c r="S752" i="4"/>
  <c r="S753" i="4"/>
  <c r="S754" i="4"/>
  <c r="S755" i="4"/>
  <c r="S756" i="4"/>
  <c r="S757" i="4"/>
  <c r="S758" i="4"/>
  <c r="S759" i="4"/>
  <c r="S760" i="4"/>
  <c r="S761" i="4"/>
  <c r="S2" i="4"/>
  <c r="R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1" i="4"/>
  <c r="R342" i="4"/>
  <c r="R343" i="4"/>
  <c r="R344" i="4"/>
  <c r="R345" i="4"/>
  <c r="R346" i="4"/>
  <c r="R347" i="4"/>
  <c r="R348" i="4"/>
  <c r="R349" i="4"/>
  <c r="R350" i="4"/>
  <c r="R351" i="4"/>
  <c r="R352" i="4"/>
  <c r="R353" i="4"/>
  <c r="R354" i="4"/>
  <c r="R355" i="4"/>
  <c r="R356" i="4"/>
  <c r="R357" i="4"/>
  <c r="R358" i="4"/>
  <c r="R359" i="4"/>
  <c r="R360" i="4"/>
  <c r="R361" i="4"/>
  <c r="R362" i="4"/>
  <c r="R363" i="4"/>
  <c r="R364" i="4"/>
  <c r="R365" i="4"/>
  <c r="R366" i="4"/>
  <c r="R367" i="4"/>
  <c r="R368" i="4"/>
  <c r="R369" i="4"/>
  <c r="R370" i="4"/>
  <c r="R371" i="4"/>
  <c r="R372" i="4"/>
  <c r="R373" i="4"/>
  <c r="R374" i="4"/>
  <c r="R375" i="4"/>
  <c r="R376" i="4"/>
  <c r="R377" i="4"/>
  <c r="R378" i="4"/>
  <c r="R379" i="4"/>
  <c r="R380" i="4"/>
  <c r="R381" i="4"/>
  <c r="R382" i="4"/>
  <c r="R383" i="4"/>
  <c r="R384" i="4"/>
  <c r="R385" i="4"/>
  <c r="R386" i="4"/>
  <c r="R387" i="4"/>
  <c r="R388" i="4"/>
  <c r="R389" i="4"/>
  <c r="R390" i="4"/>
  <c r="R391" i="4"/>
  <c r="R392" i="4"/>
  <c r="R393" i="4"/>
  <c r="R394" i="4"/>
  <c r="R395" i="4"/>
  <c r="R396" i="4"/>
  <c r="R397" i="4"/>
  <c r="R398" i="4"/>
  <c r="R399" i="4"/>
  <c r="R400" i="4"/>
  <c r="R401" i="4"/>
  <c r="R402" i="4"/>
  <c r="R403" i="4"/>
  <c r="R404" i="4"/>
  <c r="R405" i="4"/>
  <c r="R406" i="4"/>
  <c r="R407" i="4"/>
  <c r="R408" i="4"/>
  <c r="R409" i="4"/>
  <c r="R410" i="4"/>
  <c r="R411" i="4"/>
  <c r="R412" i="4"/>
  <c r="R413" i="4"/>
  <c r="R414" i="4"/>
  <c r="R415" i="4"/>
  <c r="R416" i="4"/>
  <c r="R417" i="4"/>
  <c r="R418" i="4"/>
  <c r="R419" i="4"/>
  <c r="R420" i="4"/>
  <c r="R421" i="4"/>
  <c r="R422" i="4"/>
  <c r="R423" i="4"/>
  <c r="R424" i="4"/>
  <c r="R425" i="4"/>
  <c r="R426" i="4"/>
  <c r="R427" i="4"/>
  <c r="R428" i="4"/>
  <c r="R429" i="4"/>
  <c r="R430" i="4"/>
  <c r="R431" i="4"/>
  <c r="R432" i="4"/>
  <c r="R433" i="4"/>
  <c r="R434" i="4"/>
  <c r="R435" i="4"/>
  <c r="R436" i="4"/>
  <c r="R437" i="4"/>
  <c r="R438" i="4"/>
  <c r="R439" i="4"/>
  <c r="R440" i="4"/>
  <c r="R441" i="4"/>
  <c r="R442" i="4"/>
  <c r="R443" i="4"/>
  <c r="R444" i="4"/>
  <c r="R445" i="4"/>
  <c r="R446" i="4"/>
  <c r="R447" i="4"/>
  <c r="R448" i="4"/>
  <c r="R449" i="4"/>
  <c r="R450" i="4"/>
  <c r="R451" i="4"/>
  <c r="R452" i="4"/>
  <c r="R453" i="4"/>
  <c r="R454" i="4"/>
  <c r="R455" i="4"/>
  <c r="R456" i="4"/>
  <c r="R457" i="4"/>
  <c r="R458" i="4"/>
  <c r="R459" i="4"/>
  <c r="R460" i="4"/>
  <c r="R461" i="4"/>
  <c r="R462" i="4"/>
  <c r="R463" i="4"/>
  <c r="R464" i="4"/>
  <c r="R465" i="4"/>
  <c r="R466" i="4"/>
  <c r="R467" i="4"/>
  <c r="R468" i="4"/>
  <c r="R469" i="4"/>
  <c r="R470" i="4"/>
  <c r="R471" i="4"/>
  <c r="R472" i="4"/>
  <c r="R473" i="4"/>
  <c r="R474" i="4"/>
  <c r="R475" i="4"/>
  <c r="R476" i="4"/>
  <c r="R477" i="4"/>
  <c r="R478" i="4"/>
  <c r="R479" i="4"/>
  <c r="R480" i="4"/>
  <c r="R481" i="4"/>
  <c r="R482" i="4"/>
  <c r="R483" i="4"/>
  <c r="R484" i="4"/>
  <c r="R485" i="4"/>
  <c r="R486" i="4"/>
  <c r="R487" i="4"/>
  <c r="R488" i="4"/>
  <c r="R489" i="4"/>
  <c r="R490" i="4"/>
  <c r="R491" i="4"/>
  <c r="R492" i="4"/>
  <c r="R493" i="4"/>
  <c r="R494" i="4"/>
  <c r="R495" i="4"/>
  <c r="R496" i="4"/>
  <c r="R497" i="4"/>
  <c r="R498" i="4"/>
  <c r="R499" i="4"/>
  <c r="R500" i="4"/>
  <c r="R501" i="4"/>
  <c r="R502" i="4"/>
  <c r="R503" i="4"/>
  <c r="R504" i="4"/>
  <c r="R505" i="4"/>
  <c r="R506" i="4"/>
  <c r="R507" i="4"/>
  <c r="R508" i="4"/>
  <c r="R509" i="4"/>
  <c r="R510" i="4"/>
  <c r="R511" i="4"/>
  <c r="R512" i="4"/>
  <c r="R513" i="4"/>
  <c r="R514" i="4"/>
  <c r="R515" i="4"/>
  <c r="R516" i="4"/>
  <c r="R517" i="4"/>
  <c r="R518" i="4"/>
  <c r="R519" i="4"/>
  <c r="R520" i="4"/>
  <c r="R521" i="4"/>
  <c r="R522" i="4"/>
  <c r="R523" i="4"/>
  <c r="R524" i="4"/>
  <c r="R525" i="4"/>
  <c r="R526" i="4"/>
  <c r="R527" i="4"/>
  <c r="R528" i="4"/>
  <c r="R529" i="4"/>
  <c r="R530" i="4"/>
  <c r="R531" i="4"/>
  <c r="R532" i="4"/>
  <c r="R533" i="4"/>
  <c r="R534" i="4"/>
  <c r="R535" i="4"/>
  <c r="R536" i="4"/>
  <c r="R537" i="4"/>
  <c r="R538" i="4"/>
  <c r="R539" i="4"/>
  <c r="R540" i="4"/>
  <c r="R541" i="4"/>
  <c r="R542" i="4"/>
  <c r="R543" i="4"/>
  <c r="R544" i="4"/>
  <c r="R545" i="4"/>
  <c r="R546" i="4"/>
  <c r="R547" i="4"/>
  <c r="R548" i="4"/>
  <c r="R549" i="4"/>
  <c r="R550" i="4"/>
  <c r="R551" i="4"/>
  <c r="R552" i="4"/>
  <c r="R553" i="4"/>
  <c r="R554" i="4"/>
  <c r="R555" i="4"/>
  <c r="R556" i="4"/>
  <c r="R557" i="4"/>
  <c r="R558" i="4"/>
  <c r="R559" i="4"/>
  <c r="R560" i="4"/>
  <c r="R561" i="4"/>
  <c r="R562" i="4"/>
  <c r="R563" i="4"/>
  <c r="R564" i="4"/>
  <c r="R565" i="4"/>
  <c r="R566" i="4"/>
  <c r="R567" i="4"/>
  <c r="R568" i="4"/>
  <c r="R569" i="4"/>
  <c r="R570" i="4"/>
  <c r="R571" i="4"/>
  <c r="R572" i="4"/>
  <c r="R573" i="4"/>
  <c r="R574" i="4"/>
  <c r="R575" i="4"/>
  <c r="R576" i="4"/>
  <c r="R577" i="4"/>
  <c r="R578" i="4"/>
  <c r="R579" i="4"/>
  <c r="R580" i="4"/>
  <c r="R581" i="4"/>
  <c r="R582" i="4"/>
  <c r="R583" i="4"/>
  <c r="R584" i="4"/>
  <c r="R585" i="4"/>
  <c r="R586" i="4"/>
  <c r="R587" i="4"/>
  <c r="R588" i="4"/>
  <c r="R589" i="4"/>
  <c r="R590" i="4"/>
  <c r="R591" i="4"/>
  <c r="R592" i="4"/>
  <c r="R593" i="4"/>
  <c r="R594" i="4"/>
  <c r="R595" i="4"/>
  <c r="R596" i="4"/>
  <c r="R597" i="4"/>
  <c r="R598" i="4"/>
  <c r="R599" i="4"/>
  <c r="R600" i="4"/>
  <c r="R601" i="4"/>
  <c r="R602" i="4"/>
  <c r="R603" i="4"/>
  <c r="R604" i="4"/>
  <c r="R605" i="4"/>
  <c r="R606" i="4"/>
  <c r="R607" i="4"/>
  <c r="R608" i="4"/>
  <c r="R609" i="4"/>
  <c r="R610" i="4"/>
  <c r="R611" i="4"/>
  <c r="R612" i="4"/>
  <c r="R613" i="4"/>
  <c r="R614" i="4"/>
  <c r="R615" i="4"/>
  <c r="R616" i="4"/>
  <c r="R617" i="4"/>
  <c r="R618" i="4"/>
  <c r="R619" i="4"/>
  <c r="R620" i="4"/>
  <c r="R621" i="4"/>
  <c r="R622" i="4"/>
  <c r="R623" i="4"/>
  <c r="R624" i="4"/>
  <c r="R625" i="4"/>
  <c r="R626" i="4"/>
  <c r="R627" i="4"/>
  <c r="R628" i="4"/>
  <c r="R629" i="4"/>
  <c r="R630" i="4"/>
  <c r="R631" i="4"/>
  <c r="R632" i="4"/>
  <c r="R633" i="4"/>
  <c r="R634" i="4"/>
  <c r="R635" i="4"/>
  <c r="R636" i="4"/>
  <c r="R637" i="4"/>
  <c r="R638" i="4"/>
  <c r="R639" i="4"/>
  <c r="R640" i="4"/>
  <c r="R641" i="4"/>
  <c r="R642" i="4"/>
  <c r="R643" i="4"/>
  <c r="R644" i="4"/>
  <c r="R645" i="4"/>
  <c r="R646" i="4"/>
  <c r="R647" i="4"/>
  <c r="R648" i="4"/>
  <c r="R649" i="4"/>
  <c r="R650" i="4"/>
  <c r="R651" i="4"/>
  <c r="R652" i="4"/>
  <c r="R653" i="4"/>
  <c r="R654" i="4"/>
  <c r="R655" i="4"/>
  <c r="R656" i="4"/>
  <c r="R657" i="4"/>
  <c r="R658" i="4"/>
  <c r="R659" i="4"/>
  <c r="R660" i="4"/>
  <c r="R661" i="4"/>
  <c r="R662" i="4"/>
  <c r="R663" i="4"/>
  <c r="R664" i="4"/>
  <c r="R665" i="4"/>
  <c r="R666" i="4"/>
  <c r="R667" i="4"/>
  <c r="R668" i="4"/>
  <c r="R669" i="4"/>
  <c r="R670" i="4"/>
  <c r="R671" i="4"/>
  <c r="R672" i="4"/>
  <c r="R673" i="4"/>
  <c r="R674" i="4"/>
  <c r="R675" i="4"/>
  <c r="R676" i="4"/>
  <c r="R677" i="4"/>
  <c r="R678" i="4"/>
  <c r="R679" i="4"/>
  <c r="R680" i="4"/>
  <c r="R681" i="4"/>
  <c r="R682" i="4"/>
  <c r="R683" i="4"/>
  <c r="R684" i="4"/>
  <c r="R685" i="4"/>
  <c r="R686" i="4"/>
  <c r="R687" i="4"/>
  <c r="R688" i="4"/>
  <c r="R689" i="4"/>
  <c r="R690" i="4"/>
  <c r="R691" i="4"/>
  <c r="R692" i="4"/>
  <c r="R693" i="4"/>
  <c r="R694" i="4"/>
  <c r="R695" i="4"/>
  <c r="R696" i="4"/>
  <c r="R697" i="4"/>
  <c r="R698" i="4"/>
  <c r="R699" i="4"/>
  <c r="R700" i="4"/>
  <c r="R701" i="4"/>
  <c r="R702" i="4"/>
  <c r="R703" i="4"/>
  <c r="R704" i="4"/>
  <c r="R705" i="4"/>
  <c r="R706" i="4"/>
  <c r="R707" i="4"/>
  <c r="R708" i="4"/>
  <c r="R709" i="4"/>
  <c r="R710" i="4"/>
  <c r="R711" i="4"/>
  <c r="R712" i="4"/>
  <c r="R713" i="4"/>
  <c r="R714" i="4"/>
  <c r="R715" i="4"/>
  <c r="R716" i="4"/>
  <c r="R717" i="4"/>
  <c r="R718" i="4"/>
  <c r="R719" i="4"/>
  <c r="R720" i="4"/>
  <c r="R721" i="4"/>
  <c r="R722" i="4"/>
  <c r="R723" i="4"/>
  <c r="R724" i="4"/>
  <c r="R725" i="4"/>
  <c r="R726" i="4"/>
  <c r="R727" i="4"/>
  <c r="R728" i="4"/>
  <c r="R729" i="4"/>
  <c r="R730" i="4"/>
  <c r="R731" i="4"/>
  <c r="R732" i="4"/>
  <c r="R733" i="4"/>
  <c r="R734" i="4"/>
  <c r="R735" i="4"/>
  <c r="R736" i="4"/>
  <c r="R737" i="4"/>
  <c r="R738" i="4"/>
  <c r="R739" i="4"/>
  <c r="R740" i="4"/>
  <c r="R741" i="4"/>
  <c r="R742" i="4"/>
  <c r="R743" i="4"/>
  <c r="R744" i="4"/>
  <c r="R745" i="4"/>
  <c r="R746" i="4"/>
  <c r="R747" i="4"/>
  <c r="R748" i="4"/>
  <c r="R749" i="4"/>
  <c r="R750" i="4"/>
  <c r="R751" i="4"/>
  <c r="R752" i="4"/>
  <c r="R753" i="4"/>
  <c r="R754" i="4"/>
  <c r="R755" i="4"/>
  <c r="R756" i="4"/>
  <c r="R757" i="4"/>
  <c r="R758" i="4"/>
  <c r="R759" i="4"/>
  <c r="R760" i="4"/>
  <c r="R761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209" i="4"/>
  <c r="X210" i="4"/>
  <c r="X211" i="4"/>
  <c r="X212" i="4"/>
  <c r="X213" i="4"/>
  <c r="X214" i="4"/>
  <c r="X215" i="4"/>
  <c r="X216" i="4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X237" i="4"/>
  <c r="X238" i="4"/>
  <c r="X239" i="4"/>
  <c r="X240" i="4"/>
  <c r="X241" i="4"/>
  <c r="X242" i="4"/>
  <c r="X243" i="4"/>
  <c r="X244" i="4"/>
  <c r="X245" i="4"/>
  <c r="X246" i="4"/>
  <c r="X247" i="4"/>
  <c r="X248" i="4"/>
  <c r="X249" i="4"/>
  <c r="X250" i="4"/>
  <c r="X251" i="4"/>
  <c r="X252" i="4"/>
  <c r="X253" i="4"/>
  <c r="X254" i="4"/>
  <c r="X255" i="4"/>
  <c r="X256" i="4"/>
  <c r="X257" i="4"/>
  <c r="X258" i="4"/>
  <c r="X259" i="4"/>
  <c r="X260" i="4"/>
  <c r="X261" i="4"/>
  <c r="X262" i="4"/>
  <c r="X263" i="4"/>
  <c r="X264" i="4"/>
  <c r="X265" i="4"/>
  <c r="X266" i="4"/>
  <c r="X267" i="4"/>
  <c r="X268" i="4"/>
  <c r="X269" i="4"/>
  <c r="X270" i="4"/>
  <c r="X271" i="4"/>
  <c r="X272" i="4"/>
  <c r="X273" i="4"/>
  <c r="X274" i="4"/>
  <c r="X275" i="4"/>
  <c r="X276" i="4"/>
  <c r="X277" i="4"/>
  <c r="X278" i="4"/>
  <c r="X279" i="4"/>
  <c r="X280" i="4"/>
  <c r="X281" i="4"/>
  <c r="X282" i="4"/>
  <c r="X283" i="4"/>
  <c r="X284" i="4"/>
  <c r="X285" i="4"/>
  <c r="X286" i="4"/>
  <c r="X287" i="4"/>
  <c r="X288" i="4"/>
  <c r="X289" i="4"/>
  <c r="X290" i="4"/>
  <c r="X291" i="4"/>
  <c r="X292" i="4"/>
  <c r="X293" i="4"/>
  <c r="X294" i="4"/>
  <c r="X295" i="4"/>
  <c r="X296" i="4"/>
  <c r="X297" i="4"/>
  <c r="X298" i="4"/>
  <c r="X299" i="4"/>
  <c r="X300" i="4"/>
  <c r="X301" i="4"/>
  <c r="X302" i="4"/>
  <c r="X303" i="4"/>
  <c r="X304" i="4"/>
  <c r="X305" i="4"/>
  <c r="X306" i="4"/>
  <c r="X307" i="4"/>
  <c r="X308" i="4"/>
  <c r="X309" i="4"/>
  <c r="X310" i="4"/>
  <c r="X311" i="4"/>
  <c r="X312" i="4"/>
  <c r="X313" i="4"/>
  <c r="X314" i="4"/>
  <c r="X315" i="4"/>
  <c r="X316" i="4"/>
  <c r="X317" i="4"/>
  <c r="X318" i="4"/>
  <c r="X319" i="4"/>
  <c r="X320" i="4"/>
  <c r="X321" i="4"/>
  <c r="X322" i="4"/>
  <c r="X323" i="4"/>
  <c r="X324" i="4"/>
  <c r="X325" i="4"/>
  <c r="X326" i="4"/>
  <c r="X327" i="4"/>
  <c r="X328" i="4"/>
  <c r="X329" i="4"/>
  <c r="X330" i="4"/>
  <c r="X331" i="4"/>
  <c r="X332" i="4"/>
  <c r="X333" i="4"/>
  <c r="X334" i="4"/>
  <c r="X335" i="4"/>
  <c r="X336" i="4"/>
  <c r="X337" i="4"/>
  <c r="X338" i="4"/>
  <c r="X339" i="4"/>
  <c r="X340" i="4"/>
  <c r="X341" i="4"/>
  <c r="X342" i="4"/>
  <c r="X343" i="4"/>
  <c r="X344" i="4"/>
  <c r="X345" i="4"/>
  <c r="X346" i="4"/>
  <c r="X347" i="4"/>
  <c r="X348" i="4"/>
  <c r="X349" i="4"/>
  <c r="X350" i="4"/>
  <c r="X351" i="4"/>
  <c r="X352" i="4"/>
  <c r="X353" i="4"/>
  <c r="X354" i="4"/>
  <c r="X355" i="4"/>
  <c r="X356" i="4"/>
  <c r="X357" i="4"/>
  <c r="X358" i="4"/>
  <c r="X359" i="4"/>
  <c r="X360" i="4"/>
  <c r="X361" i="4"/>
  <c r="X362" i="4"/>
  <c r="X363" i="4"/>
  <c r="X364" i="4"/>
  <c r="X365" i="4"/>
  <c r="X366" i="4"/>
  <c r="X367" i="4"/>
  <c r="X368" i="4"/>
  <c r="X369" i="4"/>
  <c r="X370" i="4"/>
  <c r="X371" i="4"/>
  <c r="X372" i="4"/>
  <c r="X373" i="4"/>
  <c r="X374" i="4"/>
  <c r="X375" i="4"/>
  <c r="X376" i="4"/>
  <c r="X377" i="4"/>
  <c r="X378" i="4"/>
  <c r="X379" i="4"/>
  <c r="X380" i="4"/>
  <c r="X381" i="4"/>
  <c r="X382" i="4"/>
  <c r="X383" i="4"/>
  <c r="X384" i="4"/>
  <c r="X385" i="4"/>
  <c r="X386" i="4"/>
  <c r="X387" i="4"/>
  <c r="X388" i="4"/>
  <c r="X389" i="4"/>
  <c r="X390" i="4"/>
  <c r="X391" i="4"/>
  <c r="X392" i="4"/>
  <c r="X393" i="4"/>
  <c r="X394" i="4"/>
  <c r="X395" i="4"/>
  <c r="X396" i="4"/>
  <c r="X397" i="4"/>
  <c r="X398" i="4"/>
  <c r="X399" i="4"/>
  <c r="X400" i="4"/>
  <c r="X401" i="4"/>
  <c r="X402" i="4"/>
  <c r="X403" i="4"/>
  <c r="X404" i="4"/>
  <c r="X405" i="4"/>
  <c r="X406" i="4"/>
  <c r="X407" i="4"/>
  <c r="X408" i="4"/>
  <c r="X409" i="4"/>
  <c r="X410" i="4"/>
  <c r="X411" i="4"/>
  <c r="X412" i="4"/>
  <c r="X413" i="4"/>
  <c r="X414" i="4"/>
  <c r="X415" i="4"/>
  <c r="X416" i="4"/>
  <c r="X417" i="4"/>
  <c r="X418" i="4"/>
  <c r="X419" i="4"/>
  <c r="X420" i="4"/>
  <c r="X421" i="4"/>
  <c r="X422" i="4"/>
  <c r="X423" i="4"/>
  <c r="X424" i="4"/>
  <c r="X425" i="4"/>
  <c r="X426" i="4"/>
  <c r="X427" i="4"/>
  <c r="X428" i="4"/>
  <c r="X429" i="4"/>
  <c r="X430" i="4"/>
  <c r="X431" i="4"/>
  <c r="X432" i="4"/>
  <c r="X433" i="4"/>
  <c r="X434" i="4"/>
  <c r="X435" i="4"/>
  <c r="X436" i="4"/>
  <c r="X437" i="4"/>
  <c r="X438" i="4"/>
  <c r="X439" i="4"/>
  <c r="X440" i="4"/>
  <c r="X441" i="4"/>
  <c r="X442" i="4"/>
  <c r="X443" i="4"/>
  <c r="X444" i="4"/>
  <c r="X445" i="4"/>
  <c r="X446" i="4"/>
  <c r="X447" i="4"/>
  <c r="X448" i="4"/>
  <c r="X449" i="4"/>
  <c r="X450" i="4"/>
  <c r="X451" i="4"/>
  <c r="X452" i="4"/>
  <c r="X453" i="4"/>
  <c r="X454" i="4"/>
  <c r="X455" i="4"/>
  <c r="X456" i="4"/>
  <c r="X457" i="4"/>
  <c r="X458" i="4"/>
  <c r="X459" i="4"/>
  <c r="X460" i="4"/>
  <c r="X461" i="4"/>
  <c r="X462" i="4"/>
  <c r="X463" i="4"/>
  <c r="X464" i="4"/>
  <c r="X465" i="4"/>
  <c r="X466" i="4"/>
  <c r="X467" i="4"/>
  <c r="X468" i="4"/>
  <c r="X469" i="4"/>
  <c r="X470" i="4"/>
  <c r="X471" i="4"/>
  <c r="X472" i="4"/>
  <c r="X473" i="4"/>
  <c r="X474" i="4"/>
  <c r="X475" i="4"/>
  <c r="X476" i="4"/>
  <c r="X477" i="4"/>
  <c r="X478" i="4"/>
  <c r="X479" i="4"/>
  <c r="X480" i="4"/>
  <c r="X481" i="4"/>
  <c r="X482" i="4"/>
  <c r="X483" i="4"/>
  <c r="X484" i="4"/>
  <c r="X485" i="4"/>
  <c r="X486" i="4"/>
  <c r="X487" i="4"/>
  <c r="X488" i="4"/>
  <c r="X489" i="4"/>
  <c r="X490" i="4"/>
  <c r="X491" i="4"/>
  <c r="X492" i="4"/>
  <c r="X493" i="4"/>
  <c r="X494" i="4"/>
  <c r="X495" i="4"/>
  <c r="X496" i="4"/>
  <c r="X497" i="4"/>
  <c r="X498" i="4"/>
  <c r="X499" i="4"/>
  <c r="X500" i="4"/>
  <c r="X501" i="4"/>
  <c r="X502" i="4"/>
  <c r="X503" i="4"/>
  <c r="X504" i="4"/>
  <c r="X505" i="4"/>
  <c r="X506" i="4"/>
  <c r="X507" i="4"/>
  <c r="X508" i="4"/>
  <c r="X509" i="4"/>
  <c r="X510" i="4"/>
  <c r="X511" i="4"/>
  <c r="X512" i="4"/>
  <c r="X513" i="4"/>
  <c r="X514" i="4"/>
  <c r="X515" i="4"/>
  <c r="X516" i="4"/>
  <c r="X517" i="4"/>
  <c r="X518" i="4"/>
  <c r="X519" i="4"/>
  <c r="X520" i="4"/>
  <c r="X521" i="4"/>
  <c r="X522" i="4"/>
  <c r="X523" i="4"/>
  <c r="X524" i="4"/>
  <c r="X525" i="4"/>
  <c r="X526" i="4"/>
  <c r="X527" i="4"/>
  <c r="X528" i="4"/>
  <c r="X529" i="4"/>
  <c r="X530" i="4"/>
  <c r="X531" i="4"/>
  <c r="X532" i="4"/>
  <c r="X533" i="4"/>
  <c r="X534" i="4"/>
  <c r="X535" i="4"/>
  <c r="X536" i="4"/>
  <c r="X537" i="4"/>
  <c r="X538" i="4"/>
  <c r="X539" i="4"/>
  <c r="X540" i="4"/>
  <c r="X541" i="4"/>
  <c r="X542" i="4"/>
  <c r="X543" i="4"/>
  <c r="X544" i="4"/>
  <c r="X545" i="4"/>
  <c r="X546" i="4"/>
  <c r="X547" i="4"/>
  <c r="X548" i="4"/>
  <c r="X549" i="4"/>
  <c r="X550" i="4"/>
  <c r="X551" i="4"/>
  <c r="X552" i="4"/>
  <c r="X553" i="4"/>
  <c r="X554" i="4"/>
  <c r="X555" i="4"/>
  <c r="X556" i="4"/>
  <c r="X557" i="4"/>
  <c r="X558" i="4"/>
  <c r="X559" i="4"/>
  <c r="X560" i="4"/>
  <c r="X561" i="4"/>
  <c r="X562" i="4"/>
  <c r="X563" i="4"/>
  <c r="X564" i="4"/>
  <c r="X565" i="4"/>
  <c r="X566" i="4"/>
  <c r="X567" i="4"/>
  <c r="X568" i="4"/>
  <c r="X569" i="4"/>
  <c r="X570" i="4"/>
  <c r="X571" i="4"/>
  <c r="X572" i="4"/>
  <c r="X573" i="4"/>
  <c r="X574" i="4"/>
  <c r="X575" i="4"/>
  <c r="X576" i="4"/>
  <c r="X577" i="4"/>
  <c r="X578" i="4"/>
  <c r="X579" i="4"/>
  <c r="X580" i="4"/>
  <c r="X581" i="4"/>
  <c r="X582" i="4"/>
  <c r="X583" i="4"/>
  <c r="X584" i="4"/>
  <c r="X585" i="4"/>
  <c r="X586" i="4"/>
  <c r="X587" i="4"/>
  <c r="X588" i="4"/>
  <c r="X589" i="4"/>
  <c r="X590" i="4"/>
  <c r="X591" i="4"/>
  <c r="X592" i="4"/>
  <c r="X593" i="4"/>
  <c r="X594" i="4"/>
  <c r="X595" i="4"/>
  <c r="X596" i="4"/>
  <c r="X597" i="4"/>
  <c r="X598" i="4"/>
  <c r="X599" i="4"/>
  <c r="X600" i="4"/>
  <c r="X601" i="4"/>
  <c r="X602" i="4"/>
  <c r="X603" i="4"/>
  <c r="X604" i="4"/>
  <c r="X605" i="4"/>
  <c r="X606" i="4"/>
  <c r="X607" i="4"/>
  <c r="X608" i="4"/>
  <c r="X609" i="4"/>
  <c r="X610" i="4"/>
  <c r="X611" i="4"/>
  <c r="X612" i="4"/>
  <c r="X613" i="4"/>
  <c r="X614" i="4"/>
  <c r="X615" i="4"/>
  <c r="X616" i="4"/>
  <c r="X617" i="4"/>
  <c r="X618" i="4"/>
  <c r="X619" i="4"/>
  <c r="X620" i="4"/>
  <c r="X621" i="4"/>
  <c r="X622" i="4"/>
  <c r="X623" i="4"/>
  <c r="X624" i="4"/>
  <c r="X625" i="4"/>
  <c r="X626" i="4"/>
  <c r="X627" i="4"/>
  <c r="X628" i="4"/>
  <c r="X629" i="4"/>
  <c r="X630" i="4"/>
  <c r="X631" i="4"/>
  <c r="X632" i="4"/>
  <c r="X633" i="4"/>
  <c r="X634" i="4"/>
  <c r="X635" i="4"/>
  <c r="X636" i="4"/>
  <c r="X637" i="4"/>
  <c r="X638" i="4"/>
  <c r="X639" i="4"/>
  <c r="X640" i="4"/>
  <c r="X641" i="4"/>
  <c r="X642" i="4"/>
  <c r="X643" i="4"/>
  <c r="X644" i="4"/>
  <c r="X645" i="4"/>
  <c r="X646" i="4"/>
  <c r="X647" i="4"/>
  <c r="X648" i="4"/>
  <c r="X649" i="4"/>
  <c r="X650" i="4"/>
  <c r="X651" i="4"/>
  <c r="X652" i="4"/>
  <c r="X653" i="4"/>
  <c r="X654" i="4"/>
  <c r="X655" i="4"/>
  <c r="X656" i="4"/>
  <c r="X657" i="4"/>
  <c r="X658" i="4"/>
  <c r="X659" i="4"/>
  <c r="X660" i="4"/>
  <c r="X661" i="4"/>
  <c r="X662" i="4"/>
  <c r="X663" i="4"/>
  <c r="X664" i="4"/>
  <c r="X665" i="4"/>
  <c r="X666" i="4"/>
  <c r="X667" i="4"/>
  <c r="X668" i="4"/>
  <c r="X669" i="4"/>
  <c r="X670" i="4"/>
  <c r="X671" i="4"/>
  <c r="X672" i="4"/>
  <c r="X673" i="4"/>
  <c r="X674" i="4"/>
  <c r="X675" i="4"/>
  <c r="X676" i="4"/>
  <c r="X677" i="4"/>
  <c r="X678" i="4"/>
  <c r="X679" i="4"/>
  <c r="X680" i="4"/>
  <c r="X681" i="4"/>
  <c r="X682" i="4"/>
  <c r="X683" i="4"/>
  <c r="X684" i="4"/>
  <c r="X685" i="4"/>
  <c r="X686" i="4"/>
  <c r="X687" i="4"/>
  <c r="X688" i="4"/>
  <c r="X689" i="4"/>
  <c r="X690" i="4"/>
  <c r="X691" i="4"/>
  <c r="X692" i="4"/>
  <c r="X693" i="4"/>
  <c r="X694" i="4"/>
  <c r="X695" i="4"/>
  <c r="X696" i="4"/>
  <c r="X697" i="4"/>
  <c r="X698" i="4"/>
  <c r="X699" i="4"/>
  <c r="X700" i="4"/>
  <c r="X701" i="4"/>
  <c r="X702" i="4"/>
  <c r="X703" i="4"/>
  <c r="X704" i="4"/>
  <c r="X705" i="4"/>
  <c r="X706" i="4"/>
  <c r="X707" i="4"/>
  <c r="X708" i="4"/>
  <c r="X709" i="4"/>
  <c r="X710" i="4"/>
  <c r="X711" i="4"/>
  <c r="X712" i="4"/>
  <c r="X713" i="4"/>
  <c r="X714" i="4"/>
  <c r="X715" i="4"/>
  <c r="X716" i="4"/>
  <c r="X717" i="4"/>
  <c r="X718" i="4"/>
  <c r="X719" i="4"/>
  <c r="X720" i="4"/>
  <c r="X721" i="4"/>
  <c r="X722" i="4"/>
  <c r="X723" i="4"/>
  <c r="X724" i="4"/>
  <c r="X725" i="4"/>
  <c r="X726" i="4"/>
  <c r="X727" i="4"/>
  <c r="X728" i="4"/>
  <c r="X729" i="4"/>
  <c r="X730" i="4"/>
  <c r="X731" i="4"/>
  <c r="X732" i="4"/>
  <c r="X733" i="4"/>
  <c r="X734" i="4"/>
  <c r="X735" i="4"/>
  <c r="X736" i="4"/>
  <c r="X737" i="4"/>
  <c r="X738" i="4"/>
  <c r="X739" i="4"/>
  <c r="X740" i="4"/>
  <c r="X741" i="4"/>
  <c r="X742" i="4"/>
  <c r="X743" i="4"/>
  <c r="X744" i="4"/>
  <c r="X745" i="4"/>
  <c r="X746" i="4"/>
  <c r="X747" i="4"/>
  <c r="X748" i="4"/>
  <c r="X749" i="4"/>
  <c r="X750" i="4"/>
  <c r="X751" i="4"/>
  <c r="X752" i="4"/>
  <c r="X753" i="4"/>
  <c r="X754" i="4"/>
  <c r="X755" i="4"/>
  <c r="X756" i="4"/>
  <c r="X757" i="4"/>
  <c r="X758" i="4"/>
  <c r="X759" i="4"/>
  <c r="X760" i="4"/>
  <c r="X761" i="4"/>
  <c r="X4" i="4"/>
  <c r="X5" i="4"/>
  <c r="X6" i="4"/>
  <c r="X3" i="4"/>
  <c r="X2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124" i="4"/>
  <c r="W125" i="4"/>
  <c r="W126" i="4"/>
  <c r="W127" i="4"/>
  <c r="W128" i="4"/>
  <c r="W129" i="4"/>
  <c r="W130" i="4"/>
  <c r="W131" i="4"/>
  <c r="W132" i="4"/>
  <c r="W133" i="4"/>
  <c r="W134" i="4"/>
  <c r="W135" i="4"/>
  <c r="W136" i="4"/>
  <c r="W137" i="4"/>
  <c r="W138" i="4"/>
  <c r="W139" i="4"/>
  <c r="W140" i="4"/>
  <c r="W141" i="4"/>
  <c r="W142" i="4"/>
  <c r="W143" i="4"/>
  <c r="W144" i="4"/>
  <c r="W145" i="4"/>
  <c r="W146" i="4"/>
  <c r="W147" i="4"/>
  <c r="W148" i="4"/>
  <c r="W149" i="4"/>
  <c r="W150" i="4"/>
  <c r="W151" i="4"/>
  <c r="W152" i="4"/>
  <c r="W153" i="4"/>
  <c r="W154" i="4"/>
  <c r="W155" i="4"/>
  <c r="W156" i="4"/>
  <c r="W157" i="4"/>
  <c r="W158" i="4"/>
  <c r="W159" i="4"/>
  <c r="W160" i="4"/>
  <c r="W161" i="4"/>
  <c r="W162" i="4"/>
  <c r="W163" i="4"/>
  <c r="W164" i="4"/>
  <c r="W165" i="4"/>
  <c r="W166" i="4"/>
  <c r="W167" i="4"/>
  <c r="W168" i="4"/>
  <c r="W169" i="4"/>
  <c r="W170" i="4"/>
  <c r="W171" i="4"/>
  <c r="W172" i="4"/>
  <c r="W173" i="4"/>
  <c r="W174" i="4"/>
  <c r="W175" i="4"/>
  <c r="W176" i="4"/>
  <c r="W177" i="4"/>
  <c r="W178" i="4"/>
  <c r="W179" i="4"/>
  <c r="W180" i="4"/>
  <c r="W181" i="4"/>
  <c r="W182" i="4"/>
  <c r="W183" i="4"/>
  <c r="W184" i="4"/>
  <c r="W185" i="4"/>
  <c r="W186" i="4"/>
  <c r="W187" i="4"/>
  <c r="W188" i="4"/>
  <c r="W189" i="4"/>
  <c r="W190" i="4"/>
  <c r="W191" i="4"/>
  <c r="W192" i="4"/>
  <c r="W193" i="4"/>
  <c r="W194" i="4"/>
  <c r="W195" i="4"/>
  <c r="W196" i="4"/>
  <c r="W197" i="4"/>
  <c r="W198" i="4"/>
  <c r="W199" i="4"/>
  <c r="W200" i="4"/>
  <c r="W201" i="4"/>
  <c r="W202" i="4"/>
  <c r="W203" i="4"/>
  <c r="W204" i="4"/>
  <c r="W205" i="4"/>
  <c r="W206" i="4"/>
  <c r="W207" i="4"/>
  <c r="W208" i="4"/>
  <c r="W209" i="4"/>
  <c r="W210" i="4"/>
  <c r="W211" i="4"/>
  <c r="W212" i="4"/>
  <c r="W213" i="4"/>
  <c r="W214" i="4"/>
  <c r="W215" i="4"/>
  <c r="W216" i="4"/>
  <c r="W217" i="4"/>
  <c r="W218" i="4"/>
  <c r="W219" i="4"/>
  <c r="W220" i="4"/>
  <c r="W221" i="4"/>
  <c r="W222" i="4"/>
  <c r="W223" i="4"/>
  <c r="W224" i="4"/>
  <c r="W225" i="4"/>
  <c r="W226" i="4"/>
  <c r="W227" i="4"/>
  <c r="W228" i="4"/>
  <c r="W229" i="4"/>
  <c r="W230" i="4"/>
  <c r="W231" i="4"/>
  <c r="W232" i="4"/>
  <c r="W233" i="4"/>
  <c r="W234" i="4"/>
  <c r="W235" i="4"/>
  <c r="W236" i="4"/>
  <c r="W237" i="4"/>
  <c r="W238" i="4"/>
  <c r="W239" i="4"/>
  <c r="W240" i="4"/>
  <c r="W241" i="4"/>
  <c r="W242" i="4"/>
  <c r="W243" i="4"/>
  <c r="W244" i="4"/>
  <c r="W245" i="4"/>
  <c r="W246" i="4"/>
  <c r="W247" i="4"/>
  <c r="W248" i="4"/>
  <c r="W249" i="4"/>
  <c r="W250" i="4"/>
  <c r="W251" i="4"/>
  <c r="W252" i="4"/>
  <c r="W253" i="4"/>
  <c r="W254" i="4"/>
  <c r="W255" i="4"/>
  <c r="W256" i="4"/>
  <c r="W257" i="4"/>
  <c r="W258" i="4"/>
  <c r="W259" i="4"/>
  <c r="W260" i="4"/>
  <c r="W261" i="4"/>
  <c r="W262" i="4"/>
  <c r="W263" i="4"/>
  <c r="W264" i="4"/>
  <c r="W265" i="4"/>
  <c r="W266" i="4"/>
  <c r="W267" i="4"/>
  <c r="W268" i="4"/>
  <c r="W269" i="4"/>
  <c r="W270" i="4"/>
  <c r="W271" i="4"/>
  <c r="W272" i="4"/>
  <c r="W273" i="4"/>
  <c r="W274" i="4"/>
  <c r="W275" i="4"/>
  <c r="W276" i="4"/>
  <c r="W277" i="4"/>
  <c r="W278" i="4"/>
  <c r="W279" i="4"/>
  <c r="W280" i="4"/>
  <c r="W281" i="4"/>
  <c r="W282" i="4"/>
  <c r="W283" i="4"/>
  <c r="W284" i="4"/>
  <c r="W285" i="4"/>
  <c r="W286" i="4"/>
  <c r="W287" i="4"/>
  <c r="W288" i="4"/>
  <c r="W289" i="4"/>
  <c r="W290" i="4"/>
  <c r="W291" i="4"/>
  <c r="W292" i="4"/>
  <c r="W293" i="4"/>
  <c r="W294" i="4"/>
  <c r="W295" i="4"/>
  <c r="W296" i="4"/>
  <c r="W297" i="4"/>
  <c r="W298" i="4"/>
  <c r="W299" i="4"/>
  <c r="W300" i="4"/>
  <c r="W301" i="4"/>
  <c r="W302" i="4"/>
  <c r="W303" i="4"/>
  <c r="W304" i="4"/>
  <c r="W305" i="4"/>
  <c r="W306" i="4"/>
  <c r="W307" i="4"/>
  <c r="W308" i="4"/>
  <c r="W309" i="4"/>
  <c r="W310" i="4"/>
  <c r="W311" i="4"/>
  <c r="W312" i="4"/>
  <c r="W313" i="4"/>
  <c r="W314" i="4"/>
  <c r="W315" i="4"/>
  <c r="W316" i="4"/>
  <c r="W317" i="4"/>
  <c r="W318" i="4"/>
  <c r="W319" i="4"/>
  <c r="W320" i="4"/>
  <c r="W321" i="4"/>
  <c r="W322" i="4"/>
  <c r="W323" i="4"/>
  <c r="W324" i="4"/>
  <c r="W325" i="4"/>
  <c r="W326" i="4"/>
  <c r="W327" i="4"/>
  <c r="W328" i="4"/>
  <c r="W329" i="4"/>
  <c r="W330" i="4"/>
  <c r="W331" i="4"/>
  <c r="W332" i="4"/>
  <c r="W333" i="4"/>
  <c r="W334" i="4"/>
  <c r="W335" i="4"/>
  <c r="W336" i="4"/>
  <c r="W337" i="4"/>
  <c r="W338" i="4"/>
  <c r="W339" i="4"/>
  <c r="W340" i="4"/>
  <c r="W341" i="4"/>
  <c r="W342" i="4"/>
  <c r="W343" i="4"/>
  <c r="W344" i="4"/>
  <c r="W345" i="4"/>
  <c r="W346" i="4"/>
  <c r="W347" i="4"/>
  <c r="W348" i="4"/>
  <c r="W349" i="4"/>
  <c r="W350" i="4"/>
  <c r="W351" i="4"/>
  <c r="W352" i="4"/>
  <c r="W353" i="4"/>
  <c r="W354" i="4"/>
  <c r="W355" i="4"/>
  <c r="W356" i="4"/>
  <c r="W357" i="4"/>
  <c r="W358" i="4"/>
  <c r="W359" i="4"/>
  <c r="W360" i="4"/>
  <c r="W361" i="4"/>
  <c r="W362" i="4"/>
  <c r="W363" i="4"/>
  <c r="W364" i="4"/>
  <c r="W365" i="4"/>
  <c r="W366" i="4"/>
  <c r="W367" i="4"/>
  <c r="W368" i="4"/>
  <c r="W369" i="4"/>
  <c r="W370" i="4"/>
  <c r="W371" i="4"/>
  <c r="W372" i="4"/>
  <c r="W373" i="4"/>
  <c r="W374" i="4"/>
  <c r="W375" i="4"/>
  <c r="W376" i="4"/>
  <c r="W377" i="4"/>
  <c r="W378" i="4"/>
  <c r="W379" i="4"/>
  <c r="W380" i="4"/>
  <c r="W381" i="4"/>
  <c r="W382" i="4"/>
  <c r="W383" i="4"/>
  <c r="W384" i="4"/>
  <c r="W385" i="4"/>
  <c r="W386" i="4"/>
  <c r="W387" i="4"/>
  <c r="W388" i="4"/>
  <c r="W389" i="4"/>
  <c r="W390" i="4"/>
  <c r="W391" i="4"/>
  <c r="W392" i="4"/>
  <c r="W393" i="4"/>
  <c r="W394" i="4"/>
  <c r="W395" i="4"/>
  <c r="W396" i="4"/>
  <c r="W397" i="4"/>
  <c r="W398" i="4"/>
  <c r="W399" i="4"/>
  <c r="W400" i="4"/>
  <c r="W401" i="4"/>
  <c r="W402" i="4"/>
  <c r="W403" i="4"/>
  <c r="W404" i="4"/>
  <c r="W405" i="4"/>
  <c r="W406" i="4"/>
  <c r="W407" i="4"/>
  <c r="W408" i="4"/>
  <c r="W409" i="4"/>
  <c r="W410" i="4"/>
  <c r="W411" i="4"/>
  <c r="W412" i="4"/>
  <c r="W413" i="4"/>
  <c r="W414" i="4"/>
  <c r="W415" i="4"/>
  <c r="W416" i="4"/>
  <c r="W417" i="4"/>
  <c r="W418" i="4"/>
  <c r="W419" i="4"/>
  <c r="W420" i="4"/>
  <c r="W421" i="4"/>
  <c r="W422" i="4"/>
  <c r="W423" i="4"/>
  <c r="W424" i="4"/>
  <c r="W425" i="4"/>
  <c r="W426" i="4"/>
  <c r="W427" i="4"/>
  <c r="W428" i="4"/>
  <c r="W429" i="4"/>
  <c r="W430" i="4"/>
  <c r="W431" i="4"/>
  <c r="W432" i="4"/>
  <c r="W433" i="4"/>
  <c r="W434" i="4"/>
  <c r="W435" i="4"/>
  <c r="W436" i="4"/>
  <c r="W437" i="4"/>
  <c r="W438" i="4"/>
  <c r="W439" i="4"/>
  <c r="W440" i="4"/>
  <c r="W441" i="4"/>
  <c r="W442" i="4"/>
  <c r="W443" i="4"/>
  <c r="W444" i="4"/>
  <c r="W445" i="4"/>
  <c r="W446" i="4"/>
  <c r="W447" i="4"/>
  <c r="W448" i="4"/>
  <c r="W449" i="4"/>
  <c r="W450" i="4"/>
  <c r="W451" i="4"/>
  <c r="W452" i="4"/>
  <c r="W453" i="4"/>
  <c r="W454" i="4"/>
  <c r="W455" i="4"/>
  <c r="W456" i="4"/>
  <c r="W457" i="4"/>
  <c r="W458" i="4"/>
  <c r="W459" i="4"/>
  <c r="W460" i="4"/>
  <c r="W461" i="4"/>
  <c r="W462" i="4"/>
  <c r="W463" i="4"/>
  <c r="W464" i="4"/>
  <c r="W465" i="4"/>
  <c r="W466" i="4"/>
  <c r="W467" i="4"/>
  <c r="W468" i="4"/>
  <c r="W469" i="4"/>
  <c r="W470" i="4"/>
  <c r="W471" i="4"/>
  <c r="W472" i="4"/>
  <c r="W473" i="4"/>
  <c r="W474" i="4"/>
  <c r="W475" i="4"/>
  <c r="W476" i="4"/>
  <c r="W477" i="4"/>
  <c r="W478" i="4"/>
  <c r="W479" i="4"/>
  <c r="W480" i="4"/>
  <c r="W481" i="4"/>
  <c r="W482" i="4"/>
  <c r="W483" i="4"/>
  <c r="W484" i="4"/>
  <c r="W485" i="4"/>
  <c r="W486" i="4"/>
  <c r="W487" i="4"/>
  <c r="W488" i="4"/>
  <c r="W489" i="4"/>
  <c r="W490" i="4"/>
  <c r="W491" i="4"/>
  <c r="W492" i="4"/>
  <c r="W493" i="4"/>
  <c r="W494" i="4"/>
  <c r="W495" i="4"/>
  <c r="W496" i="4"/>
  <c r="W497" i="4"/>
  <c r="W498" i="4"/>
  <c r="W499" i="4"/>
  <c r="W500" i="4"/>
  <c r="W501" i="4"/>
  <c r="W502" i="4"/>
  <c r="W503" i="4"/>
  <c r="W504" i="4"/>
  <c r="W505" i="4"/>
  <c r="W506" i="4"/>
  <c r="W507" i="4"/>
  <c r="W508" i="4"/>
  <c r="W509" i="4"/>
  <c r="W510" i="4"/>
  <c r="W511" i="4"/>
  <c r="W512" i="4"/>
  <c r="W513" i="4"/>
  <c r="W514" i="4"/>
  <c r="W515" i="4"/>
  <c r="W516" i="4"/>
  <c r="W517" i="4"/>
  <c r="W518" i="4"/>
  <c r="W519" i="4"/>
  <c r="W520" i="4"/>
  <c r="W521" i="4"/>
  <c r="W522" i="4"/>
  <c r="W523" i="4"/>
  <c r="W524" i="4"/>
  <c r="W525" i="4"/>
  <c r="W526" i="4"/>
  <c r="W527" i="4"/>
  <c r="W528" i="4"/>
  <c r="W529" i="4"/>
  <c r="W530" i="4"/>
  <c r="W531" i="4"/>
  <c r="W532" i="4"/>
  <c r="W533" i="4"/>
  <c r="W534" i="4"/>
  <c r="W535" i="4"/>
  <c r="W536" i="4"/>
  <c r="W537" i="4"/>
  <c r="W538" i="4"/>
  <c r="W539" i="4"/>
  <c r="W540" i="4"/>
  <c r="W541" i="4"/>
  <c r="W542" i="4"/>
  <c r="W543" i="4"/>
  <c r="W544" i="4"/>
  <c r="W545" i="4"/>
  <c r="W546" i="4"/>
  <c r="W547" i="4"/>
  <c r="W548" i="4"/>
  <c r="W549" i="4"/>
  <c r="W550" i="4"/>
  <c r="W551" i="4"/>
  <c r="W552" i="4"/>
  <c r="W553" i="4"/>
  <c r="W554" i="4"/>
  <c r="W555" i="4"/>
  <c r="W556" i="4"/>
  <c r="W557" i="4"/>
  <c r="W558" i="4"/>
  <c r="W559" i="4"/>
  <c r="W560" i="4"/>
  <c r="W561" i="4"/>
  <c r="W562" i="4"/>
  <c r="W563" i="4"/>
  <c r="W564" i="4"/>
  <c r="W565" i="4"/>
  <c r="W566" i="4"/>
  <c r="W567" i="4"/>
  <c r="W568" i="4"/>
  <c r="W569" i="4"/>
  <c r="W570" i="4"/>
  <c r="W571" i="4"/>
  <c r="W572" i="4"/>
  <c r="W573" i="4"/>
  <c r="W574" i="4"/>
  <c r="W575" i="4"/>
  <c r="W576" i="4"/>
  <c r="W577" i="4"/>
  <c r="W578" i="4"/>
  <c r="W579" i="4"/>
  <c r="W580" i="4"/>
  <c r="W581" i="4"/>
  <c r="W582" i="4"/>
  <c r="W583" i="4"/>
  <c r="W584" i="4"/>
  <c r="W585" i="4"/>
  <c r="W586" i="4"/>
  <c r="W587" i="4"/>
  <c r="W588" i="4"/>
  <c r="W589" i="4"/>
  <c r="W590" i="4"/>
  <c r="W591" i="4"/>
  <c r="W592" i="4"/>
  <c r="W593" i="4"/>
  <c r="W594" i="4"/>
  <c r="W595" i="4"/>
  <c r="W596" i="4"/>
  <c r="W597" i="4"/>
  <c r="W598" i="4"/>
  <c r="W599" i="4"/>
  <c r="W600" i="4"/>
  <c r="W601" i="4"/>
  <c r="W602" i="4"/>
  <c r="W603" i="4"/>
  <c r="W604" i="4"/>
  <c r="W605" i="4"/>
  <c r="W606" i="4"/>
  <c r="W607" i="4"/>
  <c r="W608" i="4"/>
  <c r="W609" i="4"/>
  <c r="W610" i="4"/>
  <c r="W611" i="4"/>
  <c r="W612" i="4"/>
  <c r="W613" i="4"/>
  <c r="W614" i="4"/>
  <c r="W615" i="4"/>
  <c r="W616" i="4"/>
  <c r="W617" i="4"/>
  <c r="W618" i="4"/>
  <c r="W619" i="4"/>
  <c r="W620" i="4"/>
  <c r="W621" i="4"/>
  <c r="W622" i="4"/>
  <c r="W623" i="4"/>
  <c r="W624" i="4"/>
  <c r="W625" i="4"/>
  <c r="W626" i="4"/>
  <c r="W627" i="4"/>
  <c r="W628" i="4"/>
  <c r="W629" i="4"/>
  <c r="W630" i="4"/>
  <c r="W631" i="4"/>
  <c r="W632" i="4"/>
  <c r="W633" i="4"/>
  <c r="W634" i="4"/>
  <c r="W635" i="4"/>
  <c r="W636" i="4"/>
  <c r="W637" i="4"/>
  <c r="W638" i="4"/>
  <c r="W639" i="4"/>
  <c r="W640" i="4"/>
  <c r="W641" i="4"/>
  <c r="W642" i="4"/>
  <c r="W643" i="4"/>
  <c r="W644" i="4"/>
  <c r="W645" i="4"/>
  <c r="W646" i="4"/>
  <c r="W647" i="4"/>
  <c r="W648" i="4"/>
  <c r="W649" i="4"/>
  <c r="W650" i="4"/>
  <c r="W651" i="4"/>
  <c r="W652" i="4"/>
  <c r="W653" i="4"/>
  <c r="W654" i="4"/>
  <c r="W655" i="4"/>
  <c r="W656" i="4"/>
  <c r="W657" i="4"/>
  <c r="W658" i="4"/>
  <c r="W659" i="4"/>
  <c r="W660" i="4"/>
  <c r="W661" i="4"/>
  <c r="W662" i="4"/>
  <c r="W663" i="4"/>
  <c r="W664" i="4"/>
  <c r="W665" i="4"/>
  <c r="W666" i="4"/>
  <c r="W667" i="4"/>
  <c r="W668" i="4"/>
  <c r="W669" i="4"/>
  <c r="W670" i="4"/>
  <c r="W671" i="4"/>
  <c r="W672" i="4"/>
  <c r="W673" i="4"/>
  <c r="W674" i="4"/>
  <c r="W675" i="4"/>
  <c r="W676" i="4"/>
  <c r="W677" i="4"/>
  <c r="W678" i="4"/>
  <c r="W679" i="4"/>
  <c r="W680" i="4"/>
  <c r="W681" i="4"/>
  <c r="W682" i="4"/>
  <c r="W683" i="4"/>
  <c r="W684" i="4"/>
  <c r="W685" i="4"/>
  <c r="W686" i="4"/>
  <c r="W687" i="4"/>
  <c r="W688" i="4"/>
  <c r="W689" i="4"/>
  <c r="W690" i="4"/>
  <c r="W691" i="4"/>
  <c r="W692" i="4"/>
  <c r="W693" i="4"/>
  <c r="W694" i="4"/>
  <c r="W695" i="4"/>
  <c r="W696" i="4"/>
  <c r="W697" i="4"/>
  <c r="W698" i="4"/>
  <c r="W699" i="4"/>
  <c r="W700" i="4"/>
  <c r="W701" i="4"/>
  <c r="W702" i="4"/>
  <c r="W703" i="4"/>
  <c r="W704" i="4"/>
  <c r="W705" i="4"/>
  <c r="W706" i="4"/>
  <c r="W707" i="4"/>
  <c r="W708" i="4"/>
  <c r="W709" i="4"/>
  <c r="W710" i="4"/>
  <c r="W711" i="4"/>
  <c r="W712" i="4"/>
  <c r="W713" i="4"/>
  <c r="W714" i="4"/>
  <c r="W715" i="4"/>
  <c r="W716" i="4"/>
  <c r="W717" i="4"/>
  <c r="W718" i="4"/>
  <c r="W719" i="4"/>
  <c r="W720" i="4"/>
  <c r="W721" i="4"/>
  <c r="W722" i="4"/>
  <c r="W723" i="4"/>
  <c r="W724" i="4"/>
  <c r="W725" i="4"/>
  <c r="W726" i="4"/>
  <c r="W727" i="4"/>
  <c r="W728" i="4"/>
  <c r="W729" i="4"/>
  <c r="W730" i="4"/>
  <c r="W731" i="4"/>
  <c r="W732" i="4"/>
  <c r="W733" i="4"/>
  <c r="W734" i="4"/>
  <c r="W735" i="4"/>
  <c r="W736" i="4"/>
  <c r="W737" i="4"/>
  <c r="W738" i="4"/>
  <c r="W739" i="4"/>
  <c r="W740" i="4"/>
  <c r="W741" i="4"/>
  <c r="W742" i="4"/>
  <c r="W743" i="4"/>
  <c r="W744" i="4"/>
  <c r="W745" i="4"/>
  <c r="W746" i="4"/>
  <c r="W747" i="4"/>
  <c r="W748" i="4"/>
  <c r="W749" i="4"/>
  <c r="W750" i="4"/>
  <c r="W751" i="4"/>
  <c r="W752" i="4"/>
  <c r="W753" i="4"/>
  <c r="W754" i="4"/>
  <c r="W755" i="4"/>
  <c r="W756" i="4"/>
  <c r="W757" i="4"/>
  <c r="W758" i="4"/>
  <c r="W759" i="4"/>
  <c r="W760" i="4"/>
  <c r="W761" i="4"/>
  <c r="W3" i="4"/>
  <c r="W2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1" i="4"/>
  <c r="V112" i="4"/>
  <c r="V113" i="4"/>
  <c r="V114" i="4"/>
  <c r="V115" i="4"/>
  <c r="V116" i="4"/>
  <c r="V117" i="4"/>
  <c r="V118" i="4"/>
  <c r="V119" i="4"/>
  <c r="V120" i="4"/>
  <c r="V121" i="4"/>
  <c r="V122" i="4"/>
  <c r="V123" i="4"/>
  <c r="V124" i="4"/>
  <c r="V125" i="4"/>
  <c r="V126" i="4"/>
  <c r="V127" i="4"/>
  <c r="V128" i="4"/>
  <c r="V129" i="4"/>
  <c r="V130" i="4"/>
  <c r="V131" i="4"/>
  <c r="V132" i="4"/>
  <c r="V133" i="4"/>
  <c r="V134" i="4"/>
  <c r="V135" i="4"/>
  <c r="V136" i="4"/>
  <c r="V137" i="4"/>
  <c r="V138" i="4"/>
  <c r="V139" i="4"/>
  <c r="V140" i="4"/>
  <c r="V141" i="4"/>
  <c r="V142" i="4"/>
  <c r="V143" i="4"/>
  <c r="V144" i="4"/>
  <c r="V145" i="4"/>
  <c r="V146" i="4"/>
  <c r="V147" i="4"/>
  <c r="V148" i="4"/>
  <c r="V149" i="4"/>
  <c r="V150" i="4"/>
  <c r="V151" i="4"/>
  <c r="V152" i="4"/>
  <c r="V153" i="4"/>
  <c r="V154" i="4"/>
  <c r="V155" i="4"/>
  <c r="V156" i="4"/>
  <c r="V157" i="4"/>
  <c r="V158" i="4"/>
  <c r="V159" i="4"/>
  <c r="V160" i="4"/>
  <c r="V161" i="4"/>
  <c r="V162" i="4"/>
  <c r="V163" i="4"/>
  <c r="V164" i="4"/>
  <c r="V165" i="4"/>
  <c r="V166" i="4"/>
  <c r="V167" i="4"/>
  <c r="V168" i="4"/>
  <c r="V169" i="4"/>
  <c r="V170" i="4"/>
  <c r="V171" i="4"/>
  <c r="V172" i="4"/>
  <c r="V173" i="4"/>
  <c r="V174" i="4"/>
  <c r="V175" i="4"/>
  <c r="V176" i="4"/>
  <c r="V177" i="4"/>
  <c r="V178" i="4"/>
  <c r="V179" i="4"/>
  <c r="V180" i="4"/>
  <c r="V181" i="4"/>
  <c r="V182" i="4"/>
  <c r="V183" i="4"/>
  <c r="V184" i="4"/>
  <c r="V185" i="4"/>
  <c r="V186" i="4"/>
  <c r="V187" i="4"/>
  <c r="V188" i="4"/>
  <c r="V189" i="4"/>
  <c r="V190" i="4"/>
  <c r="V191" i="4"/>
  <c r="V192" i="4"/>
  <c r="V193" i="4"/>
  <c r="V194" i="4"/>
  <c r="V195" i="4"/>
  <c r="V196" i="4"/>
  <c r="V197" i="4"/>
  <c r="V198" i="4"/>
  <c r="V199" i="4"/>
  <c r="V200" i="4"/>
  <c r="V201" i="4"/>
  <c r="V202" i="4"/>
  <c r="V203" i="4"/>
  <c r="V204" i="4"/>
  <c r="V205" i="4"/>
  <c r="V206" i="4"/>
  <c r="V207" i="4"/>
  <c r="V208" i="4"/>
  <c r="V209" i="4"/>
  <c r="V210" i="4"/>
  <c r="V211" i="4"/>
  <c r="V212" i="4"/>
  <c r="V213" i="4"/>
  <c r="V214" i="4"/>
  <c r="V215" i="4"/>
  <c r="V216" i="4"/>
  <c r="V217" i="4"/>
  <c r="V218" i="4"/>
  <c r="V219" i="4"/>
  <c r="V220" i="4"/>
  <c r="V221" i="4"/>
  <c r="V222" i="4"/>
  <c r="V223" i="4"/>
  <c r="V224" i="4"/>
  <c r="V225" i="4"/>
  <c r="V226" i="4"/>
  <c r="V227" i="4"/>
  <c r="V228" i="4"/>
  <c r="V229" i="4"/>
  <c r="V230" i="4"/>
  <c r="V231" i="4"/>
  <c r="V232" i="4"/>
  <c r="V233" i="4"/>
  <c r="V234" i="4"/>
  <c r="V235" i="4"/>
  <c r="V236" i="4"/>
  <c r="V237" i="4"/>
  <c r="V238" i="4"/>
  <c r="V239" i="4"/>
  <c r="V240" i="4"/>
  <c r="V241" i="4"/>
  <c r="V242" i="4"/>
  <c r="V243" i="4"/>
  <c r="V244" i="4"/>
  <c r="V245" i="4"/>
  <c r="V246" i="4"/>
  <c r="V247" i="4"/>
  <c r="V248" i="4"/>
  <c r="V249" i="4"/>
  <c r="V250" i="4"/>
  <c r="V251" i="4"/>
  <c r="V252" i="4"/>
  <c r="V253" i="4"/>
  <c r="V254" i="4"/>
  <c r="V255" i="4"/>
  <c r="V256" i="4"/>
  <c r="V257" i="4"/>
  <c r="V258" i="4"/>
  <c r="V259" i="4"/>
  <c r="V260" i="4"/>
  <c r="V261" i="4"/>
  <c r="V262" i="4"/>
  <c r="V263" i="4"/>
  <c r="V264" i="4"/>
  <c r="V265" i="4"/>
  <c r="V266" i="4"/>
  <c r="V267" i="4"/>
  <c r="V268" i="4"/>
  <c r="V269" i="4"/>
  <c r="V270" i="4"/>
  <c r="V271" i="4"/>
  <c r="V272" i="4"/>
  <c r="V273" i="4"/>
  <c r="V274" i="4"/>
  <c r="V275" i="4"/>
  <c r="V276" i="4"/>
  <c r="V277" i="4"/>
  <c r="V278" i="4"/>
  <c r="V279" i="4"/>
  <c r="V280" i="4"/>
  <c r="V281" i="4"/>
  <c r="V282" i="4"/>
  <c r="V283" i="4"/>
  <c r="V284" i="4"/>
  <c r="V285" i="4"/>
  <c r="V286" i="4"/>
  <c r="V287" i="4"/>
  <c r="V288" i="4"/>
  <c r="V289" i="4"/>
  <c r="V290" i="4"/>
  <c r="V291" i="4"/>
  <c r="V292" i="4"/>
  <c r="V293" i="4"/>
  <c r="V294" i="4"/>
  <c r="V295" i="4"/>
  <c r="V296" i="4"/>
  <c r="V297" i="4"/>
  <c r="V298" i="4"/>
  <c r="V299" i="4"/>
  <c r="V300" i="4"/>
  <c r="V301" i="4"/>
  <c r="V302" i="4"/>
  <c r="V303" i="4"/>
  <c r="V304" i="4"/>
  <c r="V305" i="4"/>
  <c r="V306" i="4"/>
  <c r="V307" i="4"/>
  <c r="V308" i="4"/>
  <c r="V309" i="4"/>
  <c r="V310" i="4"/>
  <c r="V311" i="4"/>
  <c r="V312" i="4"/>
  <c r="V313" i="4"/>
  <c r="V314" i="4"/>
  <c r="V315" i="4"/>
  <c r="V316" i="4"/>
  <c r="V317" i="4"/>
  <c r="V318" i="4"/>
  <c r="V319" i="4"/>
  <c r="V320" i="4"/>
  <c r="V321" i="4"/>
  <c r="V322" i="4"/>
  <c r="V323" i="4"/>
  <c r="V324" i="4"/>
  <c r="V325" i="4"/>
  <c r="V326" i="4"/>
  <c r="V327" i="4"/>
  <c r="V328" i="4"/>
  <c r="V329" i="4"/>
  <c r="V330" i="4"/>
  <c r="V331" i="4"/>
  <c r="V332" i="4"/>
  <c r="V333" i="4"/>
  <c r="V334" i="4"/>
  <c r="V335" i="4"/>
  <c r="V336" i="4"/>
  <c r="V337" i="4"/>
  <c r="V338" i="4"/>
  <c r="V339" i="4"/>
  <c r="V340" i="4"/>
  <c r="V341" i="4"/>
  <c r="V342" i="4"/>
  <c r="V343" i="4"/>
  <c r="V344" i="4"/>
  <c r="V345" i="4"/>
  <c r="V346" i="4"/>
  <c r="V347" i="4"/>
  <c r="V348" i="4"/>
  <c r="V349" i="4"/>
  <c r="V350" i="4"/>
  <c r="V351" i="4"/>
  <c r="V352" i="4"/>
  <c r="V353" i="4"/>
  <c r="V354" i="4"/>
  <c r="V355" i="4"/>
  <c r="V356" i="4"/>
  <c r="V357" i="4"/>
  <c r="V358" i="4"/>
  <c r="V359" i="4"/>
  <c r="V360" i="4"/>
  <c r="V361" i="4"/>
  <c r="V362" i="4"/>
  <c r="V363" i="4"/>
  <c r="V364" i="4"/>
  <c r="V365" i="4"/>
  <c r="V366" i="4"/>
  <c r="V367" i="4"/>
  <c r="V368" i="4"/>
  <c r="V369" i="4"/>
  <c r="V370" i="4"/>
  <c r="V371" i="4"/>
  <c r="V372" i="4"/>
  <c r="V373" i="4"/>
  <c r="V374" i="4"/>
  <c r="V375" i="4"/>
  <c r="V376" i="4"/>
  <c r="V377" i="4"/>
  <c r="V378" i="4"/>
  <c r="V379" i="4"/>
  <c r="V380" i="4"/>
  <c r="V381" i="4"/>
  <c r="V382" i="4"/>
  <c r="V383" i="4"/>
  <c r="V384" i="4"/>
  <c r="V385" i="4"/>
  <c r="V386" i="4"/>
  <c r="V387" i="4"/>
  <c r="V388" i="4"/>
  <c r="V389" i="4"/>
  <c r="V390" i="4"/>
  <c r="V391" i="4"/>
  <c r="V392" i="4"/>
  <c r="V393" i="4"/>
  <c r="V394" i="4"/>
  <c r="V395" i="4"/>
  <c r="V396" i="4"/>
  <c r="V397" i="4"/>
  <c r="V398" i="4"/>
  <c r="V399" i="4"/>
  <c r="V400" i="4"/>
  <c r="V401" i="4"/>
  <c r="V402" i="4"/>
  <c r="V403" i="4"/>
  <c r="V404" i="4"/>
  <c r="V405" i="4"/>
  <c r="V406" i="4"/>
  <c r="V407" i="4"/>
  <c r="V408" i="4"/>
  <c r="V409" i="4"/>
  <c r="V410" i="4"/>
  <c r="V411" i="4"/>
  <c r="V412" i="4"/>
  <c r="V413" i="4"/>
  <c r="V414" i="4"/>
  <c r="V415" i="4"/>
  <c r="V416" i="4"/>
  <c r="V417" i="4"/>
  <c r="V418" i="4"/>
  <c r="V419" i="4"/>
  <c r="V420" i="4"/>
  <c r="V421" i="4"/>
  <c r="V422" i="4"/>
  <c r="V423" i="4"/>
  <c r="V424" i="4"/>
  <c r="V425" i="4"/>
  <c r="V426" i="4"/>
  <c r="V427" i="4"/>
  <c r="V428" i="4"/>
  <c r="V429" i="4"/>
  <c r="V430" i="4"/>
  <c r="V431" i="4"/>
  <c r="V432" i="4"/>
  <c r="V433" i="4"/>
  <c r="V434" i="4"/>
  <c r="V435" i="4"/>
  <c r="V436" i="4"/>
  <c r="V437" i="4"/>
  <c r="V438" i="4"/>
  <c r="V439" i="4"/>
  <c r="V440" i="4"/>
  <c r="V441" i="4"/>
  <c r="V442" i="4"/>
  <c r="V443" i="4"/>
  <c r="V444" i="4"/>
  <c r="V445" i="4"/>
  <c r="V446" i="4"/>
  <c r="V447" i="4"/>
  <c r="V448" i="4"/>
  <c r="V449" i="4"/>
  <c r="V450" i="4"/>
  <c r="V451" i="4"/>
  <c r="V452" i="4"/>
  <c r="V453" i="4"/>
  <c r="V454" i="4"/>
  <c r="V455" i="4"/>
  <c r="V456" i="4"/>
  <c r="V457" i="4"/>
  <c r="V458" i="4"/>
  <c r="V459" i="4"/>
  <c r="V460" i="4"/>
  <c r="V461" i="4"/>
  <c r="V462" i="4"/>
  <c r="V463" i="4"/>
  <c r="V464" i="4"/>
  <c r="V465" i="4"/>
  <c r="V466" i="4"/>
  <c r="V467" i="4"/>
  <c r="V468" i="4"/>
  <c r="V469" i="4"/>
  <c r="V470" i="4"/>
  <c r="V471" i="4"/>
  <c r="V472" i="4"/>
  <c r="V473" i="4"/>
  <c r="V474" i="4"/>
  <c r="V475" i="4"/>
  <c r="V476" i="4"/>
  <c r="V477" i="4"/>
  <c r="V478" i="4"/>
  <c r="V479" i="4"/>
  <c r="V480" i="4"/>
  <c r="V481" i="4"/>
  <c r="V482" i="4"/>
  <c r="V483" i="4"/>
  <c r="V484" i="4"/>
  <c r="V485" i="4"/>
  <c r="V486" i="4"/>
  <c r="V487" i="4"/>
  <c r="V488" i="4"/>
  <c r="V489" i="4"/>
  <c r="V490" i="4"/>
  <c r="V491" i="4"/>
  <c r="V492" i="4"/>
  <c r="V493" i="4"/>
  <c r="V494" i="4"/>
  <c r="V495" i="4"/>
  <c r="V496" i="4"/>
  <c r="V497" i="4"/>
  <c r="V498" i="4"/>
  <c r="V499" i="4"/>
  <c r="V500" i="4"/>
  <c r="V501" i="4"/>
  <c r="V502" i="4"/>
  <c r="V503" i="4"/>
  <c r="V504" i="4"/>
  <c r="V505" i="4"/>
  <c r="V506" i="4"/>
  <c r="V507" i="4"/>
  <c r="V508" i="4"/>
  <c r="V509" i="4"/>
  <c r="V510" i="4"/>
  <c r="V511" i="4"/>
  <c r="V512" i="4"/>
  <c r="V513" i="4"/>
  <c r="V514" i="4"/>
  <c r="V515" i="4"/>
  <c r="V516" i="4"/>
  <c r="V517" i="4"/>
  <c r="V518" i="4"/>
  <c r="V519" i="4"/>
  <c r="V520" i="4"/>
  <c r="V521" i="4"/>
  <c r="V522" i="4"/>
  <c r="V523" i="4"/>
  <c r="V524" i="4"/>
  <c r="V525" i="4"/>
  <c r="V526" i="4"/>
  <c r="V527" i="4"/>
  <c r="V528" i="4"/>
  <c r="V529" i="4"/>
  <c r="V530" i="4"/>
  <c r="V531" i="4"/>
  <c r="V532" i="4"/>
  <c r="V533" i="4"/>
  <c r="V534" i="4"/>
  <c r="V535" i="4"/>
  <c r="V536" i="4"/>
  <c r="V537" i="4"/>
  <c r="V538" i="4"/>
  <c r="V539" i="4"/>
  <c r="V540" i="4"/>
  <c r="V541" i="4"/>
  <c r="V542" i="4"/>
  <c r="V543" i="4"/>
  <c r="V544" i="4"/>
  <c r="V545" i="4"/>
  <c r="V546" i="4"/>
  <c r="V547" i="4"/>
  <c r="V548" i="4"/>
  <c r="V549" i="4"/>
  <c r="V550" i="4"/>
  <c r="V551" i="4"/>
  <c r="V552" i="4"/>
  <c r="V553" i="4"/>
  <c r="V554" i="4"/>
  <c r="V555" i="4"/>
  <c r="V556" i="4"/>
  <c r="V557" i="4"/>
  <c r="V558" i="4"/>
  <c r="V559" i="4"/>
  <c r="V560" i="4"/>
  <c r="V561" i="4"/>
  <c r="V562" i="4"/>
  <c r="V563" i="4"/>
  <c r="V564" i="4"/>
  <c r="V565" i="4"/>
  <c r="V566" i="4"/>
  <c r="V567" i="4"/>
  <c r="V568" i="4"/>
  <c r="V569" i="4"/>
  <c r="V570" i="4"/>
  <c r="V571" i="4"/>
  <c r="V572" i="4"/>
  <c r="V573" i="4"/>
  <c r="V574" i="4"/>
  <c r="V575" i="4"/>
  <c r="V576" i="4"/>
  <c r="V577" i="4"/>
  <c r="V578" i="4"/>
  <c r="V579" i="4"/>
  <c r="V580" i="4"/>
  <c r="V581" i="4"/>
  <c r="V582" i="4"/>
  <c r="V583" i="4"/>
  <c r="V584" i="4"/>
  <c r="V585" i="4"/>
  <c r="V586" i="4"/>
  <c r="V587" i="4"/>
  <c r="V588" i="4"/>
  <c r="V589" i="4"/>
  <c r="V590" i="4"/>
  <c r="V591" i="4"/>
  <c r="V592" i="4"/>
  <c r="V593" i="4"/>
  <c r="V594" i="4"/>
  <c r="V595" i="4"/>
  <c r="V596" i="4"/>
  <c r="V597" i="4"/>
  <c r="V598" i="4"/>
  <c r="V599" i="4"/>
  <c r="V600" i="4"/>
  <c r="V601" i="4"/>
  <c r="V602" i="4"/>
  <c r="V603" i="4"/>
  <c r="V604" i="4"/>
  <c r="V605" i="4"/>
  <c r="V606" i="4"/>
  <c r="V607" i="4"/>
  <c r="V608" i="4"/>
  <c r="V609" i="4"/>
  <c r="V610" i="4"/>
  <c r="V611" i="4"/>
  <c r="V612" i="4"/>
  <c r="V613" i="4"/>
  <c r="V614" i="4"/>
  <c r="V615" i="4"/>
  <c r="V616" i="4"/>
  <c r="V617" i="4"/>
  <c r="V618" i="4"/>
  <c r="V619" i="4"/>
  <c r="V620" i="4"/>
  <c r="V621" i="4"/>
  <c r="V622" i="4"/>
  <c r="V623" i="4"/>
  <c r="V624" i="4"/>
  <c r="V625" i="4"/>
  <c r="V626" i="4"/>
  <c r="V627" i="4"/>
  <c r="V628" i="4"/>
  <c r="V629" i="4"/>
  <c r="V630" i="4"/>
  <c r="V631" i="4"/>
  <c r="V632" i="4"/>
  <c r="V633" i="4"/>
  <c r="V634" i="4"/>
  <c r="V635" i="4"/>
  <c r="V636" i="4"/>
  <c r="V637" i="4"/>
  <c r="V638" i="4"/>
  <c r="V639" i="4"/>
  <c r="V640" i="4"/>
  <c r="V641" i="4"/>
  <c r="V642" i="4"/>
  <c r="V643" i="4"/>
  <c r="V644" i="4"/>
  <c r="V645" i="4"/>
  <c r="V646" i="4"/>
  <c r="V647" i="4"/>
  <c r="V648" i="4"/>
  <c r="V649" i="4"/>
  <c r="V650" i="4"/>
  <c r="V651" i="4"/>
  <c r="V652" i="4"/>
  <c r="V653" i="4"/>
  <c r="V654" i="4"/>
  <c r="V655" i="4"/>
  <c r="V656" i="4"/>
  <c r="V657" i="4"/>
  <c r="V658" i="4"/>
  <c r="V659" i="4"/>
  <c r="V660" i="4"/>
  <c r="V661" i="4"/>
  <c r="V662" i="4"/>
  <c r="V663" i="4"/>
  <c r="V664" i="4"/>
  <c r="V665" i="4"/>
  <c r="V666" i="4"/>
  <c r="V667" i="4"/>
  <c r="V668" i="4"/>
  <c r="V669" i="4"/>
  <c r="V670" i="4"/>
  <c r="V671" i="4"/>
  <c r="V672" i="4"/>
  <c r="V673" i="4"/>
  <c r="V674" i="4"/>
  <c r="V675" i="4"/>
  <c r="V676" i="4"/>
  <c r="V677" i="4"/>
  <c r="V678" i="4"/>
  <c r="V679" i="4"/>
  <c r="V680" i="4"/>
  <c r="V681" i="4"/>
  <c r="V682" i="4"/>
  <c r="V683" i="4"/>
  <c r="V684" i="4"/>
  <c r="V685" i="4"/>
  <c r="V686" i="4"/>
  <c r="V687" i="4"/>
  <c r="V688" i="4"/>
  <c r="V689" i="4"/>
  <c r="V690" i="4"/>
  <c r="V691" i="4"/>
  <c r="V692" i="4"/>
  <c r="V693" i="4"/>
  <c r="V694" i="4"/>
  <c r="V695" i="4"/>
  <c r="V696" i="4"/>
  <c r="V697" i="4"/>
  <c r="V698" i="4"/>
  <c r="V699" i="4"/>
  <c r="V700" i="4"/>
  <c r="V701" i="4"/>
  <c r="V702" i="4"/>
  <c r="V703" i="4"/>
  <c r="V704" i="4"/>
  <c r="V705" i="4"/>
  <c r="V706" i="4"/>
  <c r="V707" i="4"/>
  <c r="V708" i="4"/>
  <c r="V709" i="4"/>
  <c r="V710" i="4"/>
  <c r="V711" i="4"/>
  <c r="V712" i="4"/>
  <c r="V713" i="4"/>
  <c r="V714" i="4"/>
  <c r="V715" i="4"/>
  <c r="V716" i="4"/>
  <c r="V717" i="4"/>
  <c r="V718" i="4"/>
  <c r="V719" i="4"/>
  <c r="V720" i="4"/>
  <c r="V721" i="4"/>
  <c r="V722" i="4"/>
  <c r="V723" i="4"/>
  <c r="V724" i="4"/>
  <c r="V725" i="4"/>
  <c r="V726" i="4"/>
  <c r="V727" i="4"/>
  <c r="V728" i="4"/>
  <c r="V729" i="4"/>
  <c r="V730" i="4"/>
  <c r="V731" i="4"/>
  <c r="V732" i="4"/>
  <c r="V733" i="4"/>
  <c r="V734" i="4"/>
  <c r="V735" i="4"/>
  <c r="V736" i="4"/>
  <c r="V737" i="4"/>
  <c r="V738" i="4"/>
  <c r="V739" i="4"/>
  <c r="V740" i="4"/>
  <c r="V741" i="4"/>
  <c r="V742" i="4"/>
  <c r="V743" i="4"/>
  <c r="V744" i="4"/>
  <c r="V745" i="4"/>
  <c r="V746" i="4"/>
  <c r="V747" i="4"/>
  <c r="V748" i="4"/>
  <c r="V749" i="4"/>
  <c r="V750" i="4"/>
  <c r="V751" i="4"/>
  <c r="V752" i="4"/>
  <c r="V753" i="4"/>
  <c r="V754" i="4"/>
  <c r="V755" i="4"/>
  <c r="V756" i="4"/>
  <c r="V757" i="4"/>
  <c r="V758" i="4"/>
  <c r="V759" i="4"/>
  <c r="V760" i="4"/>
  <c r="V761" i="4"/>
  <c r="V3" i="4"/>
  <c r="V2" i="4"/>
  <c r="Z3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68" i="4"/>
  <c r="Z69" i="4"/>
  <c r="Z70" i="4"/>
  <c r="Z71" i="4"/>
  <c r="Z72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86" i="4"/>
  <c r="Z87" i="4"/>
  <c r="Z88" i="4"/>
  <c r="Z89" i="4"/>
  <c r="Z90" i="4"/>
  <c r="Z91" i="4"/>
  <c r="Z92" i="4"/>
  <c r="Z93" i="4"/>
  <c r="Z94" i="4"/>
  <c r="Z95" i="4"/>
  <c r="Z96" i="4"/>
  <c r="Z97" i="4"/>
  <c r="Z98" i="4"/>
  <c r="Z99" i="4"/>
  <c r="Z100" i="4"/>
  <c r="Z101" i="4"/>
  <c r="Z102" i="4"/>
  <c r="Z103" i="4"/>
  <c r="Z104" i="4"/>
  <c r="Z105" i="4"/>
  <c r="Z106" i="4"/>
  <c r="Z107" i="4"/>
  <c r="Z108" i="4"/>
  <c r="Z109" i="4"/>
  <c r="Z110" i="4"/>
  <c r="Z111" i="4"/>
  <c r="Z112" i="4"/>
  <c r="Z113" i="4"/>
  <c r="Z114" i="4"/>
  <c r="Z115" i="4"/>
  <c r="Z116" i="4"/>
  <c r="Z117" i="4"/>
  <c r="Z118" i="4"/>
  <c r="Z119" i="4"/>
  <c r="Z120" i="4"/>
  <c r="Z121" i="4"/>
  <c r="Z122" i="4"/>
  <c r="Z123" i="4"/>
  <c r="Z124" i="4"/>
  <c r="Z125" i="4"/>
  <c r="Z126" i="4"/>
  <c r="Z127" i="4"/>
  <c r="Z128" i="4"/>
  <c r="Z129" i="4"/>
  <c r="Z130" i="4"/>
  <c r="Z131" i="4"/>
  <c r="Z132" i="4"/>
  <c r="Z133" i="4"/>
  <c r="Z134" i="4"/>
  <c r="Z135" i="4"/>
  <c r="Z136" i="4"/>
  <c r="Z137" i="4"/>
  <c r="Z138" i="4"/>
  <c r="Z139" i="4"/>
  <c r="Z140" i="4"/>
  <c r="Z141" i="4"/>
  <c r="Z142" i="4"/>
  <c r="Z143" i="4"/>
  <c r="Z144" i="4"/>
  <c r="Z145" i="4"/>
  <c r="Z146" i="4"/>
  <c r="Z147" i="4"/>
  <c r="Z148" i="4"/>
  <c r="Z149" i="4"/>
  <c r="Z150" i="4"/>
  <c r="Z151" i="4"/>
  <c r="Z152" i="4"/>
  <c r="Z153" i="4"/>
  <c r="Z154" i="4"/>
  <c r="Z155" i="4"/>
  <c r="Z156" i="4"/>
  <c r="Z157" i="4"/>
  <c r="Z158" i="4"/>
  <c r="Z159" i="4"/>
  <c r="Z160" i="4"/>
  <c r="Z161" i="4"/>
  <c r="Z162" i="4"/>
  <c r="Z163" i="4"/>
  <c r="Z164" i="4"/>
  <c r="Z165" i="4"/>
  <c r="Z166" i="4"/>
  <c r="Z167" i="4"/>
  <c r="Z168" i="4"/>
  <c r="Z169" i="4"/>
  <c r="Z170" i="4"/>
  <c r="Z171" i="4"/>
  <c r="Z172" i="4"/>
  <c r="Z173" i="4"/>
  <c r="Z174" i="4"/>
  <c r="Z175" i="4"/>
  <c r="Z176" i="4"/>
  <c r="Z177" i="4"/>
  <c r="Z178" i="4"/>
  <c r="Z179" i="4"/>
  <c r="Z180" i="4"/>
  <c r="Z181" i="4"/>
  <c r="Z182" i="4"/>
  <c r="Z183" i="4"/>
  <c r="Z184" i="4"/>
  <c r="Z185" i="4"/>
  <c r="Z186" i="4"/>
  <c r="Z187" i="4"/>
  <c r="Z188" i="4"/>
  <c r="Z189" i="4"/>
  <c r="Z190" i="4"/>
  <c r="Z191" i="4"/>
  <c r="Z192" i="4"/>
  <c r="Z193" i="4"/>
  <c r="Z194" i="4"/>
  <c r="Z195" i="4"/>
  <c r="Z196" i="4"/>
  <c r="Z197" i="4"/>
  <c r="Z198" i="4"/>
  <c r="Z199" i="4"/>
  <c r="Z200" i="4"/>
  <c r="Z201" i="4"/>
  <c r="Z202" i="4"/>
  <c r="Z203" i="4"/>
  <c r="Z204" i="4"/>
  <c r="Z205" i="4"/>
  <c r="Z206" i="4"/>
  <c r="Z207" i="4"/>
  <c r="Z208" i="4"/>
  <c r="Z209" i="4"/>
  <c r="Z210" i="4"/>
  <c r="Z211" i="4"/>
  <c r="Z212" i="4"/>
  <c r="Z213" i="4"/>
  <c r="Z214" i="4"/>
  <c r="Z215" i="4"/>
  <c r="Z216" i="4"/>
  <c r="Z217" i="4"/>
  <c r="Z218" i="4"/>
  <c r="Z219" i="4"/>
  <c r="Z220" i="4"/>
  <c r="Z221" i="4"/>
  <c r="Z222" i="4"/>
  <c r="Z223" i="4"/>
  <c r="Z224" i="4"/>
  <c r="Z225" i="4"/>
  <c r="Z226" i="4"/>
  <c r="Z227" i="4"/>
  <c r="Z228" i="4"/>
  <c r="Z229" i="4"/>
  <c r="Z230" i="4"/>
  <c r="Z231" i="4"/>
  <c r="Z232" i="4"/>
  <c r="Z233" i="4"/>
  <c r="Z234" i="4"/>
  <c r="Z235" i="4"/>
  <c r="Z236" i="4"/>
  <c r="Z237" i="4"/>
  <c r="Z238" i="4"/>
  <c r="Z239" i="4"/>
  <c r="Z240" i="4"/>
  <c r="Z241" i="4"/>
  <c r="Z242" i="4"/>
  <c r="Z243" i="4"/>
  <c r="Z244" i="4"/>
  <c r="Z245" i="4"/>
  <c r="Z246" i="4"/>
  <c r="Z247" i="4"/>
  <c r="Z248" i="4"/>
  <c r="Z249" i="4"/>
  <c r="Z250" i="4"/>
  <c r="Z251" i="4"/>
  <c r="Z252" i="4"/>
  <c r="Z253" i="4"/>
  <c r="Z254" i="4"/>
  <c r="Z255" i="4"/>
  <c r="Z256" i="4"/>
  <c r="Z257" i="4"/>
  <c r="Z258" i="4"/>
  <c r="Z259" i="4"/>
  <c r="Z260" i="4"/>
  <c r="Z261" i="4"/>
  <c r="Z262" i="4"/>
  <c r="Z263" i="4"/>
  <c r="Z264" i="4"/>
  <c r="Z265" i="4"/>
  <c r="Z266" i="4"/>
  <c r="Z267" i="4"/>
  <c r="Z268" i="4"/>
  <c r="Z269" i="4"/>
  <c r="Z270" i="4"/>
  <c r="Z271" i="4"/>
  <c r="Z272" i="4"/>
  <c r="Z273" i="4"/>
  <c r="Z274" i="4"/>
  <c r="Z275" i="4"/>
  <c r="Z276" i="4"/>
  <c r="Z277" i="4"/>
  <c r="Z278" i="4"/>
  <c r="Z279" i="4"/>
  <c r="Z280" i="4"/>
  <c r="Z281" i="4"/>
  <c r="Z282" i="4"/>
  <c r="Z283" i="4"/>
  <c r="Z284" i="4"/>
  <c r="Z285" i="4"/>
  <c r="Z286" i="4"/>
  <c r="Z287" i="4"/>
  <c r="Z288" i="4"/>
  <c r="Z289" i="4"/>
  <c r="Z290" i="4"/>
  <c r="Z291" i="4"/>
  <c r="Z292" i="4"/>
  <c r="Z293" i="4"/>
  <c r="Z294" i="4"/>
  <c r="Z295" i="4"/>
  <c r="Z296" i="4"/>
  <c r="Z297" i="4"/>
  <c r="Z298" i="4"/>
  <c r="Z299" i="4"/>
  <c r="Z300" i="4"/>
  <c r="Z301" i="4"/>
  <c r="Z302" i="4"/>
  <c r="Z303" i="4"/>
  <c r="Z304" i="4"/>
  <c r="Z305" i="4"/>
  <c r="Z306" i="4"/>
  <c r="Z307" i="4"/>
  <c r="Z308" i="4"/>
  <c r="Z309" i="4"/>
  <c r="Z310" i="4"/>
  <c r="Z311" i="4"/>
  <c r="Z312" i="4"/>
  <c r="Z313" i="4"/>
  <c r="Z314" i="4"/>
  <c r="Z315" i="4"/>
  <c r="Z316" i="4"/>
  <c r="Z317" i="4"/>
  <c r="Z318" i="4"/>
  <c r="Z319" i="4"/>
  <c r="Z320" i="4"/>
  <c r="Z321" i="4"/>
  <c r="Z322" i="4"/>
  <c r="Z323" i="4"/>
  <c r="Z324" i="4"/>
  <c r="Z325" i="4"/>
  <c r="Z326" i="4"/>
  <c r="Z327" i="4"/>
  <c r="Z328" i="4"/>
  <c r="Z329" i="4"/>
  <c r="Z330" i="4"/>
  <c r="Z331" i="4"/>
  <c r="Z332" i="4"/>
  <c r="Z333" i="4"/>
  <c r="Z334" i="4"/>
  <c r="Z335" i="4"/>
  <c r="Z336" i="4"/>
  <c r="Z337" i="4"/>
  <c r="Z338" i="4"/>
  <c r="Z339" i="4"/>
  <c r="Z340" i="4"/>
  <c r="Z341" i="4"/>
  <c r="Z342" i="4"/>
  <c r="Z343" i="4"/>
  <c r="Z344" i="4"/>
  <c r="Z345" i="4"/>
  <c r="Z346" i="4"/>
  <c r="Z347" i="4"/>
  <c r="Z348" i="4"/>
  <c r="Z349" i="4"/>
  <c r="Z350" i="4"/>
  <c r="Z351" i="4"/>
  <c r="Z352" i="4"/>
  <c r="Z353" i="4"/>
  <c r="Z354" i="4"/>
  <c r="Z355" i="4"/>
  <c r="Z356" i="4"/>
  <c r="Z357" i="4"/>
  <c r="Z358" i="4"/>
  <c r="Z359" i="4"/>
  <c r="Z360" i="4"/>
  <c r="Z361" i="4"/>
  <c r="Z362" i="4"/>
  <c r="Z363" i="4"/>
  <c r="Z364" i="4"/>
  <c r="Z365" i="4"/>
  <c r="Z366" i="4"/>
  <c r="Z367" i="4"/>
  <c r="Z368" i="4"/>
  <c r="Z369" i="4"/>
  <c r="Z370" i="4"/>
  <c r="Z371" i="4"/>
  <c r="Z372" i="4"/>
  <c r="Z373" i="4"/>
  <c r="Z374" i="4"/>
  <c r="Z375" i="4"/>
  <c r="Z376" i="4"/>
  <c r="Z377" i="4"/>
  <c r="Z378" i="4"/>
  <c r="Z379" i="4"/>
  <c r="Z380" i="4"/>
  <c r="Z381" i="4"/>
  <c r="Z382" i="4"/>
  <c r="Z383" i="4"/>
  <c r="Z384" i="4"/>
  <c r="Z385" i="4"/>
  <c r="Z386" i="4"/>
  <c r="Z387" i="4"/>
  <c r="Z388" i="4"/>
  <c r="Z389" i="4"/>
  <c r="Z390" i="4"/>
  <c r="Z391" i="4"/>
  <c r="Z392" i="4"/>
  <c r="Z393" i="4"/>
  <c r="Z394" i="4"/>
  <c r="Z395" i="4"/>
  <c r="Z396" i="4"/>
  <c r="Z397" i="4"/>
  <c r="Z398" i="4"/>
  <c r="Z399" i="4"/>
  <c r="Z400" i="4"/>
  <c r="Z401" i="4"/>
  <c r="Z402" i="4"/>
  <c r="Z403" i="4"/>
  <c r="Z404" i="4"/>
  <c r="Z405" i="4"/>
  <c r="Z406" i="4"/>
  <c r="Z407" i="4"/>
  <c r="Z408" i="4"/>
  <c r="Z409" i="4"/>
  <c r="Z410" i="4"/>
  <c r="Z411" i="4"/>
  <c r="Z412" i="4"/>
  <c r="Z413" i="4"/>
  <c r="Z414" i="4"/>
  <c r="Z415" i="4"/>
  <c r="Z416" i="4"/>
  <c r="Z417" i="4"/>
  <c r="Z418" i="4"/>
  <c r="Z419" i="4"/>
  <c r="Z420" i="4"/>
  <c r="Z421" i="4"/>
  <c r="Z422" i="4"/>
  <c r="Z423" i="4"/>
  <c r="Z424" i="4"/>
  <c r="Z425" i="4"/>
  <c r="Z426" i="4"/>
  <c r="Z427" i="4"/>
  <c r="Z428" i="4"/>
  <c r="Z429" i="4"/>
  <c r="Z430" i="4"/>
  <c r="Z431" i="4"/>
  <c r="Z432" i="4"/>
  <c r="Z433" i="4"/>
  <c r="Z434" i="4"/>
  <c r="Z435" i="4"/>
  <c r="Z436" i="4"/>
  <c r="Z437" i="4"/>
  <c r="Z438" i="4"/>
  <c r="Z439" i="4"/>
  <c r="Z440" i="4"/>
  <c r="Z441" i="4"/>
  <c r="Z442" i="4"/>
  <c r="Z443" i="4"/>
  <c r="Z444" i="4"/>
  <c r="Z445" i="4"/>
  <c r="Z446" i="4"/>
  <c r="Z447" i="4"/>
  <c r="Z448" i="4"/>
  <c r="Z449" i="4"/>
  <c r="Z450" i="4"/>
  <c r="Z451" i="4"/>
  <c r="Z452" i="4"/>
  <c r="Z453" i="4"/>
  <c r="Z454" i="4"/>
  <c r="Z455" i="4"/>
  <c r="Z456" i="4"/>
  <c r="Z457" i="4"/>
  <c r="Z458" i="4"/>
  <c r="Z459" i="4"/>
  <c r="Z460" i="4"/>
  <c r="Z461" i="4"/>
  <c r="Z462" i="4"/>
  <c r="Z463" i="4"/>
  <c r="Z464" i="4"/>
  <c r="Z465" i="4"/>
  <c r="Z466" i="4"/>
  <c r="Z467" i="4"/>
  <c r="Z468" i="4"/>
  <c r="Z469" i="4"/>
  <c r="Z470" i="4"/>
  <c r="Z471" i="4"/>
  <c r="Z472" i="4"/>
  <c r="Z473" i="4"/>
  <c r="Z474" i="4"/>
  <c r="Z475" i="4"/>
  <c r="Z476" i="4"/>
  <c r="Z477" i="4"/>
  <c r="Z478" i="4"/>
  <c r="Z479" i="4"/>
  <c r="Z480" i="4"/>
  <c r="Z481" i="4"/>
  <c r="Z482" i="4"/>
  <c r="Z483" i="4"/>
  <c r="Z484" i="4"/>
  <c r="Z485" i="4"/>
  <c r="Z486" i="4"/>
  <c r="Z487" i="4"/>
  <c r="Z488" i="4"/>
  <c r="Z489" i="4"/>
  <c r="Z490" i="4"/>
  <c r="Z491" i="4"/>
  <c r="Z492" i="4"/>
  <c r="Z493" i="4"/>
  <c r="Z494" i="4"/>
  <c r="Z495" i="4"/>
  <c r="Z496" i="4"/>
  <c r="Z497" i="4"/>
  <c r="Z498" i="4"/>
  <c r="Z499" i="4"/>
  <c r="Z500" i="4"/>
  <c r="Z501" i="4"/>
  <c r="Z502" i="4"/>
  <c r="Z503" i="4"/>
  <c r="Z504" i="4"/>
  <c r="Z505" i="4"/>
  <c r="Z506" i="4"/>
  <c r="Z507" i="4"/>
  <c r="Z508" i="4"/>
  <c r="Z509" i="4"/>
  <c r="Z510" i="4"/>
  <c r="Z511" i="4"/>
  <c r="Z512" i="4"/>
  <c r="Z513" i="4"/>
  <c r="Z514" i="4"/>
  <c r="Z515" i="4"/>
  <c r="Z516" i="4"/>
  <c r="Z517" i="4"/>
  <c r="Z518" i="4"/>
  <c r="Z519" i="4"/>
  <c r="Z520" i="4"/>
  <c r="Z521" i="4"/>
  <c r="Z522" i="4"/>
  <c r="Z523" i="4"/>
  <c r="Z524" i="4"/>
  <c r="Z525" i="4"/>
  <c r="Z526" i="4"/>
  <c r="Z527" i="4"/>
  <c r="Z528" i="4"/>
  <c r="Z529" i="4"/>
  <c r="Z530" i="4"/>
  <c r="Z531" i="4"/>
  <c r="Z532" i="4"/>
  <c r="Z533" i="4"/>
  <c r="Z534" i="4"/>
  <c r="Z535" i="4"/>
  <c r="Z536" i="4"/>
  <c r="Z537" i="4"/>
  <c r="Z538" i="4"/>
  <c r="Z539" i="4"/>
  <c r="Z540" i="4"/>
  <c r="Z541" i="4"/>
  <c r="Z542" i="4"/>
  <c r="Z543" i="4"/>
  <c r="Z544" i="4"/>
  <c r="Z545" i="4"/>
  <c r="Z546" i="4"/>
  <c r="Z547" i="4"/>
  <c r="Z548" i="4"/>
  <c r="Z549" i="4"/>
  <c r="Z550" i="4"/>
  <c r="Z551" i="4"/>
  <c r="Z552" i="4"/>
  <c r="Z553" i="4"/>
  <c r="Z554" i="4"/>
  <c r="Z555" i="4"/>
  <c r="Z556" i="4"/>
  <c r="Z557" i="4"/>
  <c r="Z558" i="4"/>
  <c r="Z559" i="4"/>
  <c r="Z560" i="4"/>
  <c r="Z561" i="4"/>
  <c r="Z562" i="4"/>
  <c r="Z563" i="4"/>
  <c r="Z564" i="4"/>
  <c r="Z565" i="4"/>
  <c r="Z566" i="4"/>
  <c r="Z567" i="4"/>
  <c r="Z568" i="4"/>
  <c r="Z569" i="4"/>
  <c r="Z570" i="4"/>
  <c r="Z571" i="4"/>
  <c r="Z572" i="4"/>
  <c r="Z573" i="4"/>
  <c r="Z574" i="4"/>
  <c r="Z575" i="4"/>
  <c r="Z576" i="4"/>
  <c r="Z577" i="4"/>
  <c r="Z578" i="4"/>
  <c r="Z579" i="4"/>
  <c r="Z580" i="4"/>
  <c r="Z581" i="4"/>
  <c r="Z582" i="4"/>
  <c r="Z583" i="4"/>
  <c r="Z584" i="4"/>
  <c r="Z585" i="4"/>
  <c r="Z586" i="4"/>
  <c r="Z587" i="4"/>
  <c r="Z588" i="4"/>
  <c r="Z589" i="4"/>
  <c r="Z590" i="4"/>
  <c r="Z591" i="4"/>
  <c r="Z592" i="4"/>
  <c r="Z593" i="4"/>
  <c r="Z594" i="4"/>
  <c r="Z595" i="4"/>
  <c r="Z596" i="4"/>
  <c r="Z597" i="4"/>
  <c r="Z598" i="4"/>
  <c r="Z599" i="4"/>
  <c r="Z600" i="4"/>
  <c r="Z601" i="4"/>
  <c r="Z602" i="4"/>
  <c r="Z603" i="4"/>
  <c r="Z604" i="4"/>
  <c r="Z605" i="4"/>
  <c r="Z606" i="4"/>
  <c r="Z607" i="4"/>
  <c r="Z608" i="4"/>
  <c r="Z609" i="4"/>
  <c r="Z610" i="4"/>
  <c r="Z611" i="4"/>
  <c r="Z612" i="4"/>
  <c r="Z613" i="4"/>
  <c r="Z614" i="4"/>
  <c r="Z615" i="4"/>
  <c r="Z616" i="4"/>
  <c r="Z617" i="4"/>
  <c r="Z618" i="4"/>
  <c r="Z619" i="4"/>
  <c r="Z620" i="4"/>
  <c r="Z621" i="4"/>
  <c r="Z622" i="4"/>
  <c r="Z623" i="4"/>
  <c r="Z624" i="4"/>
  <c r="Z625" i="4"/>
  <c r="Z626" i="4"/>
  <c r="Z627" i="4"/>
  <c r="Z628" i="4"/>
  <c r="Z629" i="4"/>
  <c r="Z630" i="4"/>
  <c r="Z631" i="4"/>
  <c r="Z632" i="4"/>
  <c r="Z633" i="4"/>
  <c r="Z634" i="4"/>
  <c r="Z635" i="4"/>
  <c r="Z636" i="4"/>
  <c r="Z637" i="4"/>
  <c r="Z638" i="4"/>
  <c r="Z639" i="4"/>
  <c r="Z640" i="4"/>
  <c r="Z641" i="4"/>
  <c r="Z642" i="4"/>
  <c r="Z643" i="4"/>
  <c r="Z644" i="4"/>
  <c r="Z645" i="4"/>
  <c r="Z646" i="4"/>
  <c r="Z647" i="4"/>
  <c r="Z648" i="4"/>
  <c r="Z649" i="4"/>
  <c r="Z650" i="4"/>
  <c r="Z651" i="4"/>
  <c r="Z652" i="4"/>
  <c r="Z653" i="4"/>
  <c r="Z654" i="4"/>
  <c r="Z655" i="4"/>
  <c r="Z656" i="4"/>
  <c r="Z657" i="4"/>
  <c r="Z658" i="4"/>
  <c r="Z659" i="4"/>
  <c r="Z660" i="4"/>
  <c r="Z661" i="4"/>
  <c r="Z662" i="4"/>
  <c r="Z663" i="4"/>
  <c r="Z664" i="4"/>
  <c r="Z665" i="4"/>
  <c r="Z666" i="4"/>
  <c r="Z667" i="4"/>
  <c r="Z668" i="4"/>
  <c r="Z669" i="4"/>
  <c r="Z670" i="4"/>
  <c r="Z671" i="4"/>
  <c r="Z672" i="4"/>
  <c r="Z673" i="4"/>
  <c r="Z674" i="4"/>
  <c r="Z675" i="4"/>
  <c r="Z676" i="4"/>
  <c r="Z677" i="4"/>
  <c r="Z678" i="4"/>
  <c r="Z679" i="4"/>
  <c r="Z680" i="4"/>
  <c r="Z681" i="4"/>
  <c r="Z682" i="4"/>
  <c r="Z683" i="4"/>
  <c r="Z684" i="4"/>
  <c r="Z685" i="4"/>
  <c r="Z686" i="4"/>
  <c r="Z687" i="4"/>
  <c r="Z688" i="4"/>
  <c r="Z689" i="4"/>
  <c r="Z690" i="4"/>
  <c r="Z691" i="4"/>
  <c r="Z692" i="4"/>
  <c r="Z693" i="4"/>
  <c r="Z694" i="4"/>
  <c r="Z695" i="4"/>
  <c r="Z696" i="4"/>
  <c r="Z697" i="4"/>
  <c r="Z698" i="4"/>
  <c r="Z699" i="4"/>
  <c r="Z700" i="4"/>
  <c r="Z701" i="4"/>
  <c r="Z702" i="4"/>
  <c r="Z703" i="4"/>
  <c r="Z704" i="4"/>
  <c r="Z705" i="4"/>
  <c r="Z706" i="4"/>
  <c r="Z707" i="4"/>
  <c r="Z708" i="4"/>
  <c r="Z709" i="4"/>
  <c r="Z710" i="4"/>
  <c r="Z711" i="4"/>
  <c r="Z712" i="4"/>
  <c r="Z713" i="4"/>
  <c r="Z714" i="4"/>
  <c r="Z715" i="4"/>
  <c r="Z716" i="4"/>
  <c r="Z717" i="4"/>
  <c r="Z718" i="4"/>
  <c r="Z719" i="4"/>
  <c r="Z720" i="4"/>
  <c r="Z721" i="4"/>
  <c r="Z722" i="4"/>
  <c r="Z723" i="4"/>
  <c r="Z724" i="4"/>
  <c r="Z725" i="4"/>
  <c r="Z726" i="4"/>
  <c r="Z727" i="4"/>
  <c r="Z728" i="4"/>
  <c r="Z729" i="4"/>
  <c r="Z730" i="4"/>
  <c r="Z731" i="4"/>
  <c r="Z732" i="4"/>
  <c r="Z733" i="4"/>
  <c r="Z734" i="4"/>
  <c r="Z735" i="4"/>
  <c r="Z736" i="4"/>
  <c r="Z737" i="4"/>
  <c r="Z738" i="4"/>
  <c r="Z739" i="4"/>
  <c r="Z740" i="4"/>
  <c r="Z741" i="4"/>
  <c r="Z742" i="4"/>
  <c r="Z743" i="4"/>
  <c r="Z744" i="4"/>
  <c r="Z745" i="4"/>
  <c r="Z746" i="4"/>
  <c r="Z747" i="4"/>
  <c r="Z748" i="4"/>
  <c r="Z749" i="4"/>
  <c r="Z750" i="4"/>
  <c r="Z751" i="4"/>
  <c r="Z752" i="4"/>
  <c r="Z753" i="4"/>
  <c r="Z754" i="4"/>
  <c r="Z755" i="4"/>
  <c r="Z756" i="4"/>
  <c r="Z757" i="4"/>
  <c r="Z758" i="4"/>
  <c r="Z759" i="4"/>
  <c r="Z760" i="4"/>
  <c r="Z761" i="4"/>
  <c r="Z2" i="4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241" i="4"/>
  <c r="Y242" i="4"/>
  <c r="Y243" i="4"/>
  <c r="Y244" i="4"/>
  <c r="Y245" i="4"/>
  <c r="Y246" i="4"/>
  <c r="Y247" i="4"/>
  <c r="Y248" i="4"/>
  <c r="Y249" i="4"/>
  <c r="Y250" i="4"/>
  <c r="Y251" i="4"/>
  <c r="Y252" i="4"/>
  <c r="Y253" i="4"/>
  <c r="Y254" i="4"/>
  <c r="Y255" i="4"/>
  <c r="Y256" i="4"/>
  <c r="Y257" i="4"/>
  <c r="Y258" i="4"/>
  <c r="Y259" i="4"/>
  <c r="Y260" i="4"/>
  <c r="Y261" i="4"/>
  <c r="Y262" i="4"/>
  <c r="Y263" i="4"/>
  <c r="Y264" i="4"/>
  <c r="Y265" i="4"/>
  <c r="Y266" i="4"/>
  <c r="Y267" i="4"/>
  <c r="Y268" i="4"/>
  <c r="Y269" i="4"/>
  <c r="Y270" i="4"/>
  <c r="Y271" i="4"/>
  <c r="Y272" i="4"/>
  <c r="Y273" i="4"/>
  <c r="Y274" i="4"/>
  <c r="Y275" i="4"/>
  <c r="Y276" i="4"/>
  <c r="Y277" i="4"/>
  <c r="Y278" i="4"/>
  <c r="Y279" i="4"/>
  <c r="Y280" i="4"/>
  <c r="Y281" i="4"/>
  <c r="Y282" i="4"/>
  <c r="Y283" i="4"/>
  <c r="Y284" i="4"/>
  <c r="Y285" i="4"/>
  <c r="Y286" i="4"/>
  <c r="Y287" i="4"/>
  <c r="Y288" i="4"/>
  <c r="Y289" i="4"/>
  <c r="Y290" i="4"/>
  <c r="Y291" i="4"/>
  <c r="Y292" i="4"/>
  <c r="Y293" i="4"/>
  <c r="Y294" i="4"/>
  <c r="Y295" i="4"/>
  <c r="Y296" i="4"/>
  <c r="Y297" i="4"/>
  <c r="Y298" i="4"/>
  <c r="Y299" i="4"/>
  <c r="Y300" i="4"/>
  <c r="Y301" i="4"/>
  <c r="Y302" i="4"/>
  <c r="Y303" i="4"/>
  <c r="Y304" i="4"/>
  <c r="Y305" i="4"/>
  <c r="Y306" i="4"/>
  <c r="Y307" i="4"/>
  <c r="Y308" i="4"/>
  <c r="Y309" i="4"/>
  <c r="Y310" i="4"/>
  <c r="Y311" i="4"/>
  <c r="Y312" i="4"/>
  <c r="Y313" i="4"/>
  <c r="Y314" i="4"/>
  <c r="Y315" i="4"/>
  <c r="Y316" i="4"/>
  <c r="Y317" i="4"/>
  <c r="Y318" i="4"/>
  <c r="Y319" i="4"/>
  <c r="Y320" i="4"/>
  <c r="Y321" i="4"/>
  <c r="Y322" i="4"/>
  <c r="Y323" i="4"/>
  <c r="Y324" i="4"/>
  <c r="Y325" i="4"/>
  <c r="Y326" i="4"/>
  <c r="Y327" i="4"/>
  <c r="Y328" i="4"/>
  <c r="Y329" i="4"/>
  <c r="Y330" i="4"/>
  <c r="Y331" i="4"/>
  <c r="Y332" i="4"/>
  <c r="Y333" i="4"/>
  <c r="Y334" i="4"/>
  <c r="Y335" i="4"/>
  <c r="Y336" i="4"/>
  <c r="Y337" i="4"/>
  <c r="Y338" i="4"/>
  <c r="Y339" i="4"/>
  <c r="Y340" i="4"/>
  <c r="Y341" i="4"/>
  <c r="Y342" i="4"/>
  <c r="Y343" i="4"/>
  <c r="Y344" i="4"/>
  <c r="Y345" i="4"/>
  <c r="Y346" i="4"/>
  <c r="Y347" i="4"/>
  <c r="Y348" i="4"/>
  <c r="Y349" i="4"/>
  <c r="Y350" i="4"/>
  <c r="Y351" i="4"/>
  <c r="Y352" i="4"/>
  <c r="Y353" i="4"/>
  <c r="Y354" i="4"/>
  <c r="Y355" i="4"/>
  <c r="Y356" i="4"/>
  <c r="Y357" i="4"/>
  <c r="Y358" i="4"/>
  <c r="Y359" i="4"/>
  <c r="Y360" i="4"/>
  <c r="Y361" i="4"/>
  <c r="Y362" i="4"/>
  <c r="Y363" i="4"/>
  <c r="Y364" i="4"/>
  <c r="Y365" i="4"/>
  <c r="Y366" i="4"/>
  <c r="Y367" i="4"/>
  <c r="Y368" i="4"/>
  <c r="Y369" i="4"/>
  <c r="Y370" i="4"/>
  <c r="Y371" i="4"/>
  <c r="Y372" i="4"/>
  <c r="Y373" i="4"/>
  <c r="Y374" i="4"/>
  <c r="Y375" i="4"/>
  <c r="Y376" i="4"/>
  <c r="Y377" i="4"/>
  <c r="Y378" i="4"/>
  <c r="Y379" i="4"/>
  <c r="Y380" i="4"/>
  <c r="Y381" i="4"/>
  <c r="Y382" i="4"/>
  <c r="Y383" i="4"/>
  <c r="Y384" i="4"/>
  <c r="Y385" i="4"/>
  <c r="Y386" i="4"/>
  <c r="Y387" i="4"/>
  <c r="Y388" i="4"/>
  <c r="Y389" i="4"/>
  <c r="Y390" i="4"/>
  <c r="Y391" i="4"/>
  <c r="Y392" i="4"/>
  <c r="Y393" i="4"/>
  <c r="Y394" i="4"/>
  <c r="Y395" i="4"/>
  <c r="Y396" i="4"/>
  <c r="Y397" i="4"/>
  <c r="Y398" i="4"/>
  <c r="Y399" i="4"/>
  <c r="Y400" i="4"/>
  <c r="Y401" i="4"/>
  <c r="Y402" i="4"/>
  <c r="Y403" i="4"/>
  <c r="Y404" i="4"/>
  <c r="Y405" i="4"/>
  <c r="Y406" i="4"/>
  <c r="Y407" i="4"/>
  <c r="Y408" i="4"/>
  <c r="Y409" i="4"/>
  <c r="Y410" i="4"/>
  <c r="Y411" i="4"/>
  <c r="Y412" i="4"/>
  <c r="Y413" i="4"/>
  <c r="Y414" i="4"/>
  <c r="Y415" i="4"/>
  <c r="Y416" i="4"/>
  <c r="Y417" i="4"/>
  <c r="Y418" i="4"/>
  <c r="Y419" i="4"/>
  <c r="Y420" i="4"/>
  <c r="Y421" i="4"/>
  <c r="Y422" i="4"/>
  <c r="Y423" i="4"/>
  <c r="Y424" i="4"/>
  <c r="Y425" i="4"/>
  <c r="Y426" i="4"/>
  <c r="Y427" i="4"/>
  <c r="Y428" i="4"/>
  <c r="Y429" i="4"/>
  <c r="Y430" i="4"/>
  <c r="Y431" i="4"/>
  <c r="Y432" i="4"/>
  <c r="Y433" i="4"/>
  <c r="Y434" i="4"/>
  <c r="Y435" i="4"/>
  <c r="Y436" i="4"/>
  <c r="Y437" i="4"/>
  <c r="Y438" i="4"/>
  <c r="Y439" i="4"/>
  <c r="Y440" i="4"/>
  <c r="Y441" i="4"/>
  <c r="Y442" i="4"/>
  <c r="Y443" i="4"/>
  <c r="Y444" i="4"/>
  <c r="Y445" i="4"/>
  <c r="Y446" i="4"/>
  <c r="Y447" i="4"/>
  <c r="Y448" i="4"/>
  <c r="Y449" i="4"/>
  <c r="Y450" i="4"/>
  <c r="Y451" i="4"/>
  <c r="Y452" i="4"/>
  <c r="Y453" i="4"/>
  <c r="Y454" i="4"/>
  <c r="Y455" i="4"/>
  <c r="Y456" i="4"/>
  <c r="Y457" i="4"/>
  <c r="Y458" i="4"/>
  <c r="Y459" i="4"/>
  <c r="Y460" i="4"/>
  <c r="Y461" i="4"/>
  <c r="Y462" i="4"/>
  <c r="Y463" i="4"/>
  <c r="Y464" i="4"/>
  <c r="Y465" i="4"/>
  <c r="Y466" i="4"/>
  <c r="Y467" i="4"/>
  <c r="Y468" i="4"/>
  <c r="Y469" i="4"/>
  <c r="Y470" i="4"/>
  <c r="Y471" i="4"/>
  <c r="Y472" i="4"/>
  <c r="Y473" i="4"/>
  <c r="Y474" i="4"/>
  <c r="Y475" i="4"/>
  <c r="Y476" i="4"/>
  <c r="Y477" i="4"/>
  <c r="Y478" i="4"/>
  <c r="Y479" i="4"/>
  <c r="Y480" i="4"/>
  <c r="Y481" i="4"/>
  <c r="Y482" i="4"/>
  <c r="Y483" i="4"/>
  <c r="Y484" i="4"/>
  <c r="Y485" i="4"/>
  <c r="Y486" i="4"/>
  <c r="Y487" i="4"/>
  <c r="Y488" i="4"/>
  <c r="Y489" i="4"/>
  <c r="Y490" i="4"/>
  <c r="Y491" i="4"/>
  <c r="Y492" i="4"/>
  <c r="Y493" i="4"/>
  <c r="Y494" i="4"/>
  <c r="Y495" i="4"/>
  <c r="Y496" i="4"/>
  <c r="Y497" i="4"/>
  <c r="Y498" i="4"/>
  <c r="Y499" i="4"/>
  <c r="Y500" i="4"/>
  <c r="Y501" i="4"/>
  <c r="Y502" i="4"/>
  <c r="Y503" i="4"/>
  <c r="Y504" i="4"/>
  <c r="Y505" i="4"/>
  <c r="Y506" i="4"/>
  <c r="Y507" i="4"/>
  <c r="Y508" i="4"/>
  <c r="Y509" i="4"/>
  <c r="Y510" i="4"/>
  <c r="Y511" i="4"/>
  <c r="Y512" i="4"/>
  <c r="Y513" i="4"/>
  <c r="Y514" i="4"/>
  <c r="Y515" i="4"/>
  <c r="Y516" i="4"/>
  <c r="Y517" i="4"/>
  <c r="Y518" i="4"/>
  <c r="Y519" i="4"/>
  <c r="Y520" i="4"/>
  <c r="Y521" i="4"/>
  <c r="Y522" i="4"/>
  <c r="Y523" i="4"/>
  <c r="Y524" i="4"/>
  <c r="Y525" i="4"/>
  <c r="Y526" i="4"/>
  <c r="Y527" i="4"/>
  <c r="Y528" i="4"/>
  <c r="Y529" i="4"/>
  <c r="Y530" i="4"/>
  <c r="Y531" i="4"/>
  <c r="Y532" i="4"/>
  <c r="Y533" i="4"/>
  <c r="Y534" i="4"/>
  <c r="Y535" i="4"/>
  <c r="Y536" i="4"/>
  <c r="Y537" i="4"/>
  <c r="Y538" i="4"/>
  <c r="Y539" i="4"/>
  <c r="Y540" i="4"/>
  <c r="Y541" i="4"/>
  <c r="Y542" i="4"/>
  <c r="Y543" i="4"/>
  <c r="Y544" i="4"/>
  <c r="Y545" i="4"/>
  <c r="Y546" i="4"/>
  <c r="Y547" i="4"/>
  <c r="Y548" i="4"/>
  <c r="Y549" i="4"/>
  <c r="Y550" i="4"/>
  <c r="Y551" i="4"/>
  <c r="Y552" i="4"/>
  <c r="Y553" i="4"/>
  <c r="Y554" i="4"/>
  <c r="Y555" i="4"/>
  <c r="Y556" i="4"/>
  <c r="Y557" i="4"/>
  <c r="Y558" i="4"/>
  <c r="Y559" i="4"/>
  <c r="Y560" i="4"/>
  <c r="Y561" i="4"/>
  <c r="Y562" i="4"/>
  <c r="Y563" i="4"/>
  <c r="Y564" i="4"/>
  <c r="Y565" i="4"/>
  <c r="Y566" i="4"/>
  <c r="Y567" i="4"/>
  <c r="Y568" i="4"/>
  <c r="Y569" i="4"/>
  <c r="Y570" i="4"/>
  <c r="Y571" i="4"/>
  <c r="Y572" i="4"/>
  <c r="Y573" i="4"/>
  <c r="Y574" i="4"/>
  <c r="Y575" i="4"/>
  <c r="Y576" i="4"/>
  <c r="Y577" i="4"/>
  <c r="Y578" i="4"/>
  <c r="Y579" i="4"/>
  <c r="Y580" i="4"/>
  <c r="Y581" i="4"/>
  <c r="Y582" i="4"/>
  <c r="Y583" i="4"/>
  <c r="Y584" i="4"/>
  <c r="Y585" i="4"/>
  <c r="Y586" i="4"/>
  <c r="Y587" i="4"/>
  <c r="Y588" i="4"/>
  <c r="Y589" i="4"/>
  <c r="Y590" i="4"/>
  <c r="Y591" i="4"/>
  <c r="Y592" i="4"/>
  <c r="Y593" i="4"/>
  <c r="Y594" i="4"/>
  <c r="Y595" i="4"/>
  <c r="Y596" i="4"/>
  <c r="Y597" i="4"/>
  <c r="Y598" i="4"/>
  <c r="Y599" i="4"/>
  <c r="Y600" i="4"/>
  <c r="Y601" i="4"/>
  <c r="Y602" i="4"/>
  <c r="Y603" i="4"/>
  <c r="Y604" i="4"/>
  <c r="Y605" i="4"/>
  <c r="Y606" i="4"/>
  <c r="Y607" i="4"/>
  <c r="Y608" i="4"/>
  <c r="Y609" i="4"/>
  <c r="Y610" i="4"/>
  <c r="Y611" i="4"/>
  <c r="Y612" i="4"/>
  <c r="Y613" i="4"/>
  <c r="Y614" i="4"/>
  <c r="Y615" i="4"/>
  <c r="Y616" i="4"/>
  <c r="Y617" i="4"/>
  <c r="Y618" i="4"/>
  <c r="Y619" i="4"/>
  <c r="Y620" i="4"/>
  <c r="Y621" i="4"/>
  <c r="Y622" i="4"/>
  <c r="Y623" i="4"/>
  <c r="Y624" i="4"/>
  <c r="Y625" i="4"/>
  <c r="Y626" i="4"/>
  <c r="Y627" i="4"/>
  <c r="Y628" i="4"/>
  <c r="Y629" i="4"/>
  <c r="Y630" i="4"/>
  <c r="Y631" i="4"/>
  <c r="Y632" i="4"/>
  <c r="Y633" i="4"/>
  <c r="Y634" i="4"/>
  <c r="Y635" i="4"/>
  <c r="Y636" i="4"/>
  <c r="Y637" i="4"/>
  <c r="Y638" i="4"/>
  <c r="Y639" i="4"/>
  <c r="Y640" i="4"/>
  <c r="Y641" i="4"/>
  <c r="Y642" i="4"/>
  <c r="Y643" i="4"/>
  <c r="Y644" i="4"/>
  <c r="Y645" i="4"/>
  <c r="Y646" i="4"/>
  <c r="Y647" i="4"/>
  <c r="Y648" i="4"/>
  <c r="Y649" i="4"/>
  <c r="Y650" i="4"/>
  <c r="Y651" i="4"/>
  <c r="Y652" i="4"/>
  <c r="Y653" i="4"/>
  <c r="Y654" i="4"/>
  <c r="Y655" i="4"/>
  <c r="Y656" i="4"/>
  <c r="Y657" i="4"/>
  <c r="Y658" i="4"/>
  <c r="Y659" i="4"/>
  <c r="Y660" i="4"/>
  <c r="Y661" i="4"/>
  <c r="Y662" i="4"/>
  <c r="Y663" i="4"/>
  <c r="Y664" i="4"/>
  <c r="Y665" i="4"/>
  <c r="Y666" i="4"/>
  <c r="Y667" i="4"/>
  <c r="Y668" i="4"/>
  <c r="Y669" i="4"/>
  <c r="Y670" i="4"/>
  <c r="Y671" i="4"/>
  <c r="Y672" i="4"/>
  <c r="Y673" i="4"/>
  <c r="Y674" i="4"/>
  <c r="Y675" i="4"/>
  <c r="Y676" i="4"/>
  <c r="Y677" i="4"/>
  <c r="Y678" i="4"/>
  <c r="Y679" i="4"/>
  <c r="Y680" i="4"/>
  <c r="Y681" i="4"/>
  <c r="Y682" i="4"/>
  <c r="Y683" i="4"/>
  <c r="Y684" i="4"/>
  <c r="Y685" i="4"/>
  <c r="Y686" i="4"/>
  <c r="Y687" i="4"/>
  <c r="Y688" i="4"/>
  <c r="Y689" i="4"/>
  <c r="Y690" i="4"/>
  <c r="Y691" i="4"/>
  <c r="Y692" i="4"/>
  <c r="Y693" i="4"/>
  <c r="Y694" i="4"/>
  <c r="Y695" i="4"/>
  <c r="Y696" i="4"/>
  <c r="Y697" i="4"/>
  <c r="Y698" i="4"/>
  <c r="Y699" i="4"/>
  <c r="Y700" i="4"/>
  <c r="Y701" i="4"/>
  <c r="Y702" i="4"/>
  <c r="Y703" i="4"/>
  <c r="Y704" i="4"/>
  <c r="Y705" i="4"/>
  <c r="Y706" i="4"/>
  <c r="Y707" i="4"/>
  <c r="Y708" i="4"/>
  <c r="Y709" i="4"/>
  <c r="Y710" i="4"/>
  <c r="Y711" i="4"/>
  <c r="Y712" i="4"/>
  <c r="Y713" i="4"/>
  <c r="Y714" i="4"/>
  <c r="Y715" i="4"/>
  <c r="Y716" i="4"/>
  <c r="Y717" i="4"/>
  <c r="Y718" i="4"/>
  <c r="Y719" i="4"/>
  <c r="Y720" i="4"/>
  <c r="Y721" i="4"/>
  <c r="Y722" i="4"/>
  <c r="Y723" i="4"/>
  <c r="Y724" i="4"/>
  <c r="Y725" i="4"/>
  <c r="Y726" i="4"/>
  <c r="Y727" i="4"/>
  <c r="Y728" i="4"/>
  <c r="Y729" i="4"/>
  <c r="Y730" i="4"/>
  <c r="Y731" i="4"/>
  <c r="Y732" i="4"/>
  <c r="Y733" i="4"/>
  <c r="Y734" i="4"/>
  <c r="Y735" i="4"/>
  <c r="Y736" i="4"/>
  <c r="Y737" i="4"/>
  <c r="Y738" i="4"/>
  <c r="Y739" i="4"/>
  <c r="Y740" i="4"/>
  <c r="Y741" i="4"/>
  <c r="Y742" i="4"/>
  <c r="Y743" i="4"/>
  <c r="Y744" i="4"/>
  <c r="Y745" i="4"/>
  <c r="Y746" i="4"/>
  <c r="Y747" i="4"/>
  <c r="Y748" i="4"/>
  <c r="Y749" i="4"/>
  <c r="Y750" i="4"/>
  <c r="Y751" i="4"/>
  <c r="Y752" i="4"/>
  <c r="Y753" i="4"/>
  <c r="Y754" i="4"/>
  <c r="Y755" i="4"/>
  <c r="Y756" i="4"/>
  <c r="Y757" i="4"/>
  <c r="Y758" i="4"/>
  <c r="Y759" i="4"/>
  <c r="Y760" i="4"/>
  <c r="Y761" i="4"/>
  <c r="Y2" i="4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" i="3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" i="3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S23" i="10" l="1"/>
  <c r="R23" i="10"/>
  <c r="B26" i="5"/>
  <c r="B37" i="5"/>
  <c r="AB9" i="5"/>
  <c r="AC3" i="5"/>
  <c r="AE7" i="5"/>
  <c r="AG11" i="5"/>
  <c r="B36" i="5"/>
  <c r="AB8" i="5"/>
  <c r="AD2" i="5"/>
  <c r="AE6" i="5"/>
  <c r="AG10" i="5"/>
  <c r="B35" i="5"/>
  <c r="AB7" i="5"/>
  <c r="AD11" i="5"/>
  <c r="AE5" i="5"/>
  <c r="AG9" i="5"/>
  <c r="B34" i="5"/>
  <c r="AB6" i="5"/>
  <c r="AD10" i="5"/>
  <c r="AE4" i="5"/>
  <c r="AG8" i="5"/>
  <c r="B33" i="5"/>
  <c r="AB5" i="5"/>
  <c r="AD9" i="5"/>
  <c r="AE3" i="5"/>
  <c r="AG7" i="5"/>
  <c r="AB4" i="5"/>
  <c r="AD8" i="5"/>
  <c r="AF2" i="5"/>
  <c r="AG6" i="5"/>
  <c r="C31" i="5"/>
  <c r="AB3" i="5"/>
  <c r="AD7" i="5"/>
  <c r="AF11" i="5"/>
  <c r="AG5" i="5"/>
  <c r="AC2" i="5"/>
  <c r="AD6" i="5"/>
  <c r="AF10" i="5"/>
  <c r="AG4" i="5"/>
  <c r="B45" i="5"/>
  <c r="C29" i="5"/>
  <c r="AC11" i="5"/>
  <c r="AD5" i="5"/>
  <c r="AF9" i="5"/>
  <c r="AG3" i="5"/>
  <c r="AC10" i="5"/>
  <c r="AD4" i="5"/>
  <c r="AF8" i="5"/>
  <c r="B27" i="5"/>
  <c r="AC9" i="5"/>
  <c r="AF7" i="5"/>
  <c r="C42" i="5"/>
  <c r="AC8" i="5"/>
  <c r="AE2" i="5"/>
  <c r="AF6" i="5"/>
  <c r="C41" i="5"/>
  <c r="AC7" i="5"/>
  <c r="AE11" i="5"/>
  <c r="AF5" i="5"/>
  <c r="B40" i="5"/>
  <c r="AB2" i="5"/>
  <c r="AC6" i="5"/>
  <c r="AE10" i="5"/>
  <c r="AF4" i="5"/>
  <c r="B39" i="5"/>
  <c r="AB11" i="5"/>
  <c r="AC5" i="5"/>
  <c r="AE9" i="5"/>
  <c r="B38" i="5"/>
  <c r="F23" i="7"/>
  <c r="H23" i="7" s="1"/>
  <c r="I23" i="7" s="1"/>
  <c r="F28" i="7"/>
  <c r="H28" i="7" s="1"/>
  <c r="I28" i="7" s="1"/>
  <c r="F17" i="7"/>
  <c r="H17" i="7" s="1"/>
  <c r="I17" i="7" s="1"/>
  <c r="F13" i="7"/>
  <c r="G17" i="7"/>
  <c r="F18" i="7"/>
  <c r="H18" i="7" s="1"/>
  <c r="I18" i="7" s="1"/>
  <c r="F19" i="7"/>
  <c r="H19" i="7" s="1"/>
  <c r="I19" i="7" s="1"/>
  <c r="F22" i="7"/>
  <c r="F20" i="7"/>
  <c r="F24" i="7"/>
  <c r="H24" i="7" s="1"/>
  <c r="I24" i="7" s="1"/>
  <c r="G20" i="7"/>
  <c r="F25" i="7"/>
  <c r="H25" i="7" s="1"/>
  <c r="I25" i="7" s="1"/>
  <c r="F21" i="7"/>
  <c r="H21" i="7" s="1"/>
  <c r="I21" i="7" s="1"/>
  <c r="B44" i="5"/>
  <c r="B32" i="5"/>
  <c r="C40" i="5"/>
  <c r="C27" i="5"/>
  <c r="B43" i="5"/>
  <c r="B31" i="5"/>
  <c r="C39" i="5"/>
  <c r="C26" i="5"/>
  <c r="B42" i="5"/>
  <c r="B30" i="5"/>
  <c r="C38" i="5"/>
  <c r="B41" i="5"/>
  <c r="B29" i="5"/>
  <c r="C37" i="5"/>
  <c r="B28" i="5"/>
  <c r="C36" i="5"/>
  <c r="C34" i="5"/>
  <c r="C35" i="5"/>
  <c r="C33" i="5"/>
  <c r="C45" i="5"/>
  <c r="E118" i="5"/>
  <c r="C124" i="5"/>
  <c r="E130" i="5"/>
  <c r="B117" i="5"/>
  <c r="F117" i="5" s="1"/>
  <c r="C123" i="5"/>
  <c r="B129" i="5"/>
  <c r="F129" i="5" s="1"/>
  <c r="D42" i="5"/>
  <c r="D30" i="5"/>
  <c r="E36" i="5"/>
  <c r="B116" i="5"/>
  <c r="F116" i="5" s="1"/>
  <c r="D122" i="5"/>
  <c r="B128" i="5"/>
  <c r="F128" i="5" s="1"/>
  <c r="E41" i="5"/>
  <c r="E29" i="5"/>
  <c r="E40" i="5"/>
  <c r="E28" i="5"/>
  <c r="E34" i="5"/>
  <c r="B115" i="5"/>
  <c r="F115" i="5" s="1"/>
  <c r="D121" i="5"/>
  <c r="B127" i="5"/>
  <c r="F127" i="5" s="1"/>
  <c r="E39" i="5"/>
  <c r="E27" i="5"/>
  <c r="E117" i="5"/>
  <c r="C122" i="5"/>
  <c r="E129" i="5"/>
  <c r="E38" i="5"/>
  <c r="C114" i="5"/>
  <c r="E120" i="5"/>
  <c r="C126" i="5"/>
  <c r="E132" i="5"/>
  <c r="E37" i="5"/>
  <c r="B114" i="5"/>
  <c r="F114" i="5" s="1"/>
  <c r="E115" i="5"/>
  <c r="D118" i="5"/>
  <c r="C120" i="5"/>
  <c r="B124" i="5"/>
  <c r="F124" i="5" s="1"/>
  <c r="B126" i="5"/>
  <c r="F126" i="5" s="1"/>
  <c r="E127" i="5"/>
  <c r="D130" i="5"/>
  <c r="C132" i="5"/>
  <c r="E119" i="5"/>
  <c r="C125" i="5"/>
  <c r="E131" i="5"/>
  <c r="D84" i="5"/>
  <c r="D113" i="5"/>
  <c r="D132" i="5"/>
  <c r="D120" i="5"/>
  <c r="D41" i="5"/>
  <c r="D29" i="5"/>
  <c r="B125" i="5"/>
  <c r="F125" i="5" s="1"/>
  <c r="C84" i="5"/>
  <c r="C121" i="5"/>
  <c r="D131" i="5"/>
  <c r="D119" i="5"/>
  <c r="E128" i="5"/>
  <c r="E116" i="5"/>
  <c r="D40" i="5"/>
  <c r="D28" i="5"/>
  <c r="E35" i="5"/>
  <c r="D39" i="5"/>
  <c r="D27" i="5"/>
  <c r="B123" i="5"/>
  <c r="F123" i="5" s="1"/>
  <c r="C131" i="5"/>
  <c r="C119" i="5"/>
  <c r="D129" i="5"/>
  <c r="D117" i="5"/>
  <c r="E126" i="5"/>
  <c r="E114" i="5"/>
  <c r="D38" i="5"/>
  <c r="E45" i="5"/>
  <c r="E33" i="5"/>
  <c r="B84" i="5"/>
  <c r="F84" i="5" s="1"/>
  <c r="B122" i="5"/>
  <c r="F122" i="5" s="1"/>
  <c r="C130" i="5"/>
  <c r="C118" i="5"/>
  <c r="D128" i="5"/>
  <c r="D116" i="5"/>
  <c r="E125" i="5"/>
  <c r="D37" i="5"/>
  <c r="E44" i="5"/>
  <c r="E32" i="5"/>
  <c r="B113" i="5"/>
  <c r="F113" i="5" s="1"/>
  <c r="B121" i="5"/>
  <c r="F121" i="5" s="1"/>
  <c r="C129" i="5"/>
  <c r="C117" i="5"/>
  <c r="D127" i="5"/>
  <c r="D115" i="5"/>
  <c r="E124" i="5"/>
  <c r="D36" i="5"/>
  <c r="E43" i="5"/>
  <c r="E31" i="5"/>
  <c r="B132" i="5"/>
  <c r="F132" i="5" s="1"/>
  <c r="B120" i="5"/>
  <c r="F120" i="5" s="1"/>
  <c r="C128" i="5"/>
  <c r="C116" i="5"/>
  <c r="D126" i="5"/>
  <c r="D114" i="5"/>
  <c r="E123" i="5"/>
  <c r="D35" i="5"/>
  <c r="E42" i="5"/>
  <c r="E30" i="5"/>
  <c r="B131" i="5"/>
  <c r="F131" i="5" s="1"/>
  <c r="B119" i="5"/>
  <c r="F119" i="5" s="1"/>
  <c r="C127" i="5"/>
  <c r="C115" i="5"/>
  <c r="D125" i="5"/>
  <c r="E84" i="5"/>
  <c r="E122" i="5"/>
  <c r="D34" i="5"/>
  <c r="B130" i="5"/>
  <c r="F130" i="5" s="1"/>
  <c r="B118" i="5"/>
  <c r="F118" i="5" s="1"/>
  <c r="D124" i="5"/>
  <c r="E113" i="5"/>
  <c r="E121" i="5"/>
  <c r="D45" i="5"/>
  <c r="D33" i="5"/>
  <c r="C113" i="5"/>
  <c r="D123" i="5"/>
  <c r="D44" i="5"/>
  <c r="D32" i="5"/>
  <c r="D43" i="5"/>
  <c r="D31" i="5"/>
  <c r="U122" i="3"/>
  <c r="U145" i="3"/>
  <c r="R67" i="3"/>
  <c r="U149" i="3"/>
  <c r="U166" i="3"/>
  <c r="U170" i="3" s="1"/>
  <c r="U117" i="3"/>
  <c r="U148" i="3"/>
  <c r="U150" i="3" s="1"/>
  <c r="U165" i="3"/>
  <c r="R75" i="3"/>
  <c r="U137" i="3"/>
  <c r="U154" i="3"/>
  <c r="S105" i="3"/>
  <c r="U153" i="3"/>
  <c r="U155" i="3" s="1"/>
  <c r="R57" i="3"/>
  <c r="U125" i="3"/>
  <c r="U126" i="3" s="1"/>
  <c r="U134" i="3"/>
  <c r="P27" i="3"/>
  <c r="S82" i="3"/>
  <c r="S90" i="3"/>
  <c r="U136" i="3"/>
  <c r="U128" i="3"/>
  <c r="U160" i="3"/>
  <c r="U157" i="3"/>
  <c r="P28" i="3"/>
  <c r="S98" i="3"/>
  <c r="U135" i="3"/>
  <c r="U159" i="3"/>
  <c r="P40" i="3"/>
  <c r="U133" i="3"/>
  <c r="U112" i="3"/>
  <c r="U113" i="3" s="1"/>
  <c r="U132" i="3"/>
  <c r="U115" i="3"/>
  <c r="U144" i="3"/>
  <c r="U169" i="3"/>
  <c r="S92" i="3"/>
  <c r="S81" i="3"/>
  <c r="U131" i="3"/>
  <c r="S86" i="3"/>
  <c r="U129" i="3"/>
  <c r="D26" i="5"/>
  <c r="E26" i="5"/>
  <c r="B64" i="5"/>
  <c r="B65" i="5"/>
  <c r="E88" i="5"/>
  <c r="D60" i="5"/>
  <c r="D91" i="5"/>
  <c r="B94" i="5"/>
  <c r="E67" i="5"/>
  <c r="E100" i="5"/>
  <c r="D72" i="5"/>
  <c r="D103" i="5"/>
  <c r="D93" i="5"/>
  <c r="E57" i="5"/>
  <c r="D92" i="5"/>
  <c r="E69" i="5"/>
  <c r="E56" i="5"/>
  <c r="E68" i="5"/>
  <c r="D61" i="5"/>
  <c r="B96" i="5"/>
  <c r="D73" i="5"/>
  <c r="E89" i="5"/>
  <c r="B95" i="5"/>
  <c r="E101" i="5"/>
  <c r="F122" i="3"/>
  <c r="B63" i="5"/>
  <c r="D71" i="5"/>
  <c r="D59" i="5"/>
  <c r="E66" i="5"/>
  <c r="B93" i="5"/>
  <c r="D102" i="5"/>
  <c r="D90" i="5"/>
  <c r="E99" i="5"/>
  <c r="E87" i="5"/>
  <c r="C58" i="5"/>
  <c r="B74" i="5"/>
  <c r="B62" i="5"/>
  <c r="D70" i="5"/>
  <c r="D58" i="5"/>
  <c r="E65" i="5"/>
  <c r="B92" i="5"/>
  <c r="D101" i="5"/>
  <c r="D89" i="5"/>
  <c r="E98" i="5"/>
  <c r="E86" i="5"/>
  <c r="B73" i="5"/>
  <c r="B61" i="5"/>
  <c r="D69" i="5"/>
  <c r="D57" i="5"/>
  <c r="E64" i="5"/>
  <c r="B103" i="5"/>
  <c r="B91" i="5"/>
  <c r="D100" i="5"/>
  <c r="D88" i="5"/>
  <c r="E97" i="5"/>
  <c r="E85" i="5"/>
  <c r="C56" i="5"/>
  <c r="B72" i="5"/>
  <c r="B60" i="5"/>
  <c r="D68" i="5"/>
  <c r="D56" i="5"/>
  <c r="E63" i="5"/>
  <c r="B102" i="5"/>
  <c r="B90" i="5"/>
  <c r="D99" i="5"/>
  <c r="D87" i="5"/>
  <c r="E96" i="5"/>
  <c r="B71" i="5"/>
  <c r="B59" i="5"/>
  <c r="D67" i="5"/>
  <c r="E74" i="5"/>
  <c r="E62" i="5"/>
  <c r="B101" i="5"/>
  <c r="B89" i="5"/>
  <c r="D98" i="5"/>
  <c r="D86" i="5"/>
  <c r="E95" i="5"/>
  <c r="C55" i="5"/>
  <c r="B70" i="5"/>
  <c r="B58" i="5"/>
  <c r="D66" i="5"/>
  <c r="E73" i="5"/>
  <c r="E61" i="5"/>
  <c r="B100" i="5"/>
  <c r="B88" i="5"/>
  <c r="D97" i="5"/>
  <c r="D85" i="5"/>
  <c r="E94" i="5"/>
  <c r="B69" i="5"/>
  <c r="B57" i="5"/>
  <c r="D65" i="5"/>
  <c r="E72" i="5"/>
  <c r="E60" i="5"/>
  <c r="B99" i="5"/>
  <c r="B87" i="5"/>
  <c r="D96" i="5"/>
  <c r="E55" i="5"/>
  <c r="E93" i="5"/>
  <c r="B68" i="5"/>
  <c r="B56" i="5"/>
  <c r="D64" i="5"/>
  <c r="E71" i="5"/>
  <c r="E59" i="5"/>
  <c r="B98" i="5"/>
  <c r="B86" i="5"/>
  <c r="D95" i="5"/>
  <c r="E92" i="5"/>
  <c r="B67" i="5"/>
  <c r="B55" i="5"/>
  <c r="D63" i="5"/>
  <c r="E70" i="5"/>
  <c r="E58" i="5"/>
  <c r="B97" i="5"/>
  <c r="B85" i="5"/>
  <c r="D94" i="5"/>
  <c r="E103" i="5"/>
  <c r="E91" i="5"/>
  <c r="B66" i="5"/>
  <c r="D74" i="5"/>
  <c r="D62" i="5"/>
  <c r="D55" i="5"/>
  <c r="E102" i="5"/>
  <c r="E90" i="5"/>
  <c r="F144" i="3"/>
  <c r="C61" i="5"/>
  <c r="E152" i="3"/>
  <c r="E151" i="3"/>
  <c r="D150" i="3"/>
  <c r="D152" i="3"/>
  <c r="C99" i="3"/>
  <c r="C87" i="3"/>
  <c r="C157" i="3"/>
  <c r="D55" i="3"/>
  <c r="D159" i="3"/>
  <c r="E160" i="3"/>
  <c r="E127" i="3"/>
  <c r="E148" i="3"/>
  <c r="E115" i="3"/>
  <c r="D56" i="3"/>
  <c r="B150" i="3"/>
  <c r="F154" i="3"/>
  <c r="E159" i="3"/>
  <c r="F123" i="3"/>
  <c r="B111" i="3"/>
  <c r="F149" i="3"/>
  <c r="E153" i="3"/>
  <c r="C145" i="3"/>
  <c r="E114" i="3"/>
  <c r="B159" i="3"/>
  <c r="B147" i="3"/>
  <c r="C154" i="3"/>
  <c r="D161" i="3"/>
  <c r="D149" i="3"/>
  <c r="E156" i="3"/>
  <c r="E144" i="3"/>
  <c r="F151" i="3"/>
  <c r="B68" i="3"/>
  <c r="D95" i="3"/>
  <c r="B55" i="3"/>
  <c r="D68" i="3"/>
  <c r="B158" i="3"/>
  <c r="B146" i="3"/>
  <c r="C153" i="3"/>
  <c r="D160" i="3"/>
  <c r="D148" i="3"/>
  <c r="E155" i="3"/>
  <c r="E143" i="3"/>
  <c r="F150" i="3"/>
  <c r="D94" i="3"/>
  <c r="C152" i="3"/>
  <c r="B156" i="3"/>
  <c r="B144" i="3"/>
  <c r="C151" i="3"/>
  <c r="D158" i="3"/>
  <c r="D146" i="3"/>
  <c r="F160" i="3"/>
  <c r="F148" i="3"/>
  <c r="D147" i="3"/>
  <c r="C64" i="3"/>
  <c r="B155" i="3"/>
  <c r="B143" i="3"/>
  <c r="C150" i="3"/>
  <c r="D157" i="3"/>
  <c r="D145" i="3"/>
  <c r="F159" i="3"/>
  <c r="F147" i="3"/>
  <c r="F161" i="3"/>
  <c r="B121" i="3"/>
  <c r="B154" i="3"/>
  <c r="C161" i="3"/>
  <c r="C149" i="3"/>
  <c r="D156" i="3"/>
  <c r="D144" i="3"/>
  <c r="F158" i="3"/>
  <c r="F146" i="3"/>
  <c r="E154" i="3"/>
  <c r="B90" i="3"/>
  <c r="C85" i="3"/>
  <c r="B67" i="3"/>
  <c r="C126" i="3"/>
  <c r="B153" i="3"/>
  <c r="C160" i="3"/>
  <c r="C148" i="3"/>
  <c r="D155" i="3"/>
  <c r="D143" i="3"/>
  <c r="E150" i="3"/>
  <c r="F157" i="3"/>
  <c r="F145" i="3"/>
  <c r="B27" i="3"/>
  <c r="B145" i="3"/>
  <c r="B119" i="3"/>
  <c r="B152" i="3"/>
  <c r="C159" i="3"/>
  <c r="C147" i="3"/>
  <c r="D154" i="3"/>
  <c r="E161" i="3"/>
  <c r="E149" i="3"/>
  <c r="F156" i="3"/>
  <c r="D82" i="3"/>
  <c r="B157" i="3"/>
  <c r="B151" i="3"/>
  <c r="C158" i="3"/>
  <c r="C146" i="3"/>
  <c r="D153" i="3"/>
  <c r="F155" i="3"/>
  <c r="F143" i="3"/>
  <c r="D93" i="3"/>
  <c r="E147" i="3"/>
  <c r="C98" i="3"/>
  <c r="C86" i="3"/>
  <c r="D81" i="3"/>
  <c r="D122" i="3"/>
  <c r="B161" i="3"/>
  <c r="B149" i="3"/>
  <c r="C156" i="3"/>
  <c r="C144" i="3"/>
  <c r="D151" i="3"/>
  <c r="E158" i="3"/>
  <c r="E146" i="3"/>
  <c r="F153" i="3"/>
  <c r="E88" i="3"/>
  <c r="E126" i="3"/>
  <c r="B160" i="3"/>
  <c r="B148" i="3"/>
  <c r="C155" i="3"/>
  <c r="C143" i="3"/>
  <c r="E157" i="3"/>
  <c r="E145" i="3"/>
  <c r="F152" i="3"/>
  <c r="C74" i="5"/>
  <c r="C62" i="5"/>
  <c r="C73" i="5"/>
  <c r="C72" i="5"/>
  <c r="C60" i="5"/>
  <c r="C71" i="5"/>
  <c r="C59" i="5"/>
  <c r="C70" i="5"/>
  <c r="C69" i="5"/>
  <c r="C57" i="5"/>
  <c r="C68" i="5"/>
  <c r="C67" i="5"/>
  <c r="C66" i="5"/>
  <c r="F66" i="5" s="1"/>
  <c r="C65" i="5"/>
  <c r="C64" i="5"/>
  <c r="F64" i="5" s="1"/>
  <c r="C63" i="5"/>
  <c r="F63" i="5" s="1"/>
  <c r="C101" i="5"/>
  <c r="C102" i="5"/>
  <c r="C100" i="5"/>
  <c r="C87" i="5"/>
  <c r="C103" i="5"/>
  <c r="C88" i="5"/>
  <c r="C93" i="5"/>
  <c r="C89" i="5"/>
  <c r="C90" i="5"/>
  <c r="C91" i="5"/>
  <c r="C92" i="5"/>
  <c r="C94" i="5"/>
  <c r="C99" i="5"/>
  <c r="C95" i="5"/>
  <c r="C98" i="5"/>
  <c r="C86" i="5"/>
  <c r="C97" i="5"/>
  <c r="C85" i="5"/>
  <c r="C96" i="5"/>
  <c r="F110" i="3"/>
  <c r="B110" i="3"/>
  <c r="C142" i="3"/>
  <c r="C110" i="3"/>
  <c r="C80" i="3"/>
  <c r="E142" i="3"/>
  <c r="B142" i="3"/>
  <c r="B45" i="3"/>
  <c r="D142" i="3"/>
  <c r="D110" i="3"/>
  <c r="E110" i="3"/>
  <c r="B33" i="3"/>
  <c r="F142" i="3"/>
  <c r="B34" i="3"/>
  <c r="P26" i="3"/>
  <c r="B54" i="3"/>
  <c r="P38" i="3"/>
  <c r="B44" i="3"/>
  <c r="B32" i="3"/>
  <c r="B66" i="3"/>
  <c r="B53" i="3"/>
  <c r="C61" i="3"/>
  <c r="D67" i="3"/>
  <c r="D54" i="3"/>
  <c r="R52" i="3"/>
  <c r="R54" i="3" s="1"/>
  <c r="R73" i="3"/>
  <c r="B52" i="3"/>
  <c r="B88" i="3"/>
  <c r="C96" i="3"/>
  <c r="C84" i="3"/>
  <c r="D92" i="3"/>
  <c r="E99" i="3"/>
  <c r="E87" i="3"/>
  <c r="S80" i="3"/>
  <c r="S83" i="3" s="1"/>
  <c r="C125" i="3"/>
  <c r="C113" i="3"/>
  <c r="D121" i="3"/>
  <c r="B129" i="3"/>
  <c r="B117" i="3"/>
  <c r="E125" i="3"/>
  <c r="E113" i="3"/>
  <c r="F121" i="3"/>
  <c r="C114" i="3"/>
  <c r="P37" i="3"/>
  <c r="B43" i="3"/>
  <c r="B31" i="3"/>
  <c r="B65" i="3"/>
  <c r="C52" i="3"/>
  <c r="C60" i="3"/>
  <c r="D66" i="3"/>
  <c r="D53" i="3"/>
  <c r="R72" i="3"/>
  <c r="B99" i="3"/>
  <c r="B87" i="3"/>
  <c r="C95" i="3"/>
  <c r="C83" i="3"/>
  <c r="D91" i="3"/>
  <c r="E98" i="3"/>
  <c r="E86" i="3"/>
  <c r="C124" i="3"/>
  <c r="C112" i="3"/>
  <c r="D120" i="3"/>
  <c r="B128" i="3"/>
  <c r="B116" i="3"/>
  <c r="E124" i="3"/>
  <c r="E112" i="3"/>
  <c r="F120" i="3"/>
  <c r="P36" i="3"/>
  <c r="B42" i="3"/>
  <c r="B30" i="3"/>
  <c r="B64" i="3"/>
  <c r="C71" i="3"/>
  <c r="C59" i="3"/>
  <c r="D65" i="3"/>
  <c r="D71" i="3"/>
  <c r="R71" i="3"/>
  <c r="B98" i="3"/>
  <c r="B86" i="3"/>
  <c r="C94" i="3"/>
  <c r="C82" i="3"/>
  <c r="D90" i="3"/>
  <c r="E97" i="3"/>
  <c r="E85" i="3"/>
  <c r="S97" i="3"/>
  <c r="C123" i="3"/>
  <c r="C111" i="3"/>
  <c r="D119" i="3"/>
  <c r="B127" i="3"/>
  <c r="B115" i="3"/>
  <c r="E123" i="3"/>
  <c r="E111" i="3"/>
  <c r="F119" i="3"/>
  <c r="P31" i="3"/>
  <c r="P35" i="3"/>
  <c r="B41" i="3"/>
  <c r="B29" i="3"/>
  <c r="B63" i="3"/>
  <c r="C70" i="3"/>
  <c r="C58" i="3"/>
  <c r="D64" i="3"/>
  <c r="B57" i="3"/>
  <c r="R56" i="3"/>
  <c r="R70" i="3"/>
  <c r="B97" i="3"/>
  <c r="B85" i="3"/>
  <c r="C93" i="3"/>
  <c r="C81" i="3"/>
  <c r="D89" i="3"/>
  <c r="E96" i="3"/>
  <c r="E84" i="3"/>
  <c r="C122" i="3"/>
  <c r="D118" i="3"/>
  <c r="B126" i="3"/>
  <c r="B114" i="3"/>
  <c r="E122" i="3"/>
  <c r="F118" i="3"/>
  <c r="P47" i="3"/>
  <c r="P34" i="3"/>
  <c r="B40" i="3"/>
  <c r="B28" i="3"/>
  <c r="B62" i="3"/>
  <c r="C69" i="3"/>
  <c r="C56" i="3"/>
  <c r="D63" i="3"/>
  <c r="C57" i="3"/>
  <c r="R60" i="3"/>
  <c r="R69" i="3"/>
  <c r="B96" i="3"/>
  <c r="B84" i="3"/>
  <c r="C92" i="3"/>
  <c r="D80" i="3"/>
  <c r="D88" i="3"/>
  <c r="E95" i="3"/>
  <c r="E83" i="3"/>
  <c r="S87" i="3"/>
  <c r="S104" i="3"/>
  <c r="C121" i="3"/>
  <c r="D129" i="3"/>
  <c r="D117" i="3"/>
  <c r="B125" i="3"/>
  <c r="B113" i="3"/>
  <c r="E121" i="3"/>
  <c r="F129" i="3"/>
  <c r="F117" i="3"/>
  <c r="R74" i="3"/>
  <c r="B89" i="3"/>
  <c r="C97" i="3"/>
  <c r="P45" i="3"/>
  <c r="P33" i="3"/>
  <c r="B39" i="3"/>
  <c r="C26" i="3"/>
  <c r="B61" i="3"/>
  <c r="C68" i="3"/>
  <c r="C55" i="3"/>
  <c r="D62" i="3"/>
  <c r="D57" i="3"/>
  <c r="R59" i="3"/>
  <c r="R68" i="3"/>
  <c r="B95" i="3"/>
  <c r="B83" i="3"/>
  <c r="C91" i="3"/>
  <c r="D99" i="3"/>
  <c r="D87" i="3"/>
  <c r="E94" i="3"/>
  <c r="E82" i="3"/>
  <c r="S103" i="3"/>
  <c r="C120" i="3"/>
  <c r="D128" i="3"/>
  <c r="D116" i="3"/>
  <c r="B124" i="3"/>
  <c r="B112" i="3"/>
  <c r="E120" i="3"/>
  <c r="F128" i="3"/>
  <c r="F116" i="3"/>
  <c r="P44" i="3"/>
  <c r="P32" i="3"/>
  <c r="B38" i="3"/>
  <c r="C28" i="3"/>
  <c r="B60" i="3"/>
  <c r="C67" i="3"/>
  <c r="C54" i="3"/>
  <c r="D61" i="3"/>
  <c r="B94" i="3"/>
  <c r="B82" i="3"/>
  <c r="C90" i="3"/>
  <c r="D98" i="3"/>
  <c r="D86" i="3"/>
  <c r="E93" i="3"/>
  <c r="E81" i="3"/>
  <c r="S102" i="3"/>
  <c r="B80" i="3"/>
  <c r="C119" i="3"/>
  <c r="D127" i="3"/>
  <c r="D115" i="3"/>
  <c r="B123" i="3"/>
  <c r="E119" i="3"/>
  <c r="F127" i="3"/>
  <c r="F115" i="3"/>
  <c r="C30" i="3"/>
  <c r="P43" i="3"/>
  <c r="P46" i="3"/>
  <c r="B37" i="3"/>
  <c r="B71" i="3"/>
  <c r="B59" i="3"/>
  <c r="C66" i="3"/>
  <c r="C53" i="3"/>
  <c r="D60" i="3"/>
  <c r="R66" i="3"/>
  <c r="B93" i="3"/>
  <c r="B81" i="3"/>
  <c r="C89" i="3"/>
  <c r="D97" i="3"/>
  <c r="D85" i="3"/>
  <c r="E92" i="3"/>
  <c r="E80" i="3"/>
  <c r="S89" i="3"/>
  <c r="S101" i="3"/>
  <c r="C118" i="3"/>
  <c r="D126" i="3"/>
  <c r="D114" i="3"/>
  <c r="B122" i="3"/>
  <c r="E118" i="3"/>
  <c r="F126" i="3"/>
  <c r="F114" i="3"/>
  <c r="C62" i="3"/>
  <c r="P42" i="3"/>
  <c r="B36" i="3"/>
  <c r="B70" i="3"/>
  <c r="B58" i="3"/>
  <c r="C65" i="3"/>
  <c r="D52" i="3"/>
  <c r="D59" i="3"/>
  <c r="R65" i="3"/>
  <c r="B92" i="3"/>
  <c r="C88" i="3"/>
  <c r="D96" i="3"/>
  <c r="D84" i="3"/>
  <c r="E91" i="3"/>
  <c r="S94" i="3"/>
  <c r="S100" i="3"/>
  <c r="C129" i="3"/>
  <c r="C117" i="3"/>
  <c r="D125" i="3"/>
  <c r="D113" i="3"/>
  <c r="E129" i="3"/>
  <c r="E117" i="3"/>
  <c r="F125" i="3"/>
  <c r="F113" i="3"/>
  <c r="C37" i="3"/>
  <c r="P41" i="3"/>
  <c r="B35" i="3"/>
  <c r="B69" i="3"/>
  <c r="B56" i="3"/>
  <c r="D70" i="3"/>
  <c r="D58" i="3"/>
  <c r="R63" i="3"/>
  <c r="R64" i="3"/>
  <c r="B91" i="3"/>
  <c r="D83" i="3"/>
  <c r="E90" i="3"/>
  <c r="S93" i="3"/>
  <c r="S99" i="3"/>
  <c r="C128" i="3"/>
  <c r="C116" i="3"/>
  <c r="D124" i="3"/>
  <c r="D112" i="3"/>
  <c r="B120" i="3"/>
  <c r="E128" i="3"/>
  <c r="E116" i="3"/>
  <c r="F124" i="3"/>
  <c r="F112" i="3"/>
  <c r="B118" i="3"/>
  <c r="C63" i="3"/>
  <c r="D69" i="3"/>
  <c r="E89" i="3"/>
  <c r="C127" i="3"/>
  <c r="C115" i="3"/>
  <c r="D123" i="3"/>
  <c r="D111" i="3"/>
  <c r="F111" i="3"/>
  <c r="C38" i="3"/>
  <c r="C36" i="3"/>
  <c r="C34" i="3"/>
  <c r="C45" i="3"/>
  <c r="C32" i="3"/>
  <c r="C43" i="3"/>
  <c r="C31" i="3"/>
  <c r="C42" i="3"/>
  <c r="C41" i="3"/>
  <c r="C29" i="3"/>
  <c r="C27" i="3"/>
  <c r="C40" i="3"/>
  <c r="C33" i="3"/>
  <c r="C39" i="3"/>
  <c r="C35" i="3"/>
  <c r="C44" i="3"/>
  <c r="H20" i="7" l="1"/>
  <c r="I20" i="7" s="1"/>
  <c r="H22" i="7"/>
  <c r="I22" i="7" s="1"/>
  <c r="F29" i="5"/>
  <c r="AB13" i="5"/>
  <c r="AB16" i="5"/>
  <c r="AB15" i="5"/>
  <c r="AB14" i="5"/>
  <c r="AD15" i="5"/>
  <c r="AD16" i="5"/>
  <c r="AD14" i="5"/>
  <c r="AD13" i="5"/>
  <c r="F89" i="5"/>
  <c r="F72" i="5"/>
  <c r="AC15" i="5"/>
  <c r="AC14" i="5"/>
  <c r="AC13" i="5"/>
  <c r="AC16" i="5"/>
  <c r="F102" i="5"/>
  <c r="F30" i="5"/>
  <c r="F42" i="5"/>
  <c r="F26" i="5"/>
  <c r="F92" i="5"/>
  <c r="F65" i="5"/>
  <c r="F91" i="5"/>
  <c r="F71" i="5"/>
  <c r="P29" i="3"/>
  <c r="U161" i="3"/>
  <c r="J171" i="3" s="1"/>
  <c r="U138" i="3"/>
  <c r="U118" i="3"/>
  <c r="F101" i="5"/>
  <c r="F94" i="5"/>
  <c r="F69" i="5"/>
  <c r="F87" i="5"/>
  <c r="F40" i="5"/>
  <c r="F73" i="5"/>
  <c r="F74" i="5"/>
  <c r="F96" i="5"/>
  <c r="F93" i="5"/>
  <c r="F57" i="5"/>
  <c r="F86" i="5"/>
  <c r="F95" i="5"/>
  <c r="F100" i="5"/>
  <c r="F103" i="5"/>
  <c r="F59" i="5"/>
  <c r="F56" i="5"/>
  <c r="F90" i="5"/>
  <c r="F33" i="5"/>
  <c r="F31" i="5"/>
  <c r="F27" i="5"/>
  <c r="F45" i="5"/>
  <c r="F67" i="5"/>
  <c r="F43" i="5"/>
  <c r="F88" i="5"/>
  <c r="F98" i="5"/>
  <c r="F70" i="5"/>
  <c r="F61" i="5"/>
  <c r="F55" i="5"/>
  <c r="F62" i="5"/>
  <c r="F35" i="5"/>
  <c r="F85" i="5"/>
  <c r="F68" i="5"/>
  <c r="F97" i="5"/>
  <c r="F38" i="5"/>
  <c r="F36" i="5"/>
  <c r="F32" i="5"/>
  <c r="F34" i="5"/>
  <c r="F99" i="5"/>
  <c r="F44" i="5"/>
  <c r="F28" i="5"/>
  <c r="F60" i="5"/>
  <c r="F41" i="5"/>
  <c r="F39" i="5"/>
  <c r="F37" i="5"/>
  <c r="F58" i="5"/>
  <c r="S106" i="3"/>
  <c r="R76" i="3"/>
  <c r="P48" i="3"/>
  <c r="R61" i="3"/>
  <c r="H77" i="3" s="1"/>
  <c r="S95" i="3"/>
  <c r="I107" i="3" s="1"/>
  <c r="F49" i="3"/>
  <c r="J139" i="3" l="1"/>
</calcChain>
</file>

<file path=xl/sharedStrings.xml><?xml version="1.0" encoding="utf-8"?>
<sst xmlns="http://schemas.openxmlformats.org/spreadsheetml/2006/main" count="8513" uniqueCount="232">
  <si>
    <t>Div</t>
  </si>
  <si>
    <t>date</t>
  </si>
  <si>
    <t>Time</t>
  </si>
  <si>
    <t>HomeTeam</t>
  </si>
  <si>
    <t>AwayTeam</t>
  </si>
  <si>
    <t>HxG</t>
  </si>
  <si>
    <t>AxG</t>
  </si>
  <si>
    <t>HPoss</t>
  </si>
  <si>
    <t>APoss</t>
  </si>
  <si>
    <t>HTP</t>
  </si>
  <si>
    <t>ATP</t>
  </si>
  <si>
    <t>HSP</t>
  </si>
  <si>
    <t>ASP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</si>
  <si>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</si>
  <si>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</si>
  <si>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</si>
  <si>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</si>
  <si>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</si>
  <si>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</si>
  <si>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</si>
  <si>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</si>
  <si>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</si>
  <si>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</si>
  <si>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</si>
  <si>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</si>
  <si>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</si>
  <si>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</si>
  <si>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</si>
  <si>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</si>
  <si>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</si>
  <si>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</si>
  <si>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E0</t>
  </si>
  <si>
    <t>20:00</t>
  </si>
  <si>
    <t>Manchester Utd</t>
  </si>
  <si>
    <t>Fulham</t>
  </si>
  <si>
    <t>H</t>
  </si>
  <si>
    <t>D</t>
  </si>
  <si>
    <t>12:30</t>
  </si>
  <si>
    <t>Ipswich Town</t>
  </si>
  <si>
    <t>Liverpool</t>
  </si>
  <si>
    <t>A</t>
  </si>
  <si>
    <t>15:00</t>
  </si>
  <si>
    <t>Arsenal</t>
  </si>
  <si>
    <t>Wolves</t>
  </si>
  <si>
    <t>Everton</t>
  </si>
  <si>
    <t>Brighton</t>
  </si>
  <si>
    <t>Newcastle Utd</t>
  </si>
  <si>
    <t>Southampton</t>
  </si>
  <si>
    <t>Nott'ham Forest</t>
  </si>
  <si>
    <t>Bournemouth</t>
  </si>
  <si>
    <t>17:30</t>
  </si>
  <si>
    <t>West Ham</t>
  </si>
  <si>
    <t>Aston Villa</t>
  </si>
  <si>
    <t>14:00</t>
  </si>
  <si>
    <t>Brentford</t>
  </si>
  <si>
    <t>Crystal Palace</t>
  </si>
  <si>
    <t>16:30</t>
  </si>
  <si>
    <t>Chelsea</t>
  </si>
  <si>
    <t>Manchester City</t>
  </si>
  <si>
    <t>Leicester City</t>
  </si>
  <si>
    <t>Tottenham</t>
  </si>
  <si>
    <t>13:30</t>
  </si>
  <si>
    <t>16:00</t>
  </si>
  <si>
    <t>19:30</t>
  </si>
  <si>
    <t>20:15</t>
  </si>
  <si>
    <t>19:00</t>
  </si>
  <si>
    <t>14:30</t>
  </si>
  <si>
    <t>17:15</t>
  </si>
  <si>
    <t>19:45</t>
  </si>
  <si>
    <t>12:00</t>
  </si>
  <si>
    <t>14:15</t>
  </si>
  <si>
    <t>xG</t>
  </si>
  <si>
    <t>Poss</t>
  </si>
  <si>
    <t>TP</t>
  </si>
  <si>
    <t>SP</t>
  </si>
  <si>
    <t>TS</t>
  </si>
  <si>
    <t>Row Labels</t>
  </si>
  <si>
    <t>Average of HxG</t>
  </si>
  <si>
    <t>Average of HPoss</t>
  </si>
  <si>
    <t>Average of HTP</t>
  </si>
  <si>
    <t>Average of HSP</t>
  </si>
  <si>
    <t>Average of HS</t>
  </si>
  <si>
    <t>Average of HST</t>
  </si>
  <si>
    <t>Average of HF</t>
  </si>
  <si>
    <t>Average of HC</t>
  </si>
  <si>
    <t>Average of HY</t>
  </si>
  <si>
    <t>Average of HR</t>
  </si>
  <si>
    <t>ST</t>
  </si>
  <si>
    <t>F</t>
  </si>
  <si>
    <t>C</t>
  </si>
  <si>
    <t>Y</t>
  </si>
  <si>
    <t>R</t>
  </si>
  <si>
    <t>C2= ASTON</t>
  </si>
  <si>
    <t>C1 = ARSENAL</t>
  </si>
  <si>
    <t>C1</t>
  </si>
  <si>
    <t>C2</t>
  </si>
  <si>
    <t>Avg</t>
  </si>
  <si>
    <t>WCSS=</t>
  </si>
  <si>
    <t xml:space="preserve">WCSS = </t>
  </si>
  <si>
    <t>C1 = BOURNE</t>
  </si>
  <si>
    <t>C2=BRENTFORD</t>
  </si>
  <si>
    <t>C3 = BRIGHTON</t>
  </si>
  <si>
    <t>C3</t>
  </si>
  <si>
    <t>WCSS</t>
  </si>
  <si>
    <t>C1=CHELSEA</t>
  </si>
  <si>
    <t>C2=CRYSTAL</t>
  </si>
  <si>
    <t>C3=EVERTON</t>
  </si>
  <si>
    <t>C4=FULHAM</t>
  </si>
  <si>
    <t>C4</t>
  </si>
  <si>
    <t>C5</t>
  </si>
  <si>
    <t>Prate</t>
  </si>
  <si>
    <t>Average of Prate</t>
  </si>
  <si>
    <t>ITERASI 1</t>
  </si>
  <si>
    <t>Cluster</t>
  </si>
  <si>
    <t>ITEASI 2</t>
  </si>
  <si>
    <t>ITERASI 3</t>
  </si>
  <si>
    <t>ITERASI 4</t>
  </si>
  <si>
    <t>Team</t>
  </si>
  <si>
    <t>Result</t>
  </si>
  <si>
    <t>Win</t>
  </si>
  <si>
    <t>Lose</t>
  </si>
  <si>
    <t>Draw</t>
  </si>
  <si>
    <t>Poss Sedikit ^ PR Sedikit ^ Menang</t>
  </si>
  <si>
    <t>Poss Sedikit ^ PR Banyak ^ Menang</t>
  </si>
  <si>
    <t>Poss Sedikit ^ PR Sedikit ^ Seri</t>
  </si>
  <si>
    <t>Poss Sedikit ^ PR Sedikit ^ Kalah</t>
  </si>
  <si>
    <t>Poss Sedikit ^ PR Banyak ^ Seri</t>
  </si>
  <si>
    <t>Poss Sedikit ^ PR Banyak ^ Kalah</t>
  </si>
  <si>
    <t>Poss Banyak ^ PR Sedikit ^ Menang</t>
  </si>
  <si>
    <t>Poss Banyak ^ PR Sedikit ^ Seri</t>
  </si>
  <si>
    <t>Poss Banyak ^ PR Sedikit ^ Kalah</t>
  </si>
  <si>
    <t>Poss Banyak ^ PR Banyak ^ Menang</t>
  </si>
  <si>
    <t>Poss Banyak ^ PR Banyak ^ Seri</t>
  </si>
  <si>
    <t>Poss Banyak ^ PR Banyak ^ Kalah</t>
  </si>
  <si>
    <t>Confidence</t>
  </si>
  <si>
    <t>Support ABC</t>
  </si>
  <si>
    <t>Support AB</t>
  </si>
  <si>
    <t>Lift</t>
  </si>
  <si>
    <t>F1</t>
  </si>
  <si>
    <t>F2</t>
  </si>
  <si>
    <t>F3</t>
  </si>
  <si>
    <t>F4</t>
  </si>
  <si>
    <t>F5</t>
  </si>
  <si>
    <t>F6</t>
  </si>
  <si>
    <t>Jarak C1 ke C1</t>
  </si>
  <si>
    <t>A ke A</t>
  </si>
  <si>
    <t>A ke F</t>
  </si>
  <si>
    <t>F ke A</t>
  </si>
  <si>
    <t>F ke F</t>
  </si>
  <si>
    <t>Jarak C1 ke lain</t>
  </si>
  <si>
    <t>A ke B</t>
  </si>
  <si>
    <t xml:space="preserve">Ake C </t>
  </si>
  <si>
    <t>Ake D</t>
  </si>
  <si>
    <t>A ke G</t>
  </si>
  <si>
    <t>A ke E</t>
  </si>
  <si>
    <t>A ke H</t>
  </si>
  <si>
    <t>A ke I</t>
  </si>
  <si>
    <t>A ke J</t>
  </si>
  <si>
    <t>F ke B</t>
  </si>
  <si>
    <t>F ke C</t>
  </si>
  <si>
    <t>F ke D</t>
  </si>
  <si>
    <t>F ke E</t>
  </si>
  <si>
    <t>F ke G</t>
  </si>
  <si>
    <t>F ke H</t>
  </si>
  <si>
    <t>F ke I</t>
  </si>
  <si>
    <t>F ke J</t>
  </si>
  <si>
    <t>b</t>
  </si>
  <si>
    <t>a()</t>
  </si>
  <si>
    <t>b()</t>
  </si>
  <si>
    <t>s(A)</t>
  </si>
  <si>
    <t>a(A)</t>
  </si>
  <si>
    <t>b(A)</t>
  </si>
  <si>
    <t>s(F)</t>
  </si>
  <si>
    <t>b(F)</t>
  </si>
  <si>
    <t>a(F)</t>
  </si>
  <si>
    <t>Jarak C2 ke C2</t>
  </si>
  <si>
    <t>C ke C</t>
  </si>
  <si>
    <t>C ke D</t>
  </si>
  <si>
    <t>E</t>
  </si>
  <si>
    <t>G</t>
  </si>
  <si>
    <t>h</t>
  </si>
  <si>
    <t>i</t>
  </si>
  <si>
    <t>J</t>
  </si>
  <si>
    <t>D ke E</t>
  </si>
  <si>
    <t>f</t>
  </si>
  <si>
    <t>g</t>
  </si>
  <si>
    <t>j</t>
  </si>
  <si>
    <t>G ke H</t>
  </si>
  <si>
    <t>H ke J</t>
  </si>
  <si>
    <t>Jarak C2 ke lain</t>
  </si>
  <si>
    <t>C ke B</t>
  </si>
  <si>
    <t>B</t>
  </si>
  <si>
    <t>D ke A</t>
  </si>
  <si>
    <t>c</t>
  </si>
  <si>
    <t>d</t>
  </si>
  <si>
    <t>e</t>
  </si>
  <si>
    <t>G ke A</t>
  </si>
  <si>
    <t>H ke A</t>
  </si>
  <si>
    <t>J ke B</t>
  </si>
  <si>
    <t xml:space="preserve">a(C) </t>
  </si>
  <si>
    <t>b©</t>
  </si>
  <si>
    <t>s©</t>
  </si>
  <si>
    <t>b(D)</t>
  </si>
  <si>
    <t>a(D)</t>
  </si>
  <si>
    <t>s(D)</t>
  </si>
  <si>
    <t>a(G)</t>
  </si>
  <si>
    <t>b(G)</t>
  </si>
  <si>
    <t>s(G)</t>
  </si>
  <si>
    <t>a(H)</t>
  </si>
  <si>
    <t>b(H)</t>
  </si>
  <si>
    <t>s(H)</t>
  </si>
  <si>
    <t>a(J)</t>
  </si>
  <si>
    <t>b(J)</t>
  </si>
  <si>
    <t>s(J)</t>
  </si>
  <si>
    <t>Jarak C3 ke C3</t>
  </si>
  <si>
    <t xml:space="preserve">B ke B </t>
  </si>
  <si>
    <t>B ke E</t>
  </si>
  <si>
    <t xml:space="preserve">E ke B </t>
  </si>
  <si>
    <t>E ke E</t>
  </si>
  <si>
    <t>E ke I</t>
  </si>
  <si>
    <t xml:space="preserve">I ke B </t>
  </si>
  <si>
    <t>I ke E</t>
  </si>
  <si>
    <t>I ke I</t>
  </si>
  <si>
    <t>Jarak C3 ke yg lain</t>
  </si>
  <si>
    <t>B ke A</t>
  </si>
  <si>
    <t>E ke A</t>
  </si>
  <si>
    <t>I</t>
  </si>
  <si>
    <t>I ke A</t>
  </si>
  <si>
    <t>s(B)</t>
  </si>
  <si>
    <t>s€</t>
  </si>
  <si>
    <t>s(I)</t>
  </si>
  <si>
    <t>b(i)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</si>
</sst>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0.0000"/>
    <numFmt numFmtId="166" formatCode="0.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2" fillId="2" borderId="3" xfId="0" applyFont="1" applyFill="1" applyBorder="1"/>
    <xf numFmtId="165" fontId="0" fillId="0" borderId="0" xfId="0" applyNumberFormat="1"/>
    <xf numFmtId="0" fontId="3" fillId="0" borderId="2" xfId="0" applyFont="1" applyBorder="1" applyAlignment="1">
      <alignment horizontal="center" vertical="top"/>
    </xf>
    <xf numFmtId="0" fontId="0" fillId="3" borderId="0" xfId="0" applyFill="1"/>
    <xf numFmtId="1" fontId="0" fillId="0" borderId="0" xfId="0" applyNumberFormat="1"/>
    <xf numFmtId="166" fontId="0" fillId="0" borderId="0" xfId="0" applyNumberFormat="1"/>
    <xf numFmtId="0" fontId="0" fillId="3" borderId="0" xfId="0" applyFill="1" applyAlignment="1">
      <alignment horizontal="right"/>
    </xf>
    <xf numFmtId="0" fontId="2" fillId="2" borderId="4" xfId="0" applyFont="1" applyFill="1" applyBorder="1"/>
    <xf numFmtId="166" fontId="2" fillId="2" borderId="3" xfId="0" applyNumberFormat="1" applyFont="1" applyFill="1" applyBorder="1"/>
    <xf numFmtId="165" fontId="0" fillId="3" borderId="0" xfId="0" applyNumberFormat="1" applyFill="1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0" xfId="0" applyFont="1"/>
    <xf numFmtId="0" fontId="4" fillId="0" borderId="0" xfId="0" applyFont="1" applyAlignment="1">
      <alignment horizontal="justify" vertical="center"/>
    </xf>
    <xf numFmtId="0" fontId="4" fillId="0" borderId="5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165" fontId="0" fillId="4" borderId="0" xfId="0" applyNumberFormat="1" applyFill="1"/>
    <xf numFmtId="0" fontId="0" fillId="3" borderId="0" xfId="0" applyFill="1" applyAlignment="1">
      <alignment horizontal="left"/>
    </xf>
    <xf numFmtId="0" fontId="0" fillId="5" borderId="0" xfId="0" applyFill="1" applyAlignment="1">
      <alignment horizontal="left"/>
    </xf>
    <xf numFmtId="165" fontId="0" fillId="5" borderId="0" xfId="0" applyNumberFormat="1" applyFill="1"/>
  </cellXfs>
  <cellStyles count="1">
    <cellStyle name="Normal" xfId="0" builtinId="0"/>
  </cellStyles>
  <dxfs count="7">
    <dxf>
      <numFmt numFmtId="166" formatCode="0.0"/>
    </dxf>
    <dxf>
      <numFmt numFmtId="165" formatCode="0.0000"/>
    </dxf>
    <dxf>
      <numFmt numFmtId="165" formatCode="0.0000"/>
    </dxf>
    <dxf>
      <numFmt numFmtId="166" formatCode="0.0"/>
    </dxf>
    <dxf>
      <numFmt numFmtId="166" formatCode="0.0"/>
    </dxf>
    <dxf>
      <numFmt numFmtId="165" formatCode="0.0000"/>
    </dxf>
    <dxf>
      <numFmt numFmtId="165" formatCode="0.00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sw" refreshedDate="45895.863670486113" createdVersion="8" refreshedVersion="8" minRefreshableVersion="3" recordCount="760" xr:uid="{8BA6214E-C434-422F-88DE-6A2B2E2D02F5}">
  <cacheSource type="worksheet">
    <worksheetSource ref="D1:S761" sheet="Per Team"/>
  </cacheSource>
  <cacheFields count="16">
    <cacheField name="HomeTeam" numFmtId="0">
      <sharedItems count="20">
        <s v="Manchester Utd"/>
        <s v="Ipswich Town"/>
        <s v="Arsenal"/>
        <s v="Everton"/>
        <s v="Newcastle Utd"/>
        <s v="Nott'ham Forest"/>
        <s v="West Ham"/>
        <s v="Brentford"/>
        <s v="Chelsea"/>
        <s v="Leicester City"/>
        <s v="Brighton"/>
        <s v="Crystal Palace"/>
        <s v="Fulham"/>
        <s v="Manchester City"/>
        <s v="Southampton"/>
        <s v="Tottenham"/>
        <s v="Aston Villa"/>
        <s v="Bournemouth"/>
        <s v="Wolves"/>
        <s v="Liverpool"/>
      </sharedItems>
    </cacheField>
    <cacheField name="HxG" numFmtId="0">
      <sharedItems containsSemiMixedTypes="0" containsString="0" containsNumber="1" minValue="0" maxValue="5.6"/>
    </cacheField>
    <cacheField name="HPoss" numFmtId="0">
      <sharedItems containsSemiMixedTypes="0" containsString="0" containsNumber="1" containsInteger="1" minValue="23" maxValue="77"/>
    </cacheField>
    <cacheField name="HTP" numFmtId="0">
      <sharedItems containsSemiMixedTypes="0" containsString="0" containsNumber="1" containsInteger="1" minValue="206" maxValue="810"/>
    </cacheField>
    <cacheField name="HSP" numFmtId="0">
      <sharedItems containsSemiMixedTypes="0" containsString="0" containsNumber="1" containsInteger="1" minValue="128" maxValue="749"/>
    </cacheField>
    <cacheField name="Prate" numFmtId="166">
      <sharedItems containsSemiMixedTypes="0" containsString="0" containsNumber="1" minValue="59.090909090909093" maxValue="92.46913580246914"/>
    </cacheField>
    <cacheField name="FTHG" numFmtId="0">
      <sharedItems containsSemiMixedTypes="0" containsString="0" containsNumber="1" containsInteger="1" minValue="0" maxValue="7"/>
    </cacheField>
    <cacheField name="FTR" numFmtId="0">
      <sharedItems/>
    </cacheField>
    <cacheField name="HTHG" numFmtId="0">
      <sharedItems containsSemiMixedTypes="0" containsString="0" containsNumber="1" containsInteger="1" minValue="0" maxValue="5"/>
    </cacheField>
    <cacheField name="HTR" numFmtId="0">
      <sharedItems/>
    </cacheField>
    <cacheField name="HS" numFmtId="0">
      <sharedItems containsSemiMixedTypes="0" containsString="0" containsNumber="1" containsInteger="1" minValue="1" maxValue="37"/>
    </cacheField>
    <cacheField name="HST" numFmtId="0">
      <sharedItems containsSemiMixedTypes="0" containsString="0" containsNumber="1" containsInteger="1" minValue="0" maxValue="16"/>
    </cacheField>
    <cacheField name="HF" numFmtId="0">
      <sharedItems containsSemiMixedTypes="0" containsString="0" containsNumber="1" containsInteger="1" minValue="1" maxValue="21"/>
    </cacheField>
    <cacheField name="HC" numFmtId="0">
      <sharedItems containsSemiMixedTypes="0" containsString="0" containsNumber="1" containsInteger="1" minValue="0" maxValue="18"/>
    </cacheField>
    <cacheField name="HY" numFmtId="0">
      <sharedItems containsSemiMixedTypes="0" containsString="0" containsNumber="1" containsInteger="1" minValue="0" maxValue="8"/>
    </cacheField>
    <cacheField name="HR" numFmtId="0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0">
  <r>
    <x v="0"/>
    <n v="2.4"/>
    <n v="55"/>
    <n v="524"/>
    <n v="430"/>
    <n v="82.061068702290072"/>
    <n v="1"/>
    <s v="H"/>
    <n v="0"/>
    <s v="D"/>
    <n v="14"/>
    <n v="5"/>
    <n v="12"/>
    <n v="7"/>
    <n v="2"/>
    <n v="0"/>
  </r>
  <r>
    <x v="1"/>
    <n v="0.5"/>
    <n v="38"/>
    <n v="381"/>
    <n v="290"/>
    <n v="76.115485564304464"/>
    <n v="0"/>
    <s v="A"/>
    <n v="0"/>
    <s v="D"/>
    <n v="7"/>
    <n v="2"/>
    <n v="9"/>
    <n v="2"/>
    <n v="3"/>
    <n v="0"/>
  </r>
  <r>
    <x v="2"/>
    <n v="1.2"/>
    <n v="53"/>
    <n v="458"/>
    <n v="382"/>
    <n v="83.406113537117903"/>
    <n v="2"/>
    <s v="H"/>
    <n v="1"/>
    <s v="H"/>
    <n v="18"/>
    <n v="6"/>
    <n v="17"/>
    <n v="8"/>
    <n v="2"/>
    <n v="0"/>
  </r>
  <r>
    <x v="3"/>
    <n v="0.5"/>
    <n v="40"/>
    <n v="399"/>
    <n v="298"/>
    <n v="74.686716791979947"/>
    <n v="0"/>
    <s v="A"/>
    <n v="0"/>
    <s v="A"/>
    <n v="9"/>
    <n v="1"/>
    <n v="8"/>
    <n v="1"/>
    <n v="1"/>
    <n v="1"/>
  </r>
  <r>
    <x v="4"/>
    <n v="0.3"/>
    <n v="23"/>
    <n v="207"/>
    <n v="128"/>
    <n v="61.835748792270529"/>
    <n v="1"/>
    <s v="H"/>
    <n v="1"/>
    <s v="H"/>
    <n v="3"/>
    <n v="1"/>
    <n v="15"/>
    <n v="3"/>
    <n v="2"/>
    <n v="1"/>
  </r>
  <r>
    <x v="5"/>
    <n v="1.3"/>
    <n v="53"/>
    <n v="543"/>
    <n v="420"/>
    <n v="77.348066298342545"/>
    <n v="1"/>
    <s v="D"/>
    <n v="1"/>
    <s v="H"/>
    <n v="14"/>
    <n v="8"/>
    <n v="17"/>
    <n v="2"/>
    <n v="1"/>
    <n v="0"/>
  </r>
  <r>
    <x v="6"/>
    <n v="2.2999999999999998"/>
    <n v="52"/>
    <n v="464"/>
    <n v="377"/>
    <n v="81.25"/>
    <n v="1"/>
    <s v="A"/>
    <n v="1"/>
    <s v="D"/>
    <n v="14"/>
    <n v="3"/>
    <n v="18"/>
    <n v="5"/>
    <n v="1"/>
    <n v="0"/>
  </r>
  <r>
    <x v="7"/>
    <n v="1.6"/>
    <n v="46"/>
    <n v="440"/>
    <n v="331"/>
    <n v="75.227272727272734"/>
    <n v="2"/>
    <s v="H"/>
    <n v="1"/>
    <s v="H"/>
    <n v="9"/>
    <n v="5"/>
    <n v="6"/>
    <n v="4"/>
    <n v="1"/>
    <n v="0"/>
  </r>
  <r>
    <x v="8"/>
    <n v="1"/>
    <n v="48"/>
    <n v="531"/>
    <n v="461"/>
    <n v="86.817325800376636"/>
    <n v="0"/>
    <s v="A"/>
    <n v="0"/>
    <s v="A"/>
    <n v="10"/>
    <n v="3"/>
    <n v="12"/>
    <n v="4"/>
    <n v="1"/>
    <n v="0"/>
  </r>
  <r>
    <x v="9"/>
    <n v="1"/>
    <n v="30"/>
    <n v="313"/>
    <n v="237"/>
    <n v="75.718849840255587"/>
    <n v="1"/>
    <s v="D"/>
    <n v="0"/>
    <s v="A"/>
    <n v="7"/>
    <n v="3"/>
    <n v="11"/>
    <n v="2"/>
    <n v="1"/>
    <n v="0"/>
  </r>
  <r>
    <x v="10"/>
    <n v="2.1"/>
    <n v="48"/>
    <n v="514"/>
    <n v="435"/>
    <n v="84.630350194552534"/>
    <n v="2"/>
    <s v="H"/>
    <n v="1"/>
    <s v="H"/>
    <n v="14"/>
    <n v="5"/>
    <n v="9"/>
    <n v="4"/>
    <n v="1"/>
    <n v="0"/>
  </r>
  <r>
    <x v="11"/>
    <n v="1.3"/>
    <n v="58"/>
    <n v="596"/>
    <n v="478"/>
    <n v="80.201342281879192"/>
    <n v="0"/>
    <s v="A"/>
    <n v="0"/>
    <s v="D"/>
    <n v="14"/>
    <n v="2"/>
    <n v="9"/>
    <n v="3"/>
    <n v="1"/>
    <n v="0"/>
  </r>
  <r>
    <x v="12"/>
    <n v="1.8"/>
    <n v="54"/>
    <n v="582"/>
    <n v="489"/>
    <n v="84.020618556701038"/>
    <n v="2"/>
    <s v="H"/>
    <n v="1"/>
    <s v="D"/>
    <n v="18"/>
    <n v="6"/>
    <n v="14"/>
    <n v="7"/>
    <n v="2"/>
    <n v="0"/>
  </r>
  <r>
    <x v="13"/>
    <n v="3.3"/>
    <n v="75"/>
    <n v="796"/>
    <n v="726"/>
    <n v="91.206030150753776"/>
    <n v="4"/>
    <s v="H"/>
    <n v="3"/>
    <s v="H"/>
    <n v="14"/>
    <n v="5"/>
    <n v="4"/>
    <n v="10"/>
    <n v="2"/>
    <n v="0"/>
  </r>
  <r>
    <x v="14"/>
    <n v="0.1"/>
    <n v="64"/>
    <n v="691"/>
    <n v="618"/>
    <n v="89.435600578871203"/>
    <n v="0"/>
    <s v="A"/>
    <n v="0"/>
    <s v="D"/>
    <n v="5"/>
    <n v="1"/>
    <n v="14"/>
    <n v="4"/>
    <n v="3"/>
    <n v="0"/>
  </r>
  <r>
    <x v="15"/>
    <n v="2.4"/>
    <n v="70"/>
    <n v="658"/>
    <n v="574"/>
    <n v="87.2340425531915"/>
    <n v="4"/>
    <s v="H"/>
    <n v="2"/>
    <s v="H"/>
    <n v="13"/>
    <n v="7"/>
    <n v="11"/>
    <n v="12"/>
    <n v="0"/>
    <n v="0"/>
  </r>
  <r>
    <x v="16"/>
    <n v="1.2"/>
    <n v="40"/>
    <n v="358"/>
    <n v="287"/>
    <n v="80.167597765363126"/>
    <n v="0"/>
    <s v="A"/>
    <n v="0"/>
    <s v="D"/>
    <n v="11"/>
    <n v="3"/>
    <n v="8"/>
    <n v="4"/>
    <n v="1"/>
    <n v="0"/>
  </r>
  <r>
    <x v="17"/>
    <n v="2.2000000000000002"/>
    <n v="39"/>
    <n v="359"/>
    <n v="263"/>
    <n v="73.259052924791092"/>
    <n v="1"/>
    <s v="D"/>
    <n v="1"/>
    <s v="H"/>
    <n v="16"/>
    <n v="4"/>
    <n v="19"/>
    <n v="8"/>
    <n v="2"/>
    <n v="0"/>
  </r>
  <r>
    <x v="18"/>
    <n v="1.9"/>
    <n v="40"/>
    <n v="357"/>
    <n v="272"/>
    <n v="76.19047619047619"/>
    <n v="2"/>
    <s v="A"/>
    <n v="2"/>
    <s v="D"/>
    <n v="12"/>
    <n v="4"/>
    <n v="13"/>
    <n v="5"/>
    <n v="2"/>
    <n v="0"/>
  </r>
  <r>
    <x v="19"/>
    <n v="2.5"/>
    <n v="62"/>
    <n v="638"/>
    <n v="571"/>
    <n v="89.498432601880879"/>
    <n v="2"/>
    <s v="H"/>
    <n v="1"/>
    <s v="H"/>
    <n v="19"/>
    <n v="8"/>
    <n v="10"/>
    <n v="9"/>
    <n v="2"/>
    <n v="0"/>
  </r>
  <r>
    <x v="2"/>
    <n v="2.1"/>
    <n v="36"/>
    <n v="296"/>
    <n v="215"/>
    <n v="72.63513513513513"/>
    <n v="1"/>
    <s v="D"/>
    <n v="1"/>
    <s v="H"/>
    <n v="11"/>
    <n v="7"/>
    <n v="12"/>
    <n v="3"/>
    <n v="3"/>
    <n v="1"/>
  </r>
  <r>
    <x v="7"/>
    <n v="2.8"/>
    <n v="37"/>
    <n v="398"/>
    <n v="331"/>
    <n v="83.165829145728637"/>
    <n v="3"/>
    <s v="H"/>
    <n v="1"/>
    <s v="H"/>
    <n v="20"/>
    <n v="7"/>
    <n v="10"/>
    <n v="2"/>
    <n v="2"/>
    <n v="0"/>
  </r>
  <r>
    <x v="3"/>
    <n v="1.8"/>
    <n v="47"/>
    <n v="393"/>
    <n v="280"/>
    <n v="71.246819338422398"/>
    <n v="2"/>
    <s v="A"/>
    <n v="0"/>
    <s v="D"/>
    <n v="18"/>
    <n v="8"/>
    <n v="6"/>
    <n v="8"/>
    <n v="2"/>
    <n v="0"/>
  </r>
  <r>
    <x v="1"/>
    <n v="0.4"/>
    <n v="48"/>
    <n v="434"/>
    <n v="360"/>
    <n v="82.94930875576037"/>
    <n v="1"/>
    <s v="D"/>
    <n v="1"/>
    <s v="D"/>
    <n v="11"/>
    <n v="4"/>
    <n v="15"/>
    <n v="8"/>
    <n v="2"/>
    <n v="0"/>
  </r>
  <r>
    <x v="9"/>
    <n v="0.4"/>
    <n v="57"/>
    <n v="545"/>
    <n v="471"/>
    <n v="86.422018348623851"/>
    <n v="1"/>
    <s v="A"/>
    <n v="0"/>
    <s v="A"/>
    <n v="9"/>
    <n v="3"/>
    <n v="13"/>
    <n v="1"/>
    <n v="4"/>
    <n v="0"/>
  </r>
  <r>
    <x v="5"/>
    <n v="1"/>
    <n v="52"/>
    <n v="412"/>
    <n v="312"/>
    <n v="75.728155339805824"/>
    <n v="1"/>
    <s v="D"/>
    <n v="1"/>
    <s v="D"/>
    <n v="16"/>
    <n v="5"/>
    <n v="15"/>
    <n v="7"/>
    <n v="3"/>
    <n v="0"/>
  </r>
  <r>
    <x v="6"/>
    <n v="0.7"/>
    <n v="33"/>
    <n v="379"/>
    <n v="310"/>
    <n v="81.794195250659627"/>
    <n v="1"/>
    <s v="A"/>
    <n v="1"/>
    <s v="A"/>
    <n v="10"/>
    <n v="2"/>
    <n v="10"/>
    <n v="3"/>
    <n v="3"/>
    <n v="0"/>
  </r>
  <r>
    <x v="8"/>
    <n v="2.4"/>
    <n v="62"/>
    <n v="628"/>
    <n v="553"/>
    <n v="88.057324840764323"/>
    <n v="1"/>
    <s v="D"/>
    <n v="1"/>
    <s v="H"/>
    <n v="13"/>
    <n v="7"/>
    <n v="9"/>
    <n v="4"/>
    <n v="4"/>
    <n v="0"/>
  </r>
  <r>
    <x v="4"/>
    <n v="1.8"/>
    <n v="35"/>
    <n v="296"/>
    <n v="207"/>
    <n v="69.932432432432435"/>
    <n v="2"/>
    <s v="H"/>
    <n v="1"/>
    <s v="H"/>
    <n v="9"/>
    <n v="3"/>
    <n v="16"/>
    <n v="7"/>
    <n v="4"/>
    <n v="0"/>
  </r>
  <r>
    <x v="0"/>
    <n v="1.4"/>
    <n v="53"/>
    <n v="556"/>
    <n v="453"/>
    <n v="81.474820143884898"/>
    <n v="0"/>
    <s v="A"/>
    <n v="0"/>
    <s v="A"/>
    <n v="8"/>
    <n v="3"/>
    <n v="7"/>
    <n v="5"/>
    <n v="4"/>
    <n v="0"/>
  </r>
  <r>
    <x v="14"/>
    <n v="1.1000000000000001"/>
    <n v="44"/>
    <n v="505"/>
    <n v="439"/>
    <n v="86.930693069306926"/>
    <n v="0"/>
    <s v="A"/>
    <n v="0"/>
    <s v="A"/>
    <n v="6"/>
    <n v="4"/>
    <n v="11"/>
    <n v="0"/>
    <n v="1"/>
    <n v="1"/>
  </r>
  <r>
    <x v="10"/>
    <n v="1.6"/>
    <n v="68"/>
    <n v="617"/>
    <n v="512"/>
    <n v="82.982171799027554"/>
    <n v="0"/>
    <s v="D"/>
    <n v="0"/>
    <s v="D"/>
    <n v="21"/>
    <n v="6"/>
    <n v="14"/>
    <n v="9"/>
    <n v="4"/>
    <n v="0"/>
  </r>
  <r>
    <x v="11"/>
    <n v="2.5"/>
    <n v="66"/>
    <n v="652"/>
    <n v="533"/>
    <n v="81.748466257668724"/>
    <n v="2"/>
    <s v="D"/>
    <n v="0"/>
    <s v="A"/>
    <n v="20"/>
    <n v="4"/>
    <n v="11"/>
    <n v="5"/>
    <n v="0"/>
    <n v="0"/>
  </r>
  <r>
    <x v="12"/>
    <n v="1.5"/>
    <n v="54"/>
    <n v="451"/>
    <n v="351"/>
    <n v="77.827050997782706"/>
    <n v="1"/>
    <s v="D"/>
    <n v="1"/>
    <s v="H"/>
    <n v="21"/>
    <n v="5"/>
    <n v="15"/>
    <n v="3"/>
    <n v="2"/>
    <n v="0"/>
  </r>
  <r>
    <x v="19"/>
    <n v="0.9"/>
    <n v="68"/>
    <n v="654"/>
    <n v="542"/>
    <n v="82.874617737003049"/>
    <n v="0"/>
    <s v="A"/>
    <n v="0"/>
    <s v="D"/>
    <n v="14"/>
    <n v="5"/>
    <n v="15"/>
    <n v="7"/>
    <n v="4"/>
    <n v="0"/>
  </r>
  <r>
    <x v="13"/>
    <n v="2.1"/>
    <n v="54"/>
    <n v="581"/>
    <n v="507"/>
    <n v="87.263339070567994"/>
    <n v="2"/>
    <s v="H"/>
    <n v="2"/>
    <s v="H"/>
    <n v="18"/>
    <n v="7"/>
    <n v="9"/>
    <n v="12"/>
    <n v="3"/>
    <n v="0"/>
  </r>
  <r>
    <x v="16"/>
    <n v="2.1"/>
    <n v="72"/>
    <n v="709"/>
    <n v="628"/>
    <n v="88.575458392101552"/>
    <n v="3"/>
    <s v="H"/>
    <n v="1"/>
    <s v="A"/>
    <n v="17"/>
    <n v="8"/>
    <n v="10"/>
    <n v="6"/>
    <n v="1"/>
    <n v="0"/>
  </r>
  <r>
    <x v="17"/>
    <n v="1.7"/>
    <n v="34"/>
    <n v="317"/>
    <n v="214"/>
    <n v="67.50788643533123"/>
    <n v="0"/>
    <s v="A"/>
    <n v="0"/>
    <s v="D"/>
    <n v="19"/>
    <n v="7"/>
    <n v="16"/>
    <n v="6"/>
    <n v="6"/>
    <n v="0"/>
  </r>
  <r>
    <x v="15"/>
    <n v="0.7"/>
    <n v="63"/>
    <n v="553"/>
    <n v="470"/>
    <n v="84.99095840867993"/>
    <n v="0"/>
    <s v="A"/>
    <n v="0"/>
    <s v="D"/>
    <n v="15"/>
    <n v="5"/>
    <n v="13"/>
    <n v="7"/>
    <n v="5"/>
    <n v="0"/>
  </r>
  <r>
    <x v="18"/>
    <n v="1.2"/>
    <n v="49"/>
    <n v="483"/>
    <n v="389"/>
    <n v="80.53830227743272"/>
    <n v="1"/>
    <s v="A"/>
    <n v="1"/>
    <s v="H"/>
    <n v="12"/>
    <n v="5"/>
    <n v="17"/>
    <n v="4"/>
    <n v="3"/>
    <n v="0"/>
  </r>
  <r>
    <x v="6"/>
    <n v="0.9"/>
    <n v="53"/>
    <n v="542"/>
    <n v="463"/>
    <n v="85.424354243542439"/>
    <n v="0"/>
    <s v="A"/>
    <n v="0"/>
    <s v="A"/>
    <n v="15"/>
    <n v="7"/>
    <n v="17"/>
    <n v="6"/>
    <n v="5"/>
    <n v="0"/>
  </r>
  <r>
    <x v="16"/>
    <n v="1.7"/>
    <n v="53"/>
    <n v="480"/>
    <n v="412"/>
    <n v="85.833333333333329"/>
    <n v="3"/>
    <s v="H"/>
    <n v="0"/>
    <s v="A"/>
    <n v="9"/>
    <n v="4"/>
    <n v="11"/>
    <n v="6"/>
    <n v="3"/>
    <n v="0"/>
  </r>
  <r>
    <x v="12"/>
    <n v="2.2000000000000002"/>
    <n v="39"/>
    <n v="379"/>
    <n v="305"/>
    <n v="80.474934036939317"/>
    <n v="3"/>
    <s v="H"/>
    <n v="2"/>
    <s v="H"/>
    <n v="22"/>
    <n v="11"/>
    <n v="16"/>
    <n v="6"/>
    <n v="6"/>
    <n v="0"/>
  </r>
  <r>
    <x v="9"/>
    <n v="0.7"/>
    <n v="58"/>
    <n v="522"/>
    <n v="426"/>
    <n v="81.609195402298852"/>
    <n v="1"/>
    <s v="D"/>
    <n v="0"/>
    <s v="A"/>
    <n v="12"/>
    <n v="2"/>
    <n v="11"/>
    <n v="6"/>
    <n v="1"/>
    <n v="0"/>
  </r>
  <r>
    <x v="19"/>
    <n v="2"/>
    <n v="58"/>
    <n v="619"/>
    <n v="546"/>
    <n v="88.206785137318249"/>
    <n v="3"/>
    <s v="H"/>
    <n v="3"/>
    <s v="H"/>
    <n v="19"/>
    <n v="13"/>
    <n v="10"/>
    <n v="3"/>
    <n v="1"/>
    <n v="0"/>
  </r>
  <r>
    <x v="14"/>
    <n v="2.4"/>
    <n v="53"/>
    <n v="517"/>
    <n v="439"/>
    <n v="84.912959381044487"/>
    <n v="1"/>
    <s v="D"/>
    <n v="1"/>
    <s v="H"/>
    <n v="11"/>
    <n v="3"/>
    <n v="16"/>
    <n v="2"/>
    <n v="4"/>
    <n v="0"/>
  </r>
  <r>
    <x v="15"/>
    <n v="3.5"/>
    <n v="48"/>
    <n v="485"/>
    <n v="381"/>
    <n v="78.55670103092784"/>
    <n v="3"/>
    <s v="H"/>
    <n v="2"/>
    <s v="H"/>
    <n v="23"/>
    <n v="10"/>
    <n v="11"/>
    <n v="9"/>
    <n v="3"/>
    <n v="0"/>
  </r>
  <r>
    <x v="11"/>
    <n v="1"/>
    <n v="33"/>
    <n v="342"/>
    <n v="239"/>
    <n v="69.883040935672511"/>
    <n v="0"/>
    <s v="D"/>
    <n v="0"/>
    <s v="D"/>
    <n v="9"/>
    <n v="4"/>
    <n v="7"/>
    <n v="4"/>
    <n v="3"/>
    <n v="0"/>
  </r>
  <r>
    <x v="10"/>
    <n v="1"/>
    <n v="70"/>
    <n v="619"/>
    <n v="510"/>
    <n v="82.390953150242325"/>
    <n v="2"/>
    <s v="D"/>
    <n v="2"/>
    <s v="H"/>
    <n v="14"/>
    <n v="3"/>
    <n v="12"/>
    <n v="9"/>
    <n v="3"/>
    <n v="0"/>
  </r>
  <r>
    <x v="13"/>
    <n v="2.1"/>
    <n v="77"/>
    <n v="749"/>
    <n v="669"/>
    <n v="89.31909212283044"/>
    <n v="2"/>
    <s v="D"/>
    <n v="1"/>
    <s v="A"/>
    <n v="33"/>
    <n v="11"/>
    <n v="7"/>
    <n v="8"/>
    <n v="3"/>
    <n v="0"/>
  </r>
  <r>
    <x v="4"/>
    <n v="1.6"/>
    <n v="38"/>
    <n v="368"/>
    <n v="285"/>
    <n v="77.445652173913047"/>
    <n v="1"/>
    <s v="D"/>
    <n v="0"/>
    <s v="A"/>
    <n v="11"/>
    <n v="4"/>
    <n v="14"/>
    <n v="5"/>
    <n v="4"/>
    <n v="0"/>
  </r>
  <r>
    <x v="2"/>
    <n v="4.4000000000000004"/>
    <n v="74"/>
    <n v="723"/>
    <n v="620"/>
    <n v="85.753803596127241"/>
    <n v="4"/>
    <s v="H"/>
    <n v="2"/>
    <s v="H"/>
    <n v="36"/>
    <n v="16"/>
    <n v="11"/>
    <n v="17"/>
    <n v="2"/>
    <n v="0"/>
  </r>
  <r>
    <x v="7"/>
    <n v="0.4"/>
    <n v="57"/>
    <n v="578"/>
    <n v="448"/>
    <n v="77.508650519031136"/>
    <n v="1"/>
    <s v="D"/>
    <n v="1"/>
    <s v="H"/>
    <n v="8"/>
    <n v="3"/>
    <n v="2"/>
    <n v="7"/>
    <n v="2"/>
    <n v="0"/>
  </r>
  <r>
    <x v="8"/>
    <n v="4.2"/>
    <n v="41"/>
    <n v="414"/>
    <n v="312"/>
    <n v="75.362318840579718"/>
    <n v="4"/>
    <s v="H"/>
    <n v="4"/>
    <s v="H"/>
    <n v="15"/>
    <n v="7"/>
    <n v="11"/>
    <n v="8"/>
    <n v="3"/>
    <n v="0"/>
  </r>
  <r>
    <x v="3"/>
    <n v="0.9"/>
    <n v="41"/>
    <n v="399"/>
    <n v="287"/>
    <n v="71.929824561403507"/>
    <n v="2"/>
    <s v="H"/>
    <n v="0"/>
    <s v="A"/>
    <n v="8"/>
    <n v="2"/>
    <n v="13"/>
    <n v="5"/>
    <n v="2"/>
    <n v="0"/>
  </r>
  <r>
    <x v="5"/>
    <n v="0.8"/>
    <n v="41"/>
    <n v="398"/>
    <n v="291"/>
    <n v="73.115577889447238"/>
    <n v="0"/>
    <s v="A"/>
    <n v="0"/>
    <s v="D"/>
    <n v="11"/>
    <n v="1"/>
    <n v="11"/>
    <n v="6"/>
    <n v="2"/>
    <n v="0"/>
  </r>
  <r>
    <x v="18"/>
    <n v="0.6"/>
    <n v="45"/>
    <n v="465"/>
    <n v="382"/>
    <n v="82.150537634408607"/>
    <n v="1"/>
    <s v="A"/>
    <n v="0"/>
    <s v="A"/>
    <n v="8"/>
    <n v="3"/>
    <n v="16"/>
    <n v="2"/>
    <n v="2"/>
    <n v="0"/>
  </r>
  <r>
    <x v="1"/>
    <n v="1.2"/>
    <n v="44"/>
    <n v="441"/>
    <n v="361"/>
    <n v="81.859410430838992"/>
    <n v="2"/>
    <s v="D"/>
    <n v="1"/>
    <s v="A"/>
    <n v="15"/>
    <n v="5"/>
    <n v="10"/>
    <n v="10"/>
    <n v="4"/>
    <n v="0"/>
  </r>
  <r>
    <x v="0"/>
    <n v="1"/>
    <n v="39"/>
    <n v="436"/>
    <n v="336"/>
    <n v="77.064220183486242"/>
    <n v="0"/>
    <s v="A"/>
    <n v="0"/>
    <s v="A"/>
    <n v="11"/>
    <n v="2"/>
    <n v="16"/>
    <n v="5"/>
    <n v="5"/>
    <n v="1"/>
  </r>
  <r>
    <x v="17"/>
    <n v="1.3"/>
    <n v="40"/>
    <n v="420"/>
    <n v="321"/>
    <n v="76.428571428571416"/>
    <n v="3"/>
    <s v="H"/>
    <n v="3"/>
    <s v="H"/>
    <n v="14"/>
    <n v="6"/>
    <n v="19"/>
    <n v="7"/>
    <n v="2"/>
    <n v="0"/>
  </r>
  <r>
    <x v="11"/>
    <n v="0.6"/>
    <n v="32"/>
    <n v="325"/>
    <n v="221"/>
    <n v="68"/>
    <n v="0"/>
    <s v="A"/>
    <n v="0"/>
    <s v="A"/>
    <n v="9"/>
    <n v="5"/>
    <n v="7"/>
    <n v="3"/>
    <n v="4"/>
    <n v="0"/>
  </r>
  <r>
    <x v="2"/>
    <n v="2.8"/>
    <n v="59"/>
    <n v="590"/>
    <n v="505"/>
    <n v="85.593220338983059"/>
    <n v="3"/>
    <s v="H"/>
    <n v="0"/>
    <s v="D"/>
    <n v="29"/>
    <n v="6"/>
    <n v="10"/>
    <n v="13"/>
    <n v="0"/>
    <n v="0"/>
  </r>
  <r>
    <x v="7"/>
    <n v="4.2"/>
    <n v="44"/>
    <n v="410"/>
    <n v="308"/>
    <n v="75.121951219512198"/>
    <n v="5"/>
    <s v="H"/>
    <n v="4"/>
    <s v="H"/>
    <n v="19"/>
    <n v="12"/>
    <n v="9"/>
    <n v="10"/>
    <n v="2"/>
    <n v="0"/>
  </r>
  <r>
    <x v="9"/>
    <n v="0.8"/>
    <n v="45"/>
    <n v="404"/>
    <n v="306"/>
    <n v="75.742574257425744"/>
    <n v="1"/>
    <s v="H"/>
    <n v="1"/>
    <s v="H"/>
    <n v="6"/>
    <n v="2"/>
    <n v="12"/>
    <n v="0"/>
    <n v="4"/>
    <n v="0"/>
  </r>
  <r>
    <x v="13"/>
    <n v="1.6"/>
    <n v="58"/>
    <n v="663"/>
    <n v="592"/>
    <n v="89.291101055806948"/>
    <n v="3"/>
    <s v="H"/>
    <n v="1"/>
    <s v="D"/>
    <n v="20"/>
    <n v="7"/>
    <n v="4"/>
    <n v="8"/>
    <n v="2"/>
    <n v="0"/>
  </r>
  <r>
    <x v="6"/>
    <n v="3.6"/>
    <n v="52"/>
    <n v="528"/>
    <n v="452"/>
    <n v="85.606060606060609"/>
    <n v="4"/>
    <s v="H"/>
    <n v="2"/>
    <s v="H"/>
    <n v="23"/>
    <n v="13"/>
    <n v="12"/>
    <n v="5"/>
    <n v="0"/>
    <n v="0"/>
  </r>
  <r>
    <x v="3"/>
    <n v="0.7"/>
    <n v="33"/>
    <n v="340"/>
    <n v="246"/>
    <n v="72.35294117647058"/>
    <n v="0"/>
    <s v="D"/>
    <n v="0"/>
    <s v="D"/>
    <n v="8"/>
    <n v="2"/>
    <n v="12"/>
    <n v="0"/>
    <n v="1"/>
    <n v="0"/>
  </r>
  <r>
    <x v="16"/>
    <n v="0.5"/>
    <n v="53"/>
    <n v="454"/>
    <n v="359"/>
    <n v="79.074889867841421"/>
    <n v="0"/>
    <s v="D"/>
    <n v="0"/>
    <s v="D"/>
    <n v="11"/>
    <n v="1"/>
    <n v="12"/>
    <n v="6"/>
    <n v="1"/>
    <n v="0"/>
  </r>
  <r>
    <x v="8"/>
    <n v="2.2999999999999998"/>
    <n v="65"/>
    <n v="641"/>
    <n v="543"/>
    <n v="84.711388455538213"/>
    <n v="1"/>
    <s v="D"/>
    <n v="0"/>
    <s v="D"/>
    <n v="22"/>
    <n v="8"/>
    <n v="12"/>
    <n v="11"/>
    <n v="6"/>
    <n v="0"/>
  </r>
  <r>
    <x v="10"/>
    <n v="1.8"/>
    <n v="41"/>
    <n v="397"/>
    <n v="319"/>
    <n v="80.352644836272034"/>
    <n v="3"/>
    <s v="H"/>
    <n v="0"/>
    <s v="A"/>
    <n v="11"/>
    <n v="4"/>
    <n v="14"/>
    <n v="4"/>
    <n v="2"/>
    <n v="0"/>
  </r>
  <r>
    <x v="15"/>
    <n v="1.9"/>
    <n v="57"/>
    <n v="527"/>
    <n v="443"/>
    <n v="84.060721062618597"/>
    <n v="4"/>
    <s v="H"/>
    <n v="1"/>
    <s v="D"/>
    <n v="22"/>
    <n v="7"/>
    <n v="10"/>
    <n v="13"/>
    <n v="1"/>
    <n v="0"/>
  </r>
  <r>
    <x v="12"/>
    <n v="1.8"/>
    <n v="52"/>
    <n v="483"/>
    <n v="398"/>
    <n v="82.401656314699792"/>
    <n v="1"/>
    <s v="A"/>
    <n v="1"/>
    <s v="D"/>
    <n v="10"/>
    <n v="4"/>
    <n v="8"/>
    <n v="6"/>
    <n v="3"/>
    <n v="1"/>
  </r>
  <r>
    <x v="1"/>
    <n v="1.3"/>
    <n v="55"/>
    <n v="539"/>
    <n v="449"/>
    <n v="83.302411873840441"/>
    <n v="0"/>
    <s v="A"/>
    <n v="0"/>
    <s v="A"/>
    <n v="13"/>
    <n v="2"/>
    <n v="12"/>
    <n v="5"/>
    <n v="1"/>
    <n v="0"/>
  </r>
  <r>
    <x v="0"/>
    <n v="1.3"/>
    <n v="50"/>
    <n v="530"/>
    <n v="435"/>
    <n v="82.075471698113205"/>
    <n v="2"/>
    <s v="H"/>
    <n v="0"/>
    <s v="A"/>
    <n v="23"/>
    <n v="11"/>
    <n v="14"/>
    <n v="9"/>
    <n v="2"/>
    <n v="0"/>
  </r>
  <r>
    <x v="4"/>
    <n v="2"/>
    <n v="60"/>
    <n v="599"/>
    <n v="479"/>
    <n v="79.966611018363949"/>
    <n v="0"/>
    <s v="A"/>
    <n v="0"/>
    <s v="A"/>
    <n v="21"/>
    <n v="6"/>
    <n v="11"/>
    <n v="9"/>
    <n v="2"/>
    <n v="0"/>
  </r>
  <r>
    <x v="14"/>
    <n v="2.1"/>
    <n v="42"/>
    <n v="398"/>
    <n v="317"/>
    <n v="79.64824120603015"/>
    <n v="2"/>
    <s v="A"/>
    <n v="2"/>
    <s v="H"/>
    <n v="14"/>
    <n v="7"/>
    <n v="10"/>
    <n v="10"/>
    <n v="5"/>
    <n v="1"/>
  </r>
  <r>
    <x v="17"/>
    <n v="1.8"/>
    <n v="49"/>
    <n v="453"/>
    <n v="346"/>
    <n v="76.379690949227381"/>
    <n v="2"/>
    <s v="H"/>
    <n v="0"/>
    <s v="D"/>
    <n v="13"/>
    <n v="4"/>
    <n v="12"/>
    <n v="7"/>
    <n v="1"/>
    <n v="0"/>
  </r>
  <r>
    <x v="18"/>
    <n v="0.8"/>
    <n v="23"/>
    <n v="237"/>
    <n v="158"/>
    <n v="66.666666666666657"/>
    <n v="1"/>
    <s v="A"/>
    <n v="1"/>
    <s v="D"/>
    <n v="3"/>
    <n v="2"/>
    <n v="8"/>
    <n v="1"/>
    <n v="4"/>
    <n v="0"/>
  </r>
  <r>
    <x v="19"/>
    <n v="1.9"/>
    <n v="43"/>
    <n v="439"/>
    <n v="345"/>
    <n v="78.587699316628701"/>
    <n v="2"/>
    <s v="H"/>
    <n v="1"/>
    <s v="H"/>
    <n v="9"/>
    <n v="5"/>
    <n v="12"/>
    <n v="1"/>
    <n v="4"/>
    <n v="0"/>
  </r>
  <r>
    <x v="5"/>
    <n v="1.7"/>
    <n v="51"/>
    <n v="493"/>
    <n v="391"/>
    <n v="79.310344827586206"/>
    <n v="1"/>
    <s v="H"/>
    <n v="0"/>
    <s v="D"/>
    <n v="20"/>
    <n v="6"/>
    <n v="9"/>
    <n v="6"/>
    <n v="2"/>
    <n v="0"/>
  </r>
  <r>
    <x v="9"/>
    <n v="0.8"/>
    <n v="65"/>
    <n v="615"/>
    <n v="518"/>
    <n v="84.22764227642277"/>
    <n v="1"/>
    <s v="A"/>
    <n v="1"/>
    <s v="D"/>
    <n v="11"/>
    <n v="1"/>
    <n v="16"/>
    <n v="6"/>
    <n v="5"/>
    <n v="0"/>
  </r>
  <r>
    <x v="16"/>
    <n v="1.8"/>
    <n v="57"/>
    <n v="475"/>
    <n v="383"/>
    <n v="80.631578947368425"/>
    <n v="1"/>
    <s v="D"/>
    <n v="0"/>
    <s v="D"/>
    <n v="18"/>
    <n v="8"/>
    <n v="12"/>
    <n v="9"/>
    <n v="7"/>
    <n v="0"/>
  </r>
  <r>
    <x v="7"/>
    <n v="4"/>
    <n v="65"/>
    <n v="612"/>
    <n v="499"/>
    <n v="81.535947712418306"/>
    <n v="4"/>
    <s v="H"/>
    <n v="2"/>
    <s v="D"/>
    <n v="20"/>
    <n v="9"/>
    <n v="7"/>
    <n v="5"/>
    <n v="0"/>
    <n v="0"/>
  </r>
  <r>
    <x v="10"/>
    <n v="1.3"/>
    <n v="51"/>
    <n v="500"/>
    <n v="417"/>
    <n v="83.399999999999991"/>
    <n v="2"/>
    <s v="D"/>
    <n v="1"/>
    <s v="H"/>
    <n v="19"/>
    <n v="6"/>
    <n v="12"/>
    <n v="9"/>
    <n v="3"/>
    <n v="0"/>
  </r>
  <r>
    <x v="13"/>
    <n v="2.9"/>
    <n v="57"/>
    <n v="660"/>
    <n v="595"/>
    <n v="90.151515151515156"/>
    <n v="1"/>
    <s v="H"/>
    <n v="1"/>
    <s v="H"/>
    <n v="22"/>
    <n v="8"/>
    <n v="9"/>
    <n v="12"/>
    <n v="1"/>
    <n v="0"/>
  </r>
  <r>
    <x v="3"/>
    <n v="0.8"/>
    <n v="40"/>
    <n v="429"/>
    <n v="331"/>
    <n v="77.156177156177151"/>
    <n v="1"/>
    <s v="D"/>
    <n v="0"/>
    <s v="D"/>
    <n v="10"/>
    <n v="5"/>
    <n v="8"/>
    <n v="4"/>
    <n v="1"/>
    <n v="0"/>
  </r>
  <r>
    <x v="8"/>
    <n v="1.6"/>
    <n v="50"/>
    <n v="495"/>
    <n v="404"/>
    <n v="81.616161616161619"/>
    <n v="2"/>
    <s v="H"/>
    <n v="1"/>
    <s v="D"/>
    <n v="17"/>
    <n v="7"/>
    <n v="13"/>
    <n v="7"/>
    <n v="6"/>
    <n v="0"/>
  </r>
  <r>
    <x v="11"/>
    <n v="0.8"/>
    <n v="34"/>
    <n v="296"/>
    <n v="181"/>
    <n v="61.148648648648653"/>
    <n v="1"/>
    <s v="H"/>
    <n v="1"/>
    <s v="H"/>
    <n v="14"/>
    <n v="6"/>
    <n v="16"/>
    <n v="8"/>
    <n v="4"/>
    <n v="0"/>
  </r>
  <r>
    <x v="6"/>
    <n v="2.8"/>
    <n v="42"/>
    <n v="436"/>
    <n v="338"/>
    <n v="77.522935779816521"/>
    <n v="2"/>
    <s v="H"/>
    <n v="0"/>
    <s v="D"/>
    <n v="12"/>
    <n v="3"/>
    <n v="6"/>
    <n v="6"/>
    <n v="5"/>
    <n v="0"/>
  </r>
  <r>
    <x v="2"/>
    <n v="0.9"/>
    <n v="45"/>
    <n v="415"/>
    <n v="320"/>
    <n v="77.108433734939766"/>
    <n v="2"/>
    <s v="D"/>
    <n v="2"/>
    <s v="H"/>
    <n v="9"/>
    <n v="3"/>
    <n v="14"/>
    <n v="1"/>
    <n v="2"/>
    <n v="0"/>
  </r>
  <r>
    <x v="4"/>
    <n v="0.5"/>
    <n v="37"/>
    <n v="321"/>
    <n v="218"/>
    <n v="67.912772585669785"/>
    <n v="1"/>
    <s v="H"/>
    <n v="1"/>
    <s v="H"/>
    <n v="9"/>
    <n v="4"/>
    <n v="16"/>
    <n v="4"/>
    <n v="4"/>
    <n v="0"/>
  </r>
  <r>
    <x v="17"/>
    <n v="2"/>
    <n v="36"/>
    <n v="362"/>
    <n v="297"/>
    <n v="82.04419889502762"/>
    <n v="2"/>
    <s v="H"/>
    <n v="1"/>
    <s v="H"/>
    <n v="12"/>
    <n v="6"/>
    <n v="11"/>
    <n v="3"/>
    <n v="2"/>
    <n v="0"/>
  </r>
  <r>
    <x v="1"/>
    <n v="1"/>
    <n v="43"/>
    <n v="359"/>
    <n v="266"/>
    <n v="74.094707520891362"/>
    <n v="1"/>
    <s v="D"/>
    <n v="0"/>
    <s v="D"/>
    <n v="14"/>
    <n v="2"/>
    <n v="11"/>
    <n v="4"/>
    <n v="4"/>
    <n v="1"/>
  </r>
  <r>
    <x v="19"/>
    <n v="1.6"/>
    <n v="49"/>
    <n v="483"/>
    <n v="389"/>
    <n v="80.53830227743272"/>
    <n v="2"/>
    <s v="H"/>
    <n v="0"/>
    <s v="A"/>
    <n v="16"/>
    <n v="8"/>
    <n v="10"/>
    <n v="10"/>
    <n v="1"/>
    <n v="0"/>
  </r>
  <r>
    <x v="5"/>
    <n v="2.2000000000000002"/>
    <n v="54"/>
    <n v="489"/>
    <n v="397"/>
    <n v="81.186094069529659"/>
    <n v="3"/>
    <s v="H"/>
    <n v="1"/>
    <s v="H"/>
    <n v="19"/>
    <n v="6"/>
    <n v="7"/>
    <n v="11"/>
    <n v="1"/>
    <n v="0"/>
  </r>
  <r>
    <x v="14"/>
    <n v="0.7"/>
    <n v="65"/>
    <n v="626"/>
    <n v="559"/>
    <n v="89.29712460063898"/>
    <n v="1"/>
    <s v="H"/>
    <n v="0"/>
    <s v="D"/>
    <n v="9"/>
    <n v="2"/>
    <n v="14"/>
    <n v="3"/>
    <n v="4"/>
    <n v="0"/>
  </r>
  <r>
    <x v="18"/>
    <n v="1.5"/>
    <n v="57"/>
    <n v="534"/>
    <n v="423"/>
    <n v="79.213483146067418"/>
    <n v="2"/>
    <s v="D"/>
    <n v="0"/>
    <s v="D"/>
    <n v="11"/>
    <n v="6"/>
    <n v="7"/>
    <n v="3"/>
    <n v="1"/>
    <n v="0"/>
  </r>
  <r>
    <x v="15"/>
    <n v="2.4"/>
    <n v="51"/>
    <n v="435"/>
    <n v="369"/>
    <n v="84.827586206896555"/>
    <n v="4"/>
    <s v="H"/>
    <n v="0"/>
    <s v="A"/>
    <n v="16"/>
    <n v="6"/>
    <n v="14"/>
    <n v="6"/>
    <n v="2"/>
    <n v="0"/>
  </r>
  <r>
    <x v="0"/>
    <n v="2"/>
    <n v="46"/>
    <n v="441"/>
    <n v="344"/>
    <n v="78.004535147392289"/>
    <n v="1"/>
    <s v="D"/>
    <n v="0"/>
    <s v="D"/>
    <n v="11"/>
    <n v="4"/>
    <n v="19"/>
    <n v="4"/>
    <n v="6"/>
    <n v="0"/>
  </r>
  <r>
    <x v="12"/>
    <n v="1.3"/>
    <n v="68"/>
    <n v="712"/>
    <n v="595"/>
    <n v="83.567415730337075"/>
    <n v="2"/>
    <s v="H"/>
    <n v="0"/>
    <s v="A"/>
    <n v="26"/>
    <n v="12"/>
    <n v="3"/>
    <n v="11"/>
    <n v="2"/>
    <n v="0"/>
  </r>
  <r>
    <x v="7"/>
    <n v="1.5"/>
    <n v="51"/>
    <n v="457"/>
    <n v="333"/>
    <n v="72.866520787746168"/>
    <n v="3"/>
    <s v="H"/>
    <n v="1"/>
    <s v="D"/>
    <n v="12"/>
    <n v="6"/>
    <n v="8"/>
    <n v="6"/>
    <n v="2"/>
    <n v="0"/>
  </r>
  <r>
    <x v="11"/>
    <n v="1.5"/>
    <n v="36"/>
    <n v="385"/>
    <n v="293"/>
    <n v="76.103896103896105"/>
    <n v="0"/>
    <s v="A"/>
    <n v="0"/>
    <s v="A"/>
    <n v="13"/>
    <n v="5"/>
    <n v="10"/>
    <n v="1"/>
    <n v="1"/>
    <n v="1"/>
  </r>
  <r>
    <x v="6"/>
    <n v="0.8"/>
    <n v="49"/>
    <n v="492"/>
    <n v="374"/>
    <n v="76.016260162601625"/>
    <n v="0"/>
    <s v="D"/>
    <n v="0"/>
    <s v="D"/>
    <n v="11"/>
    <n v="6"/>
    <n v="10"/>
    <n v="7"/>
    <n v="1"/>
    <n v="0"/>
  </r>
  <r>
    <x v="18"/>
    <n v="1.3"/>
    <n v="29"/>
    <n v="299"/>
    <n v="227"/>
    <n v="75.919732441471581"/>
    <n v="2"/>
    <s v="H"/>
    <n v="1"/>
    <s v="H"/>
    <n v="8"/>
    <n v="4"/>
    <n v="14"/>
    <n v="1"/>
    <n v="1"/>
    <n v="0"/>
  </r>
  <r>
    <x v="10"/>
    <n v="2.2999999999999998"/>
    <n v="40"/>
    <n v="453"/>
    <n v="390"/>
    <n v="86.092715231788077"/>
    <n v="2"/>
    <s v="H"/>
    <n v="0"/>
    <s v="A"/>
    <n v="10"/>
    <n v="4"/>
    <n v="12"/>
    <n v="0"/>
    <n v="3"/>
    <n v="0"/>
  </r>
  <r>
    <x v="19"/>
    <n v="2"/>
    <n v="62"/>
    <n v="644"/>
    <n v="564"/>
    <n v="87.577639751552795"/>
    <n v="2"/>
    <s v="H"/>
    <n v="1"/>
    <s v="H"/>
    <n v="14"/>
    <n v="5"/>
    <n v="11"/>
    <n v="2"/>
    <n v="0"/>
    <n v="0"/>
  </r>
  <r>
    <x v="0"/>
    <n v="0.8"/>
    <n v="51"/>
    <n v="534"/>
    <n v="446"/>
    <n v="83.520599250936328"/>
    <n v="3"/>
    <s v="H"/>
    <n v="2"/>
    <s v="H"/>
    <n v="13"/>
    <n v="3"/>
    <n v="9"/>
    <n v="1"/>
    <n v="0"/>
    <n v="0"/>
  </r>
  <r>
    <x v="5"/>
    <n v="0.6"/>
    <n v="44"/>
    <n v="429"/>
    <n v="319"/>
    <n v="74.358974358974365"/>
    <n v="1"/>
    <s v="A"/>
    <n v="1"/>
    <s v="H"/>
    <n v="9"/>
    <n v="3"/>
    <n v="13"/>
    <n v="4"/>
    <n v="1"/>
    <n v="0"/>
  </r>
  <r>
    <x v="15"/>
    <n v="1.5"/>
    <n v="66"/>
    <n v="609"/>
    <n v="494"/>
    <n v="81.116584564860432"/>
    <n v="1"/>
    <s v="A"/>
    <n v="0"/>
    <s v="A"/>
    <n v="17"/>
    <n v="5"/>
    <n v="10"/>
    <n v="12"/>
    <n v="1"/>
    <n v="0"/>
  </r>
  <r>
    <x v="8"/>
    <n v="1.5"/>
    <n v="49"/>
    <n v="447"/>
    <n v="376"/>
    <n v="84.116331096196873"/>
    <n v="1"/>
    <s v="D"/>
    <n v="0"/>
    <s v="D"/>
    <n v="17"/>
    <n v="3"/>
    <n v="12"/>
    <n v="4"/>
    <n v="4"/>
    <n v="0"/>
  </r>
  <r>
    <x v="9"/>
    <n v="1.1000000000000001"/>
    <n v="37"/>
    <n v="386"/>
    <n v="286"/>
    <n v="74.093264248704656"/>
    <n v="1"/>
    <s v="A"/>
    <n v="0"/>
    <s v="A"/>
    <n v="4"/>
    <n v="1"/>
    <n v="15"/>
    <n v="2"/>
    <n v="4"/>
    <n v="0"/>
  </r>
  <r>
    <x v="2"/>
    <n v="1.2"/>
    <n v="66"/>
    <n v="631"/>
    <n v="560"/>
    <n v="88.74801901743264"/>
    <n v="3"/>
    <s v="H"/>
    <n v="1"/>
    <s v="H"/>
    <n v="19"/>
    <n v="7"/>
    <n v="10"/>
    <n v="8"/>
    <n v="3"/>
    <n v="0"/>
  </r>
  <r>
    <x v="16"/>
    <n v="3"/>
    <n v="69"/>
    <n v="658"/>
    <n v="554"/>
    <n v="84.19452887537993"/>
    <n v="2"/>
    <s v="D"/>
    <n v="1"/>
    <s v="A"/>
    <n v="17"/>
    <n v="5"/>
    <n v="10"/>
    <n v="10"/>
    <n v="3"/>
    <n v="0"/>
  </r>
  <r>
    <x v="17"/>
    <n v="1.6"/>
    <n v="55"/>
    <n v="542"/>
    <n v="442"/>
    <n v="81.54981549815497"/>
    <n v="1"/>
    <s v="A"/>
    <n v="0"/>
    <s v="A"/>
    <n v="19"/>
    <n v="5"/>
    <n v="13"/>
    <n v="7"/>
    <n v="2"/>
    <n v="0"/>
  </r>
  <r>
    <x v="3"/>
    <n v="1.2"/>
    <n v="59"/>
    <n v="533"/>
    <n v="440"/>
    <n v="82.551594746716688"/>
    <n v="0"/>
    <s v="D"/>
    <n v="0"/>
    <s v="D"/>
    <n v="27"/>
    <n v="5"/>
    <n v="8"/>
    <n v="10"/>
    <n v="0"/>
    <n v="0"/>
  </r>
  <r>
    <x v="12"/>
    <n v="1"/>
    <n v="59"/>
    <n v="603"/>
    <n v="499"/>
    <n v="82.752902155887227"/>
    <n v="1"/>
    <s v="A"/>
    <n v="1"/>
    <s v="D"/>
    <n v="10"/>
    <n v="3"/>
    <n v="14"/>
    <n v="7"/>
    <n v="3"/>
    <n v="0"/>
  </r>
  <r>
    <x v="13"/>
    <n v="2.1"/>
    <n v="58"/>
    <n v="618"/>
    <n v="546"/>
    <n v="88.349514563106794"/>
    <n v="0"/>
    <s v="A"/>
    <n v="0"/>
    <s v="A"/>
    <n v="23"/>
    <n v="5"/>
    <n v="19"/>
    <n v="9"/>
    <n v="4"/>
    <n v="0"/>
  </r>
  <r>
    <x v="14"/>
    <n v="1.3"/>
    <n v="38"/>
    <n v="396"/>
    <n v="327"/>
    <n v="82.575757575757578"/>
    <n v="2"/>
    <s v="A"/>
    <n v="1"/>
    <s v="D"/>
    <n v="7"/>
    <n v="5"/>
    <n v="11"/>
    <n v="3"/>
    <n v="3"/>
    <n v="0"/>
  </r>
  <r>
    <x v="1"/>
    <n v="1.6"/>
    <n v="40"/>
    <n v="462"/>
    <n v="368"/>
    <n v="79.65367965367966"/>
    <n v="1"/>
    <s v="D"/>
    <n v="1"/>
    <s v="D"/>
    <n v="11"/>
    <n v="6"/>
    <n v="11"/>
    <n v="4"/>
    <n v="0"/>
    <n v="0"/>
  </r>
  <r>
    <x v="4"/>
    <n v="1.6"/>
    <n v="53"/>
    <n v="576"/>
    <n v="474"/>
    <n v="82.291666666666657"/>
    <n v="0"/>
    <s v="A"/>
    <n v="0"/>
    <s v="A"/>
    <n v="18"/>
    <n v="2"/>
    <n v="11"/>
    <n v="8"/>
    <n v="1"/>
    <n v="0"/>
  </r>
  <r>
    <x v="10"/>
    <n v="1.7"/>
    <n v="53"/>
    <n v="511"/>
    <n v="439"/>
    <n v="85.909980430528378"/>
    <n v="1"/>
    <s v="D"/>
    <n v="1"/>
    <s v="H"/>
    <n v="22"/>
    <n v="5"/>
    <n v="20"/>
    <n v="7"/>
    <n v="2"/>
    <n v="0"/>
  </r>
  <r>
    <x v="7"/>
    <n v="2.4"/>
    <n v="60"/>
    <n v="627"/>
    <n v="518"/>
    <n v="82.61562998405104"/>
    <n v="4"/>
    <s v="H"/>
    <n v="3"/>
    <s v="H"/>
    <n v="13"/>
    <n v="6"/>
    <n v="9"/>
    <n v="5"/>
    <n v="1"/>
    <n v="0"/>
  </r>
  <r>
    <x v="11"/>
    <n v="1.7"/>
    <n v="49"/>
    <n v="450"/>
    <n v="351"/>
    <n v="78"/>
    <n v="1"/>
    <s v="D"/>
    <n v="0"/>
    <s v="D"/>
    <n v="16"/>
    <n v="4"/>
    <n v="12"/>
    <n v="8"/>
    <n v="3"/>
    <n v="0"/>
  </r>
  <r>
    <x v="5"/>
    <n v="1.6"/>
    <n v="45"/>
    <n v="354"/>
    <n v="258"/>
    <n v="72.881355932203391"/>
    <n v="1"/>
    <s v="H"/>
    <n v="0"/>
    <s v="D"/>
    <n v="12"/>
    <n v="5"/>
    <n v="5"/>
    <n v="8"/>
    <n v="1"/>
    <n v="0"/>
  </r>
  <r>
    <x v="18"/>
    <n v="0.5"/>
    <n v="60"/>
    <n v="571"/>
    <n v="472"/>
    <n v="82.661996497373025"/>
    <n v="2"/>
    <s v="A"/>
    <n v="1"/>
    <s v="A"/>
    <n v="10"/>
    <n v="3"/>
    <n v="13"/>
    <n v="3"/>
    <n v="4"/>
    <n v="0"/>
  </r>
  <r>
    <x v="6"/>
    <n v="1.5"/>
    <n v="40"/>
    <n v="348"/>
    <n v="268"/>
    <n v="77.011494252873561"/>
    <n v="2"/>
    <s v="A"/>
    <n v="2"/>
    <s v="A"/>
    <n v="12"/>
    <n v="5"/>
    <n v="10"/>
    <n v="2"/>
    <n v="4"/>
    <n v="0"/>
  </r>
  <r>
    <x v="8"/>
    <n v="1.6"/>
    <n v="64"/>
    <n v="656"/>
    <n v="579"/>
    <n v="88.262195121951208"/>
    <n v="3"/>
    <s v="H"/>
    <n v="2"/>
    <s v="H"/>
    <n v="17"/>
    <n v="8"/>
    <n v="21"/>
    <n v="3"/>
    <n v="2"/>
    <n v="0"/>
  </r>
  <r>
    <x v="0"/>
    <n v="1.1000000000000001"/>
    <n v="60"/>
    <n v="653"/>
    <n v="580"/>
    <n v="88.820826952526801"/>
    <n v="4"/>
    <s v="H"/>
    <n v="2"/>
    <s v="H"/>
    <n v="11"/>
    <n v="5"/>
    <n v="12"/>
    <n v="2"/>
    <n v="2"/>
    <n v="0"/>
  </r>
  <r>
    <x v="15"/>
    <n v="0.8"/>
    <n v="51"/>
    <n v="532"/>
    <n v="449"/>
    <n v="84.398496240601503"/>
    <n v="1"/>
    <s v="D"/>
    <n v="0"/>
    <s v="D"/>
    <n v="8"/>
    <n v="3"/>
    <n v="4"/>
    <n v="7"/>
    <n v="0"/>
    <n v="0"/>
  </r>
  <r>
    <x v="19"/>
    <n v="3.4"/>
    <n v="44"/>
    <n v="459"/>
    <n v="376"/>
    <n v="81.917211328976038"/>
    <n v="2"/>
    <s v="H"/>
    <n v="1"/>
    <s v="H"/>
    <n v="18"/>
    <n v="7"/>
    <n v="9"/>
    <n v="7"/>
    <n v="1"/>
    <n v="0"/>
  </r>
  <r>
    <x v="1"/>
    <n v="0.5"/>
    <n v="54"/>
    <n v="563"/>
    <n v="456"/>
    <n v="80.99467140319716"/>
    <n v="0"/>
    <s v="A"/>
    <n v="0"/>
    <s v="D"/>
    <n v="9"/>
    <n v="2"/>
    <n v="14"/>
    <n v="4"/>
    <n v="2"/>
    <n v="0"/>
  </r>
  <r>
    <x v="9"/>
    <n v="1.7"/>
    <n v="39"/>
    <n v="409"/>
    <n v="304"/>
    <n v="74.327628361858189"/>
    <n v="3"/>
    <s v="H"/>
    <n v="1"/>
    <s v="H"/>
    <n v="8"/>
    <n v="6"/>
    <n v="9"/>
    <n v="3"/>
    <n v="2"/>
    <n v="0"/>
  </r>
  <r>
    <x v="3"/>
    <n v="1"/>
    <n v="44"/>
    <n v="407"/>
    <n v="317"/>
    <n v="77.886977886977888"/>
    <n v="4"/>
    <s v="H"/>
    <n v="2"/>
    <s v="H"/>
    <n v="13"/>
    <n v="4"/>
    <n v="10"/>
    <n v="3"/>
    <n v="2"/>
    <n v="0"/>
  </r>
  <r>
    <x v="13"/>
    <n v="2.4"/>
    <n v="66"/>
    <n v="620"/>
    <n v="545"/>
    <n v="87.903225806451616"/>
    <n v="3"/>
    <s v="H"/>
    <n v="2"/>
    <s v="H"/>
    <n v="17"/>
    <n v="7"/>
    <n v="7"/>
    <n v="8"/>
    <n v="2"/>
    <n v="0"/>
  </r>
  <r>
    <x v="4"/>
    <n v="2.1"/>
    <n v="42"/>
    <n v="402"/>
    <n v="307"/>
    <n v="76.368159203980099"/>
    <n v="3"/>
    <s v="D"/>
    <n v="1"/>
    <s v="H"/>
    <n v="17"/>
    <n v="6"/>
    <n v="9"/>
    <n v="5"/>
    <n v="2"/>
    <n v="0"/>
  </r>
  <r>
    <x v="14"/>
    <n v="1.6"/>
    <n v="45"/>
    <n v="467"/>
    <n v="402"/>
    <n v="86.081370449678801"/>
    <n v="1"/>
    <s v="A"/>
    <n v="1"/>
    <s v="A"/>
    <n v="6"/>
    <n v="4"/>
    <n v="7"/>
    <n v="5"/>
    <n v="1"/>
    <n v="1"/>
  </r>
  <r>
    <x v="2"/>
    <n v="2.1"/>
    <n v="51"/>
    <n v="508"/>
    <n v="425"/>
    <n v="83.661417322834637"/>
    <n v="2"/>
    <s v="H"/>
    <n v="0"/>
    <s v="D"/>
    <n v="14"/>
    <n v="6"/>
    <n v="12"/>
    <n v="13"/>
    <n v="1"/>
    <n v="0"/>
  </r>
  <r>
    <x v="16"/>
    <n v="2.4"/>
    <n v="49"/>
    <n v="427"/>
    <n v="350"/>
    <n v="81.967213114754102"/>
    <n v="3"/>
    <s v="H"/>
    <n v="3"/>
    <s v="H"/>
    <n v="20"/>
    <n v="10"/>
    <n v="11"/>
    <n v="10"/>
    <n v="2"/>
    <n v="0"/>
  </r>
  <r>
    <x v="12"/>
    <n v="1.1000000000000001"/>
    <n v="43"/>
    <n v="419"/>
    <n v="330"/>
    <n v="78.758949880668254"/>
    <n v="3"/>
    <s v="H"/>
    <n v="1"/>
    <s v="H"/>
    <n v="6"/>
    <n v="2"/>
    <n v="7"/>
    <n v="5"/>
    <n v="2"/>
    <n v="0"/>
  </r>
  <r>
    <x v="17"/>
    <n v="3.5"/>
    <n v="35"/>
    <n v="290"/>
    <n v="194"/>
    <n v="66.896551724137936"/>
    <n v="1"/>
    <s v="H"/>
    <n v="1"/>
    <s v="H"/>
    <n v="21"/>
    <n v="8"/>
    <n v="15"/>
    <n v="5"/>
    <n v="2"/>
    <n v="0"/>
  </r>
  <r>
    <x v="16"/>
    <n v="2.2999999999999998"/>
    <n v="47"/>
    <n v="462"/>
    <n v="383"/>
    <n v="82.900432900432889"/>
    <n v="1"/>
    <s v="H"/>
    <n v="1"/>
    <s v="H"/>
    <n v="18"/>
    <n v="5"/>
    <n v="18"/>
    <n v="14"/>
    <n v="1"/>
    <n v="0"/>
  </r>
  <r>
    <x v="7"/>
    <n v="1.2"/>
    <n v="43"/>
    <n v="427"/>
    <n v="331"/>
    <n v="77.517564402810308"/>
    <n v="4"/>
    <s v="H"/>
    <n v="2"/>
    <s v="D"/>
    <n v="11"/>
    <n v="8"/>
    <n v="10"/>
    <n v="3"/>
    <n v="3"/>
    <n v="0"/>
  </r>
  <r>
    <x v="11"/>
    <n v="1.3"/>
    <n v="32"/>
    <n v="364"/>
    <n v="276"/>
    <n v="75.824175824175825"/>
    <n v="2"/>
    <s v="D"/>
    <n v="1"/>
    <s v="D"/>
    <n v="12"/>
    <n v="3"/>
    <n v="4"/>
    <n v="6"/>
    <n v="1"/>
    <n v="0"/>
  </r>
  <r>
    <x v="0"/>
    <n v="1.6"/>
    <n v="71"/>
    <n v="642"/>
    <n v="548"/>
    <n v="85.35825545171339"/>
    <n v="2"/>
    <s v="A"/>
    <n v="1"/>
    <s v="D"/>
    <n v="17"/>
    <n v="7"/>
    <n v="10"/>
    <n v="5"/>
    <n v="0"/>
    <n v="0"/>
  </r>
  <r>
    <x v="12"/>
    <n v="0.2"/>
    <n v="34"/>
    <n v="328"/>
    <n v="233"/>
    <n v="71.036585365853654"/>
    <n v="1"/>
    <s v="D"/>
    <n v="1"/>
    <s v="H"/>
    <n v="2"/>
    <n v="2"/>
    <n v="10"/>
    <n v="0"/>
    <n v="4"/>
    <n v="0"/>
  </r>
  <r>
    <x v="1"/>
    <n v="1.3"/>
    <n v="44"/>
    <n v="377"/>
    <n v="268"/>
    <n v="71.087533156498665"/>
    <n v="1"/>
    <s v="A"/>
    <n v="1"/>
    <s v="H"/>
    <n v="18"/>
    <n v="5"/>
    <n v="9"/>
    <n v="6"/>
    <n v="2"/>
    <n v="0"/>
  </r>
  <r>
    <x v="9"/>
    <n v="1.3"/>
    <n v="56"/>
    <n v="570"/>
    <n v="472"/>
    <n v="82.807017543859658"/>
    <n v="2"/>
    <s v="D"/>
    <n v="0"/>
    <s v="A"/>
    <n v="10"/>
    <n v="3"/>
    <n v="9"/>
    <n v="5"/>
    <n v="1"/>
    <n v="0"/>
  </r>
  <r>
    <x v="15"/>
    <n v="2.8"/>
    <n v="39"/>
    <n v="355"/>
    <n v="286"/>
    <n v="80.563380281690144"/>
    <n v="3"/>
    <s v="A"/>
    <n v="2"/>
    <s v="H"/>
    <n v="13"/>
    <n v="5"/>
    <n v="17"/>
    <n v="5"/>
    <n v="2"/>
    <n v="0"/>
  </r>
  <r>
    <x v="6"/>
    <n v="1"/>
    <n v="54"/>
    <n v="480"/>
    <n v="375"/>
    <n v="78.125"/>
    <n v="2"/>
    <s v="H"/>
    <n v="0"/>
    <s v="D"/>
    <n v="19"/>
    <n v="4"/>
    <n v="12"/>
    <n v="11"/>
    <n v="5"/>
    <n v="0"/>
  </r>
  <r>
    <x v="2"/>
    <n v="1.2"/>
    <n v="76"/>
    <n v="746"/>
    <n v="666"/>
    <n v="89.276139410187668"/>
    <n v="0"/>
    <s v="D"/>
    <n v="0"/>
    <s v="D"/>
    <n v="13"/>
    <n v="5"/>
    <n v="6"/>
    <n v="8"/>
    <n v="0"/>
    <n v="0"/>
  </r>
  <r>
    <x v="19"/>
    <n v="2.1"/>
    <n v="61"/>
    <n v="586"/>
    <n v="498"/>
    <n v="84.982935153583611"/>
    <n v="2"/>
    <s v="D"/>
    <n v="0"/>
    <s v="A"/>
    <n v="16"/>
    <n v="4"/>
    <n v="10"/>
    <n v="5"/>
    <n v="3"/>
    <n v="1"/>
  </r>
  <r>
    <x v="4"/>
    <n v="3.8"/>
    <n v="59"/>
    <n v="668"/>
    <n v="578"/>
    <n v="86.526946107784426"/>
    <n v="4"/>
    <s v="H"/>
    <n v="1"/>
    <s v="H"/>
    <n v="27"/>
    <n v="11"/>
    <n v="7"/>
    <n v="5"/>
    <n v="3"/>
    <n v="0"/>
  </r>
  <r>
    <x v="18"/>
    <n v="1.3"/>
    <n v="54"/>
    <n v="549"/>
    <n v="443"/>
    <n v="80.692167577413471"/>
    <n v="1"/>
    <s v="A"/>
    <n v="0"/>
    <s v="A"/>
    <n v="16"/>
    <n v="6"/>
    <n v="13"/>
    <n v="7"/>
    <n v="0"/>
    <n v="1"/>
  </r>
  <r>
    <x v="5"/>
    <n v="1.7"/>
    <n v="50"/>
    <n v="501"/>
    <n v="441"/>
    <n v="88.023952095808383"/>
    <n v="2"/>
    <s v="H"/>
    <n v="0"/>
    <s v="D"/>
    <n v="17"/>
    <n v="6"/>
    <n v="12"/>
    <n v="4"/>
    <n v="0"/>
    <n v="0"/>
  </r>
  <r>
    <x v="10"/>
    <n v="1"/>
    <n v="64"/>
    <n v="613"/>
    <n v="528"/>
    <n v="86.133768352365408"/>
    <n v="1"/>
    <s v="A"/>
    <n v="0"/>
    <s v="A"/>
    <n v="17"/>
    <n v="5"/>
    <n v="11"/>
    <n v="8"/>
    <n v="1"/>
    <n v="0"/>
  </r>
  <r>
    <x v="13"/>
    <n v="0.9"/>
    <n v="52"/>
    <n v="538"/>
    <n v="453"/>
    <n v="84.20074349442379"/>
    <n v="1"/>
    <s v="A"/>
    <n v="1"/>
    <s v="H"/>
    <n v="10"/>
    <n v="3"/>
    <n v="5"/>
    <n v="8"/>
    <n v="1"/>
    <n v="0"/>
  </r>
  <r>
    <x v="8"/>
    <n v="2.2000000000000002"/>
    <n v="62"/>
    <n v="585"/>
    <n v="483"/>
    <n v="82.564102564102555"/>
    <n v="2"/>
    <s v="H"/>
    <n v="1"/>
    <s v="H"/>
    <n v="26"/>
    <n v="8"/>
    <n v="11"/>
    <n v="8"/>
    <n v="0"/>
    <n v="1"/>
  </r>
  <r>
    <x v="14"/>
    <n v="0.8"/>
    <n v="42"/>
    <n v="458"/>
    <n v="392"/>
    <n v="85.589519650655021"/>
    <n v="0"/>
    <s v="A"/>
    <n v="0"/>
    <s v="A"/>
    <n v="9"/>
    <n v="3"/>
    <n v="8"/>
    <n v="2"/>
    <n v="1"/>
    <n v="0"/>
  </r>
  <r>
    <x v="17"/>
    <n v="1.9"/>
    <n v="52"/>
    <n v="491"/>
    <n v="362"/>
    <n v="73.727087576374757"/>
    <n v="1"/>
    <s v="D"/>
    <n v="0"/>
    <s v="D"/>
    <n v="29"/>
    <n v="9"/>
    <n v="6"/>
    <n v="12"/>
    <n v="0"/>
    <n v="0"/>
  </r>
  <r>
    <x v="16"/>
    <n v="1.6"/>
    <n v="44"/>
    <n v="451"/>
    <n v="383"/>
    <n v="84.922394678492239"/>
    <n v="2"/>
    <s v="H"/>
    <n v="1"/>
    <s v="H"/>
    <n v="11"/>
    <n v="6"/>
    <n v="14"/>
    <n v="5"/>
    <n v="3"/>
    <n v="0"/>
  </r>
  <r>
    <x v="7"/>
    <n v="0.7"/>
    <n v="64"/>
    <n v="589"/>
    <n v="472"/>
    <n v="80.135823429541603"/>
    <n v="0"/>
    <s v="A"/>
    <n v="0"/>
    <s v="A"/>
    <n v="7"/>
    <n v="3"/>
    <n v="9"/>
    <n v="9"/>
    <n v="3"/>
    <n v="0"/>
  </r>
  <r>
    <x v="1"/>
    <n v="0.7"/>
    <n v="42"/>
    <n v="462"/>
    <n v="374"/>
    <n v="80.952380952380949"/>
    <n v="0"/>
    <s v="A"/>
    <n v="0"/>
    <s v="A"/>
    <n v="10"/>
    <n v="2"/>
    <n v="9"/>
    <n v="2"/>
    <n v="2"/>
    <n v="0"/>
  </r>
  <r>
    <x v="6"/>
    <n v="1.2"/>
    <n v="47"/>
    <n v="418"/>
    <n v="311"/>
    <n v="74.401913875598098"/>
    <n v="1"/>
    <s v="D"/>
    <n v="0"/>
    <s v="D"/>
    <n v="11"/>
    <n v="4"/>
    <n v="14"/>
    <n v="8"/>
    <n v="2"/>
    <n v="0"/>
  </r>
  <r>
    <x v="11"/>
    <n v="1.6"/>
    <n v="42"/>
    <n v="422"/>
    <n v="336"/>
    <n v="79.620853080568722"/>
    <n v="1"/>
    <s v="A"/>
    <n v="1"/>
    <s v="A"/>
    <n v="15"/>
    <n v="6"/>
    <n v="9"/>
    <n v="3"/>
    <n v="2"/>
    <n v="0"/>
  </r>
  <r>
    <x v="3"/>
    <n v="1"/>
    <n v="25"/>
    <n v="231"/>
    <n v="163"/>
    <n v="70.562770562770567"/>
    <n v="0"/>
    <s v="D"/>
    <n v="0"/>
    <s v="D"/>
    <n v="5"/>
    <n v="4"/>
    <n v="20"/>
    <n v="2"/>
    <n v="4"/>
    <n v="0"/>
  </r>
  <r>
    <x v="12"/>
    <n v="0.9"/>
    <n v="57"/>
    <n v="598"/>
    <n v="499"/>
    <n v="83.444816053511701"/>
    <n v="0"/>
    <s v="D"/>
    <n v="0"/>
    <s v="D"/>
    <n v="16"/>
    <n v="5"/>
    <n v="8"/>
    <n v="6"/>
    <n v="1"/>
    <n v="0"/>
  </r>
  <r>
    <x v="9"/>
    <n v="0.8"/>
    <n v="54"/>
    <n v="595"/>
    <n v="500"/>
    <n v="84.033613445378151"/>
    <n v="0"/>
    <s v="A"/>
    <n v="0"/>
    <s v="A"/>
    <n v="9"/>
    <n v="5"/>
    <n v="15"/>
    <n v="6"/>
    <n v="2"/>
    <n v="0"/>
  </r>
  <r>
    <x v="0"/>
    <n v="2.2000000000000002"/>
    <n v="60"/>
    <n v="537"/>
    <n v="426"/>
    <n v="79.329608938547494"/>
    <n v="0"/>
    <s v="A"/>
    <n v="0"/>
    <s v="A"/>
    <n v="23"/>
    <n v="7"/>
    <n v="11"/>
    <n v="13"/>
    <n v="1"/>
    <n v="0"/>
  </r>
  <r>
    <x v="15"/>
    <n v="1.3"/>
    <n v="52"/>
    <n v="589"/>
    <n v="490"/>
    <n v="83.191850594227503"/>
    <n v="3"/>
    <s v="A"/>
    <n v="1"/>
    <s v="A"/>
    <n v="9"/>
    <n v="5"/>
    <n v="7"/>
    <n v="7"/>
    <n v="1"/>
    <n v="0"/>
  </r>
  <r>
    <x v="13"/>
    <n v="2.1"/>
    <n v="66"/>
    <n v="689"/>
    <n v="615"/>
    <n v="89.259796806966619"/>
    <n v="1"/>
    <s v="D"/>
    <n v="1"/>
    <s v="D"/>
    <n v="24"/>
    <n v="5"/>
    <n v="5"/>
    <n v="8"/>
    <n v="1"/>
    <n v="0"/>
  </r>
  <r>
    <x v="17"/>
    <n v="1.4"/>
    <n v="52"/>
    <n v="512"/>
    <n v="405"/>
    <n v="79.1015625"/>
    <n v="0"/>
    <s v="D"/>
    <n v="0"/>
    <s v="D"/>
    <n v="18"/>
    <n v="4"/>
    <n v="13"/>
    <n v="5"/>
    <n v="2"/>
    <n v="0"/>
  </r>
  <r>
    <x v="8"/>
    <n v="1.1000000000000001"/>
    <n v="47"/>
    <n v="543"/>
    <n v="443"/>
    <n v="81.583793738489874"/>
    <n v="1"/>
    <s v="A"/>
    <n v="1"/>
    <s v="H"/>
    <n v="12"/>
    <n v="8"/>
    <n v="13"/>
    <n v="3"/>
    <n v="1"/>
    <n v="0"/>
  </r>
  <r>
    <x v="4"/>
    <n v="2.7"/>
    <n v="62"/>
    <n v="585"/>
    <n v="520"/>
    <n v="88.888888888888886"/>
    <n v="3"/>
    <s v="H"/>
    <n v="1"/>
    <s v="H"/>
    <n v="22"/>
    <n v="8"/>
    <n v="15"/>
    <n v="9"/>
    <n v="2"/>
    <n v="0"/>
  </r>
  <r>
    <x v="5"/>
    <n v="1.1000000000000001"/>
    <n v="30"/>
    <n v="287"/>
    <n v="202"/>
    <n v="70.383275261324044"/>
    <n v="1"/>
    <s v="H"/>
    <n v="1"/>
    <s v="H"/>
    <n v="10"/>
    <n v="3"/>
    <n v="12"/>
    <n v="2"/>
    <n v="3"/>
    <n v="0"/>
  </r>
  <r>
    <x v="14"/>
    <n v="1.4"/>
    <n v="54"/>
    <n v="519"/>
    <n v="429"/>
    <n v="82.658959537572258"/>
    <n v="0"/>
    <s v="A"/>
    <n v="0"/>
    <s v="D"/>
    <n v="18"/>
    <n v="5"/>
    <n v="15"/>
    <n v="2"/>
    <n v="1"/>
    <n v="0"/>
  </r>
  <r>
    <x v="18"/>
    <n v="0.9"/>
    <n v="51"/>
    <n v="514"/>
    <n v="417"/>
    <n v="81.128404669260703"/>
    <n v="2"/>
    <s v="H"/>
    <n v="0"/>
    <s v="D"/>
    <n v="7"/>
    <n v="4"/>
    <n v="12"/>
    <n v="4"/>
    <n v="2"/>
    <n v="0"/>
  </r>
  <r>
    <x v="19"/>
    <n v="2"/>
    <n v="68"/>
    <n v="721"/>
    <n v="621"/>
    <n v="86.130374479889042"/>
    <n v="3"/>
    <s v="H"/>
    <n v="1"/>
    <s v="D"/>
    <n v="19"/>
    <n v="7"/>
    <n v="17"/>
    <n v="14"/>
    <n v="3"/>
    <n v="0"/>
  </r>
  <r>
    <x v="10"/>
    <n v="1.3"/>
    <n v="57"/>
    <n v="529"/>
    <n v="421"/>
    <n v="79.584120982986775"/>
    <n v="0"/>
    <s v="D"/>
    <n v="0"/>
    <s v="D"/>
    <n v="24"/>
    <n v="7"/>
    <n v="6"/>
    <n v="5"/>
    <n v="0"/>
    <n v="0"/>
  </r>
  <r>
    <x v="2"/>
    <n v="1.8"/>
    <n v="68"/>
    <n v="707"/>
    <n v="624"/>
    <n v="88.260254596888259"/>
    <n v="1"/>
    <s v="H"/>
    <n v="1"/>
    <s v="H"/>
    <n v="13"/>
    <n v="5"/>
    <n v="7"/>
    <n v="5"/>
    <n v="1"/>
    <n v="0"/>
  </r>
  <r>
    <x v="9"/>
    <n v="1.3"/>
    <n v="53"/>
    <n v="618"/>
    <n v="561"/>
    <n v="90.77669902912622"/>
    <n v="0"/>
    <s v="A"/>
    <n v="0"/>
    <s v="A"/>
    <n v="11"/>
    <n v="4"/>
    <n v="11"/>
    <n v="4"/>
    <n v="2"/>
    <n v="0"/>
  </r>
  <r>
    <x v="11"/>
    <n v="2"/>
    <n v="47"/>
    <n v="427"/>
    <n v="316"/>
    <n v="74.004683840749422"/>
    <n v="2"/>
    <s v="H"/>
    <n v="1"/>
    <s v="D"/>
    <n v="19"/>
    <n v="10"/>
    <n v="18"/>
    <n v="8"/>
    <n v="2"/>
    <n v="0"/>
  </r>
  <r>
    <x v="3"/>
    <n v="0.9"/>
    <n v="64"/>
    <n v="564"/>
    <n v="440"/>
    <n v="78.01418439716312"/>
    <n v="0"/>
    <s v="A"/>
    <n v="0"/>
    <s v="A"/>
    <n v="13"/>
    <n v="2"/>
    <n v="13"/>
    <n v="5"/>
    <n v="4"/>
    <n v="0"/>
  </r>
  <r>
    <x v="12"/>
    <n v="1.1000000000000001"/>
    <n v="52"/>
    <n v="528"/>
    <n v="417"/>
    <n v="78.977272727272734"/>
    <n v="2"/>
    <s v="D"/>
    <n v="1"/>
    <s v="H"/>
    <n v="11"/>
    <n v="6"/>
    <n v="7"/>
    <n v="1"/>
    <n v="1"/>
    <n v="0"/>
  </r>
  <r>
    <x v="15"/>
    <n v="2.2000000000000002"/>
    <n v="48"/>
    <n v="459"/>
    <n v="349"/>
    <n v="76.034858387799559"/>
    <n v="2"/>
    <s v="D"/>
    <n v="2"/>
    <s v="H"/>
    <n v="13"/>
    <n v="3"/>
    <n v="9"/>
    <n v="5"/>
    <n v="1"/>
    <n v="0"/>
  </r>
  <r>
    <x v="6"/>
    <n v="0.4"/>
    <n v="46"/>
    <n v="495"/>
    <n v="416"/>
    <n v="84.040404040404042"/>
    <n v="0"/>
    <s v="A"/>
    <n v="0"/>
    <s v="A"/>
    <n v="7"/>
    <n v="0"/>
    <n v="7"/>
    <n v="3"/>
    <n v="0"/>
    <n v="0"/>
  </r>
  <r>
    <x v="16"/>
    <n v="1.8"/>
    <n v="59"/>
    <n v="523"/>
    <n v="430"/>
    <n v="82.217973231357561"/>
    <n v="2"/>
    <s v="D"/>
    <n v="1"/>
    <s v="D"/>
    <n v="20"/>
    <n v="4"/>
    <n v="9"/>
    <n v="12"/>
    <n v="2"/>
    <n v="0"/>
  </r>
  <r>
    <x v="1"/>
    <n v="1.6"/>
    <n v="24"/>
    <n v="249"/>
    <n v="157"/>
    <n v="63.052208835341361"/>
    <n v="2"/>
    <s v="H"/>
    <n v="1"/>
    <s v="H"/>
    <n v="9"/>
    <n v="6"/>
    <n v="9"/>
    <n v="4"/>
    <n v="4"/>
    <n v="0"/>
  </r>
  <r>
    <x v="0"/>
    <n v="0.8"/>
    <n v="52"/>
    <n v="615"/>
    <n v="525"/>
    <n v="85.365853658536579"/>
    <n v="0"/>
    <s v="A"/>
    <n v="0"/>
    <s v="A"/>
    <n v="10"/>
    <n v="0"/>
    <n v="13"/>
    <n v="2"/>
    <n v="1"/>
    <n v="0"/>
  </r>
  <r>
    <x v="7"/>
    <n v="0.3"/>
    <n v="50"/>
    <n v="511"/>
    <n v="411"/>
    <n v="80.430528375733857"/>
    <n v="1"/>
    <s v="A"/>
    <n v="1"/>
    <s v="D"/>
    <n v="5"/>
    <n v="2"/>
    <n v="6"/>
    <n v="4"/>
    <n v="1"/>
    <n v="0"/>
  </r>
  <r>
    <x v="15"/>
    <n v="0.9"/>
    <n v="56"/>
    <n v="512"/>
    <n v="397"/>
    <n v="77.5390625"/>
    <n v="1"/>
    <s v="A"/>
    <n v="1"/>
    <s v="A"/>
    <n v="13"/>
    <n v="4"/>
    <n v="11"/>
    <n v="9"/>
    <n v="1"/>
    <n v="0"/>
  </r>
  <r>
    <x v="16"/>
    <n v="1.4"/>
    <n v="60"/>
    <n v="657"/>
    <n v="574"/>
    <n v="87.36681887366818"/>
    <n v="2"/>
    <s v="H"/>
    <n v="0"/>
    <s v="D"/>
    <n v="13"/>
    <n v="5"/>
    <n v="10"/>
    <n v="7"/>
    <n v="0"/>
    <n v="0"/>
  </r>
  <r>
    <x v="17"/>
    <n v="1.8"/>
    <n v="58"/>
    <n v="502"/>
    <n v="369"/>
    <n v="73.505976095617527"/>
    <n v="1"/>
    <s v="H"/>
    <n v="0"/>
    <s v="D"/>
    <n v="19"/>
    <n v="8"/>
    <n v="15"/>
    <n v="9"/>
    <n v="2"/>
    <n v="0"/>
  </r>
  <r>
    <x v="11"/>
    <n v="1.1000000000000001"/>
    <n v="39"/>
    <n v="385"/>
    <n v="283"/>
    <n v="73.506493506493513"/>
    <n v="1"/>
    <s v="D"/>
    <n v="0"/>
    <s v="A"/>
    <n v="13"/>
    <n v="6"/>
    <n v="9"/>
    <n v="6"/>
    <n v="0"/>
    <n v="0"/>
  </r>
  <r>
    <x v="13"/>
    <n v="1.9"/>
    <n v="56"/>
    <n v="583"/>
    <n v="510"/>
    <n v="87.478559176672391"/>
    <n v="4"/>
    <s v="H"/>
    <n v="2"/>
    <s v="H"/>
    <n v="10"/>
    <n v="7"/>
    <n v="8"/>
    <n v="7"/>
    <n v="2"/>
    <n v="0"/>
  </r>
  <r>
    <x v="14"/>
    <n v="0.3"/>
    <n v="50"/>
    <n v="494"/>
    <n v="412"/>
    <n v="83.400809716599184"/>
    <n v="0"/>
    <s v="A"/>
    <n v="0"/>
    <s v="A"/>
    <n v="8"/>
    <n v="1"/>
    <n v="10"/>
    <n v="2"/>
    <n v="2"/>
    <n v="0"/>
  </r>
  <r>
    <x v="10"/>
    <n v="1.5"/>
    <n v="45"/>
    <n v="451"/>
    <n v="379"/>
    <n v="84.035476718403544"/>
    <n v="1"/>
    <s v="D"/>
    <n v="0"/>
    <s v="A"/>
    <n v="11"/>
    <n v="4"/>
    <n v="17"/>
    <n v="2"/>
    <n v="2"/>
    <n v="0"/>
  </r>
  <r>
    <x v="12"/>
    <n v="2.2000000000000002"/>
    <n v="73"/>
    <n v="745"/>
    <n v="633"/>
    <n v="84.966442953020135"/>
    <n v="2"/>
    <s v="D"/>
    <n v="0"/>
    <s v="A"/>
    <n v="15"/>
    <n v="4"/>
    <n v="10"/>
    <n v="9"/>
    <n v="1"/>
    <n v="0"/>
  </r>
  <r>
    <x v="19"/>
    <n v="2.7"/>
    <n v="53"/>
    <n v="477"/>
    <n v="388"/>
    <n v="81.341719077568129"/>
    <n v="2"/>
    <s v="D"/>
    <n v="0"/>
    <s v="D"/>
    <n v="19"/>
    <n v="6"/>
    <n v="10"/>
    <n v="6"/>
    <n v="2"/>
    <n v="0"/>
  </r>
  <r>
    <x v="18"/>
    <n v="1.5"/>
    <n v="60"/>
    <n v="600"/>
    <n v="491"/>
    <n v="81.833333333333343"/>
    <n v="0"/>
    <s v="A"/>
    <n v="0"/>
    <s v="A"/>
    <n v="13"/>
    <n v="6"/>
    <n v="10"/>
    <n v="5"/>
    <n v="1"/>
    <n v="0"/>
  </r>
  <r>
    <x v="7"/>
    <n v="2.5"/>
    <n v="45"/>
    <n v="456"/>
    <n v="354"/>
    <n v="77.631578947368425"/>
    <n v="2"/>
    <s v="D"/>
    <n v="0"/>
    <s v="D"/>
    <n v="18"/>
    <n v="6"/>
    <n v="4"/>
    <n v="4"/>
    <n v="0"/>
    <n v="0"/>
  </r>
  <r>
    <x v="8"/>
    <n v="2.5"/>
    <n v="57"/>
    <n v="470"/>
    <n v="382"/>
    <n v="81.276595744680847"/>
    <n v="2"/>
    <s v="D"/>
    <n v="1"/>
    <s v="H"/>
    <n v="26"/>
    <n v="10"/>
    <n v="15"/>
    <n v="9"/>
    <n v="2"/>
    <n v="0"/>
  </r>
  <r>
    <x v="6"/>
    <n v="1"/>
    <n v="44"/>
    <n v="442"/>
    <n v="356"/>
    <n v="80.542986425339365"/>
    <n v="3"/>
    <s v="H"/>
    <n v="2"/>
    <s v="H"/>
    <n v="4"/>
    <n v="3"/>
    <n v="9"/>
    <n v="0"/>
    <n v="3"/>
    <n v="0"/>
  </r>
  <r>
    <x v="5"/>
    <n v="0.3"/>
    <n v="30"/>
    <n v="268"/>
    <n v="168"/>
    <n v="62.68656716417911"/>
    <n v="1"/>
    <s v="D"/>
    <n v="1"/>
    <s v="H"/>
    <n v="6"/>
    <n v="3"/>
    <n v="7"/>
    <n v="0"/>
    <n v="2"/>
    <n v="0"/>
  </r>
  <r>
    <x v="3"/>
    <n v="1.1000000000000001"/>
    <n v="50"/>
    <n v="468"/>
    <n v="363"/>
    <n v="77.564102564102569"/>
    <n v="0"/>
    <s v="A"/>
    <n v="0"/>
    <s v="D"/>
    <n v="10"/>
    <n v="3"/>
    <n v="17"/>
    <n v="8"/>
    <n v="2"/>
    <n v="0"/>
  </r>
  <r>
    <x v="9"/>
    <n v="1.7"/>
    <n v="57"/>
    <n v="656"/>
    <n v="549"/>
    <n v="83.689024390243901"/>
    <n v="0"/>
    <s v="A"/>
    <n v="0"/>
    <s v="D"/>
    <n v="21"/>
    <n v="4"/>
    <n v="7"/>
    <n v="4"/>
    <n v="0"/>
    <n v="0"/>
  </r>
  <r>
    <x v="4"/>
    <n v="2.1"/>
    <n v="60"/>
    <n v="626"/>
    <n v="534"/>
    <n v="85.303514376996802"/>
    <n v="3"/>
    <s v="H"/>
    <n v="1"/>
    <s v="H"/>
    <n v="17"/>
    <n v="5"/>
    <n v="10"/>
    <n v="4"/>
    <n v="0"/>
    <n v="0"/>
  </r>
  <r>
    <x v="2"/>
    <n v="1.4"/>
    <n v="53"/>
    <n v="469"/>
    <n v="378"/>
    <n v="80.597014925373131"/>
    <n v="2"/>
    <s v="H"/>
    <n v="2"/>
    <s v="H"/>
    <n v="14"/>
    <n v="4"/>
    <n v="16"/>
    <n v="10"/>
    <n v="3"/>
    <n v="0"/>
  </r>
  <r>
    <x v="1"/>
    <n v="0.3"/>
    <n v="47"/>
    <n v="437"/>
    <n v="357"/>
    <n v="81.693363844393602"/>
    <n v="0"/>
    <s v="A"/>
    <n v="0"/>
    <s v="D"/>
    <n v="5"/>
    <n v="3"/>
    <n v="13"/>
    <n v="1"/>
    <n v="2"/>
    <n v="0"/>
  </r>
  <r>
    <x v="0"/>
    <n v="3.4"/>
    <n v="60"/>
    <n v="628"/>
    <n v="522"/>
    <n v="83.121019108280265"/>
    <n v="3"/>
    <s v="H"/>
    <n v="0"/>
    <s v="A"/>
    <n v="23"/>
    <n v="9"/>
    <n v="7"/>
    <n v="5"/>
    <n v="1"/>
    <n v="0"/>
  </r>
  <r>
    <x v="4"/>
    <n v="0.8"/>
    <n v="56"/>
    <n v="459"/>
    <n v="347"/>
    <n v="75.599128540305017"/>
    <n v="1"/>
    <s v="A"/>
    <n v="1"/>
    <s v="A"/>
    <n v="13"/>
    <n v="5"/>
    <n v="7"/>
    <n v="7"/>
    <n v="1"/>
    <n v="0"/>
  </r>
  <r>
    <x v="7"/>
    <n v="0.7"/>
    <n v="40"/>
    <n v="349"/>
    <n v="267"/>
    <n v="76.504297994269336"/>
    <n v="0"/>
    <s v="A"/>
    <n v="0"/>
    <s v="D"/>
    <n v="11"/>
    <n v="6"/>
    <n v="6"/>
    <n v="2"/>
    <n v="2"/>
    <n v="0"/>
  </r>
  <r>
    <x v="9"/>
    <n v="0.6"/>
    <n v="40"/>
    <n v="420"/>
    <n v="317"/>
    <n v="75.476190476190482"/>
    <n v="0"/>
    <s v="A"/>
    <n v="0"/>
    <s v="D"/>
    <n v="8"/>
    <n v="4"/>
    <n v="8"/>
    <n v="5"/>
    <n v="3"/>
    <n v="0"/>
  </r>
  <r>
    <x v="6"/>
    <n v="0.3"/>
    <n v="53"/>
    <n v="576"/>
    <n v="466"/>
    <n v="80.902777777777786"/>
    <n v="0"/>
    <s v="A"/>
    <n v="0"/>
    <s v="D"/>
    <n v="7"/>
    <n v="0"/>
    <n v="13"/>
    <n v="2"/>
    <n v="1"/>
    <n v="1"/>
  </r>
  <r>
    <x v="2"/>
    <n v="1.3"/>
    <n v="66"/>
    <n v="543"/>
    <n v="451"/>
    <n v="83.057090239410684"/>
    <n v="2"/>
    <s v="D"/>
    <n v="1"/>
    <s v="H"/>
    <n v="18"/>
    <n v="6"/>
    <n v="10"/>
    <n v="10"/>
    <n v="2"/>
    <n v="0"/>
  </r>
  <r>
    <x v="3"/>
    <n v="1.8"/>
    <n v="36"/>
    <n v="366"/>
    <n v="289"/>
    <n v="78.961748633879779"/>
    <n v="3"/>
    <s v="H"/>
    <n v="3"/>
    <s v="H"/>
    <n v="12"/>
    <n v="6"/>
    <n v="14"/>
    <n v="3"/>
    <n v="2"/>
    <n v="0"/>
  </r>
  <r>
    <x v="0"/>
    <n v="1.5"/>
    <n v="51"/>
    <n v="497"/>
    <n v="406"/>
    <n v="81.690140845070431"/>
    <n v="1"/>
    <s v="A"/>
    <n v="1"/>
    <s v="D"/>
    <n v="10"/>
    <n v="1"/>
    <n v="13"/>
    <n v="4"/>
    <n v="3"/>
    <n v="0"/>
  </r>
  <r>
    <x v="5"/>
    <n v="1.8"/>
    <n v="45"/>
    <n v="423"/>
    <n v="334"/>
    <n v="78.959810874704488"/>
    <n v="3"/>
    <s v="H"/>
    <n v="3"/>
    <s v="H"/>
    <n v="14"/>
    <n v="5"/>
    <n v="4"/>
    <n v="2"/>
    <n v="0"/>
    <n v="0"/>
  </r>
  <r>
    <x v="1"/>
    <n v="0.5"/>
    <n v="33"/>
    <n v="378"/>
    <n v="320"/>
    <n v="84.656084656084658"/>
    <n v="0"/>
    <s v="A"/>
    <n v="0"/>
    <s v="A"/>
    <n v="8"/>
    <n v="4"/>
    <n v="4"/>
    <n v="4"/>
    <n v="0"/>
    <n v="0"/>
  </r>
  <r>
    <x v="8"/>
    <n v="3.1"/>
    <n v="63"/>
    <n v="624"/>
    <n v="536"/>
    <n v="85.897435897435898"/>
    <n v="3"/>
    <s v="H"/>
    <n v="1"/>
    <s v="D"/>
    <n v="19"/>
    <n v="7"/>
    <n v="8"/>
    <n v="3"/>
    <n v="4"/>
    <n v="0"/>
  </r>
  <r>
    <x v="17"/>
    <n v="1.7"/>
    <n v="50"/>
    <n v="391"/>
    <n v="301"/>
    <n v="76.98209718670077"/>
    <n v="5"/>
    <s v="H"/>
    <n v="1"/>
    <s v="H"/>
    <n v="16"/>
    <n v="10"/>
    <n v="9"/>
    <n v="3"/>
    <n v="2"/>
    <n v="0"/>
  </r>
  <r>
    <x v="10"/>
    <n v="0.7"/>
    <n v="69"/>
    <n v="696"/>
    <n v="587"/>
    <n v="84.339080459770116"/>
    <n v="0"/>
    <s v="A"/>
    <n v="0"/>
    <s v="A"/>
    <n v="16"/>
    <n v="1"/>
    <n v="8"/>
    <n v="9"/>
    <n v="3"/>
    <n v="0"/>
  </r>
  <r>
    <x v="19"/>
    <n v="2"/>
    <n v="70"/>
    <n v="790"/>
    <n v="696"/>
    <n v="88.101265822784811"/>
    <n v="4"/>
    <s v="H"/>
    <n v="3"/>
    <s v="H"/>
    <n v="16"/>
    <n v="6"/>
    <n v="10"/>
    <n v="3"/>
    <n v="0"/>
    <n v="0"/>
  </r>
  <r>
    <x v="14"/>
    <n v="0.8"/>
    <n v="53"/>
    <n v="509"/>
    <n v="421"/>
    <n v="82.711198428290771"/>
    <n v="1"/>
    <s v="A"/>
    <n v="1"/>
    <s v="A"/>
    <n v="12"/>
    <n v="5"/>
    <n v="10"/>
    <n v="3"/>
    <n v="1"/>
    <n v="0"/>
  </r>
  <r>
    <x v="18"/>
    <n v="0.7"/>
    <n v="51"/>
    <n v="466"/>
    <n v="384"/>
    <n v="82.403433476394852"/>
    <n v="0"/>
    <s v="A"/>
    <n v="0"/>
    <s v="D"/>
    <n v="9"/>
    <n v="4"/>
    <n v="20"/>
    <n v="1"/>
    <n v="0"/>
    <n v="1"/>
  </r>
  <r>
    <x v="13"/>
    <n v="2.2000000000000002"/>
    <n v="56"/>
    <n v="603"/>
    <n v="514"/>
    <n v="85.240464344941955"/>
    <n v="3"/>
    <s v="H"/>
    <n v="1"/>
    <s v="D"/>
    <n v="15"/>
    <n v="6"/>
    <n v="6"/>
    <n v="2"/>
    <n v="3"/>
    <n v="0"/>
  </r>
  <r>
    <x v="11"/>
    <n v="1.1000000000000001"/>
    <n v="47"/>
    <n v="350"/>
    <n v="238"/>
    <n v="68"/>
    <n v="1"/>
    <s v="A"/>
    <n v="0"/>
    <s v="D"/>
    <n v="16"/>
    <n v="5"/>
    <n v="8"/>
    <n v="4"/>
    <n v="2"/>
    <n v="0"/>
  </r>
  <r>
    <x v="15"/>
    <n v="1"/>
    <n v="61"/>
    <n v="605"/>
    <n v="483"/>
    <n v="79.834710743801651"/>
    <n v="1"/>
    <s v="A"/>
    <n v="1"/>
    <s v="H"/>
    <n v="15"/>
    <n v="6"/>
    <n v="6"/>
    <n v="6"/>
    <n v="1"/>
    <n v="0"/>
  </r>
  <r>
    <x v="16"/>
    <n v="0.9"/>
    <n v="46"/>
    <n v="416"/>
    <n v="326"/>
    <n v="78.365384615384613"/>
    <n v="1"/>
    <s v="D"/>
    <n v="1"/>
    <s v="H"/>
    <n v="14"/>
    <n v="4"/>
    <n v="13"/>
    <n v="4"/>
    <n v="2"/>
    <n v="0"/>
  </r>
  <r>
    <x v="12"/>
    <n v="0.7"/>
    <n v="51"/>
    <n v="538"/>
    <n v="437"/>
    <n v="81.226765799256512"/>
    <n v="0"/>
    <s v="A"/>
    <n v="0"/>
    <s v="D"/>
    <n v="9"/>
    <n v="3"/>
    <n v="7"/>
    <n v="3"/>
    <n v="0"/>
    <n v="0"/>
  </r>
  <r>
    <x v="5"/>
    <n v="3.3"/>
    <n v="38"/>
    <n v="352"/>
    <n v="274"/>
    <n v="77.840909090909093"/>
    <n v="7"/>
    <s v="H"/>
    <n v="3"/>
    <s v="H"/>
    <n v="14"/>
    <n v="9"/>
    <n v="8"/>
    <n v="4"/>
    <n v="1"/>
    <n v="0"/>
  </r>
  <r>
    <x v="17"/>
    <n v="1.6"/>
    <n v="49"/>
    <n v="449"/>
    <n v="346"/>
    <n v="77.060133630289528"/>
    <n v="0"/>
    <s v="A"/>
    <n v="0"/>
    <s v="A"/>
    <n v="14"/>
    <n v="3"/>
    <n v="15"/>
    <n v="3"/>
    <n v="2"/>
    <n v="0"/>
  </r>
  <r>
    <x v="3"/>
    <n v="2.5"/>
    <n v="48"/>
    <n v="486"/>
    <n v="385"/>
    <n v="79.218106995884767"/>
    <n v="4"/>
    <s v="H"/>
    <n v="3"/>
    <s v="H"/>
    <n v="13"/>
    <n v="7"/>
    <n v="7"/>
    <n v="5"/>
    <n v="0"/>
    <n v="0"/>
  </r>
  <r>
    <x v="1"/>
    <n v="1.8"/>
    <n v="57"/>
    <n v="578"/>
    <n v="483"/>
    <n v="83.564013840830455"/>
    <n v="1"/>
    <s v="A"/>
    <n v="1"/>
    <s v="D"/>
    <n v="15"/>
    <n v="6"/>
    <n v="11"/>
    <n v="1"/>
    <n v="0"/>
    <n v="0"/>
  </r>
  <r>
    <x v="4"/>
    <n v="0.8"/>
    <n v="49"/>
    <n v="454"/>
    <n v="366"/>
    <n v="80.616740088105729"/>
    <n v="1"/>
    <s v="A"/>
    <n v="1"/>
    <s v="H"/>
    <n v="11"/>
    <n v="4"/>
    <n v="10"/>
    <n v="4"/>
    <n v="4"/>
    <n v="0"/>
  </r>
  <r>
    <x v="18"/>
    <n v="1.6"/>
    <n v="32"/>
    <n v="284"/>
    <n v="214"/>
    <n v="75.352112676056336"/>
    <n v="2"/>
    <s v="H"/>
    <n v="1"/>
    <s v="H"/>
    <n v="8"/>
    <n v="5"/>
    <n v="20"/>
    <n v="5"/>
    <n v="2"/>
    <n v="0"/>
  </r>
  <r>
    <x v="7"/>
    <n v="2.1"/>
    <n v="54"/>
    <n v="534"/>
    <n v="419"/>
    <n v="78.464419475655433"/>
    <n v="0"/>
    <s v="A"/>
    <n v="0"/>
    <s v="A"/>
    <n v="20"/>
    <n v="4"/>
    <n v="4"/>
    <n v="10"/>
    <n v="0"/>
    <n v="0"/>
  </r>
  <r>
    <x v="0"/>
    <n v="1.1000000000000001"/>
    <n v="66"/>
    <n v="608"/>
    <n v="484"/>
    <n v="79.60526315789474"/>
    <n v="0"/>
    <s v="A"/>
    <n v="0"/>
    <s v="D"/>
    <n v="17"/>
    <n v="2"/>
    <n v="12"/>
    <n v="11"/>
    <n v="3"/>
    <n v="0"/>
  </r>
  <r>
    <x v="2"/>
    <n v="1"/>
    <n v="46"/>
    <n v="430"/>
    <n v="363"/>
    <n v="84.418604651162781"/>
    <n v="5"/>
    <s v="H"/>
    <n v="1"/>
    <s v="H"/>
    <n v="12"/>
    <n v="7"/>
    <n v="6"/>
    <n v="5"/>
    <n v="2"/>
    <n v="0"/>
  </r>
  <r>
    <x v="8"/>
    <n v="1.6"/>
    <n v="68"/>
    <n v="643"/>
    <n v="545"/>
    <n v="84.758942457231726"/>
    <n v="2"/>
    <s v="H"/>
    <n v="0"/>
    <s v="A"/>
    <n v="22"/>
    <n v="3"/>
    <n v="11"/>
    <n v="4"/>
    <n v="3"/>
    <n v="0"/>
  </r>
  <r>
    <x v="3"/>
    <n v="1"/>
    <n v="37"/>
    <n v="348"/>
    <n v="235"/>
    <n v="67.52873563218391"/>
    <n v="2"/>
    <s v="D"/>
    <n v="1"/>
    <s v="D"/>
    <n v="10"/>
    <n v="3"/>
    <n v="9"/>
    <n v="2"/>
    <n v="2"/>
    <n v="1"/>
  </r>
  <r>
    <x v="10"/>
    <n v="1.4"/>
    <n v="31"/>
    <n v="344"/>
    <n v="265"/>
    <n v="77.034883720930239"/>
    <n v="3"/>
    <s v="H"/>
    <n v="2"/>
    <s v="H"/>
    <n v="13"/>
    <n v="5"/>
    <n v="12"/>
    <n v="2"/>
    <n v="1"/>
    <n v="0"/>
  </r>
  <r>
    <x v="9"/>
    <n v="0.2"/>
    <n v="40"/>
    <n v="362"/>
    <n v="258"/>
    <n v="71.270718232044189"/>
    <n v="0"/>
    <s v="A"/>
    <n v="0"/>
    <s v="D"/>
    <n v="6"/>
    <n v="2"/>
    <n v="9"/>
    <n v="3"/>
    <n v="2"/>
    <n v="0"/>
  </r>
  <r>
    <x v="16"/>
    <n v="2.4"/>
    <n v="75"/>
    <n v="715"/>
    <n v="622"/>
    <n v="86.993006993007"/>
    <n v="1"/>
    <s v="D"/>
    <n v="0"/>
    <s v="D"/>
    <n v="25"/>
    <n v="6"/>
    <n v="7"/>
    <n v="16"/>
    <n v="0"/>
    <n v="0"/>
  </r>
  <r>
    <x v="12"/>
    <n v="2.1"/>
    <n v="55"/>
    <n v="549"/>
    <n v="464"/>
    <n v="84.517304189435336"/>
    <n v="2"/>
    <s v="H"/>
    <n v="1"/>
    <s v="D"/>
    <n v="24"/>
    <n v="10"/>
    <n v="13"/>
    <n v="8"/>
    <n v="0"/>
    <n v="0"/>
  </r>
  <r>
    <x v="13"/>
    <n v="1.9"/>
    <n v="61"/>
    <n v="618"/>
    <n v="564"/>
    <n v="91.262135922330103"/>
    <n v="4"/>
    <s v="H"/>
    <n v="3"/>
    <s v="H"/>
    <n v="11"/>
    <n v="7"/>
    <n v="5"/>
    <n v="7"/>
    <n v="0"/>
    <n v="0"/>
  </r>
  <r>
    <x v="14"/>
    <n v="0.8"/>
    <n v="44"/>
    <n v="423"/>
    <n v="325"/>
    <n v="76.832151300236404"/>
    <n v="1"/>
    <s v="A"/>
    <n v="0"/>
    <s v="A"/>
    <n v="11"/>
    <n v="4"/>
    <n v="13"/>
    <n v="4"/>
    <n v="1"/>
    <n v="0"/>
  </r>
  <r>
    <x v="6"/>
    <n v="0.8"/>
    <n v="58"/>
    <n v="559"/>
    <n v="453"/>
    <n v="81.037567084078717"/>
    <n v="0"/>
    <s v="A"/>
    <n v="0"/>
    <s v="A"/>
    <n v="13"/>
    <n v="3"/>
    <n v="10"/>
    <n v="9"/>
    <n v="1"/>
    <n v="0"/>
  </r>
  <r>
    <x v="11"/>
    <n v="1.6"/>
    <n v="58"/>
    <n v="568"/>
    <n v="427"/>
    <n v="75.176056338028175"/>
    <n v="1"/>
    <s v="A"/>
    <n v="0"/>
    <s v="A"/>
    <n v="17"/>
    <n v="6"/>
    <n v="9"/>
    <n v="6"/>
    <n v="0"/>
    <n v="0"/>
  </r>
  <r>
    <x v="19"/>
    <n v="1.7"/>
    <n v="50"/>
    <n v="489"/>
    <n v="392"/>
    <n v="80.163599182004091"/>
    <n v="2"/>
    <s v="H"/>
    <n v="2"/>
    <s v="H"/>
    <n v="10"/>
    <n v="3"/>
    <n v="15"/>
    <n v="4"/>
    <n v="2"/>
    <n v="0"/>
  </r>
  <r>
    <x v="15"/>
    <n v="2.2000000000000002"/>
    <n v="55"/>
    <n v="566"/>
    <n v="482"/>
    <n v="85.159010600706708"/>
    <n v="1"/>
    <s v="H"/>
    <n v="1"/>
    <s v="H"/>
    <n v="22"/>
    <n v="7"/>
    <n v="13"/>
    <n v="10"/>
    <n v="1"/>
    <n v="0"/>
  </r>
  <r>
    <x v="16"/>
    <n v="0.6"/>
    <n v="52"/>
    <n v="486"/>
    <n v="394"/>
    <n v="81.069958847736629"/>
    <n v="2"/>
    <s v="D"/>
    <n v="2"/>
    <s v="H"/>
    <n v="9"/>
    <n v="4"/>
    <n v="8"/>
    <n v="6"/>
    <n v="1"/>
    <n v="0"/>
  </r>
  <r>
    <x v="9"/>
    <n v="0.5"/>
    <n v="48"/>
    <n v="429"/>
    <n v="333"/>
    <n v="77.622377622377627"/>
    <n v="0"/>
    <s v="A"/>
    <n v="0"/>
    <s v="A"/>
    <n v="8"/>
    <n v="3"/>
    <n v="10"/>
    <n v="5"/>
    <n v="4"/>
    <n v="0"/>
  </r>
  <r>
    <x v="3"/>
    <n v="1.6"/>
    <n v="38"/>
    <n v="355"/>
    <n v="256"/>
    <n v="72.112676056338032"/>
    <n v="2"/>
    <s v="D"/>
    <n v="2"/>
    <s v="H"/>
    <n v="9"/>
    <n v="8"/>
    <n v="12"/>
    <n v="7"/>
    <n v="4"/>
    <n v="0"/>
  </r>
  <r>
    <x v="2"/>
    <n v="1.2"/>
    <n v="68"/>
    <n v="694"/>
    <n v="600"/>
    <n v="86.455331412103746"/>
    <n v="0"/>
    <s v="A"/>
    <n v="0"/>
    <s v="A"/>
    <n v="20"/>
    <n v="2"/>
    <n v="16"/>
    <n v="2"/>
    <n v="1"/>
    <n v="1"/>
  </r>
  <r>
    <x v="17"/>
    <n v="0.9"/>
    <n v="46"/>
    <n v="412"/>
    <n v="298"/>
    <n v="72.330097087378647"/>
    <n v="0"/>
    <s v="A"/>
    <n v="0"/>
    <s v="A"/>
    <n v="8"/>
    <n v="3"/>
    <n v="17"/>
    <n v="6"/>
    <n v="3"/>
    <n v="1"/>
  </r>
  <r>
    <x v="12"/>
    <n v="0.2"/>
    <n v="62"/>
    <n v="588"/>
    <n v="471"/>
    <n v="80.102040816326522"/>
    <n v="0"/>
    <s v="A"/>
    <n v="0"/>
    <s v="A"/>
    <n v="10"/>
    <n v="0"/>
    <n v="10"/>
    <n v="7"/>
    <n v="1"/>
    <n v="0"/>
  </r>
  <r>
    <x v="1"/>
    <n v="1.1000000000000001"/>
    <n v="42"/>
    <n v="391"/>
    <n v="312"/>
    <n v="79.795396419437338"/>
    <n v="1"/>
    <s v="A"/>
    <n v="1"/>
    <s v="A"/>
    <n v="17"/>
    <n v="5"/>
    <n v="15"/>
    <n v="4"/>
    <n v="2"/>
    <n v="0"/>
  </r>
  <r>
    <x v="14"/>
    <n v="0.1"/>
    <n v="50"/>
    <n v="467"/>
    <n v="369"/>
    <n v="79.014989293361879"/>
    <n v="0"/>
    <s v="A"/>
    <n v="0"/>
    <s v="A"/>
    <n v="6"/>
    <n v="1"/>
    <n v="11"/>
    <n v="5"/>
    <n v="2"/>
    <n v="0"/>
  </r>
  <r>
    <x v="16"/>
    <n v="2.2999999999999998"/>
    <n v="52"/>
    <n v="518"/>
    <n v="441"/>
    <n v="85.13513513513513"/>
    <n v="2"/>
    <s v="H"/>
    <n v="0"/>
    <s v="A"/>
    <n v="12"/>
    <n v="6"/>
    <n v="15"/>
    <n v="2"/>
    <n v="1"/>
    <n v="0"/>
  </r>
  <r>
    <x v="4"/>
    <n v="2.9"/>
    <n v="57"/>
    <n v="512"/>
    <n v="407"/>
    <n v="79.4921875"/>
    <n v="4"/>
    <s v="H"/>
    <n v="4"/>
    <s v="H"/>
    <n v="13"/>
    <n v="5"/>
    <n v="11"/>
    <n v="7"/>
    <n v="1"/>
    <n v="0"/>
  </r>
  <r>
    <x v="13"/>
    <n v="0.6"/>
    <n v="66"/>
    <n v="704"/>
    <n v="627"/>
    <n v="89.0625"/>
    <n v="0"/>
    <s v="A"/>
    <n v="0"/>
    <s v="A"/>
    <n v="16"/>
    <n v="5"/>
    <n v="3"/>
    <n v="7"/>
    <n v="0"/>
    <n v="0"/>
  </r>
  <r>
    <x v="10"/>
    <n v="2.4"/>
    <n v="44"/>
    <n v="404"/>
    <n v="285"/>
    <n v="70.544554455445535"/>
    <n v="2"/>
    <s v="H"/>
    <n v="1"/>
    <s v="H"/>
    <n v="11"/>
    <n v="4"/>
    <n v="12"/>
    <n v="1"/>
    <n v="2"/>
    <n v="0"/>
  </r>
  <r>
    <x v="11"/>
    <n v="4.3"/>
    <n v="36"/>
    <n v="290"/>
    <n v="202"/>
    <n v="69.655172413793096"/>
    <n v="4"/>
    <s v="H"/>
    <n v="1"/>
    <s v="H"/>
    <n v="19"/>
    <n v="6"/>
    <n v="19"/>
    <n v="3"/>
    <n v="3"/>
    <n v="0"/>
  </r>
  <r>
    <x v="18"/>
    <n v="1.3"/>
    <n v="60"/>
    <n v="625"/>
    <n v="535"/>
    <n v="85.6"/>
    <n v="1"/>
    <s v="A"/>
    <n v="1"/>
    <s v="D"/>
    <n v="18"/>
    <n v="5"/>
    <n v="8"/>
    <n v="7"/>
    <n v="1"/>
    <n v="0"/>
  </r>
  <r>
    <x v="8"/>
    <n v="2.4"/>
    <n v="60"/>
    <n v="648"/>
    <n v="585"/>
    <n v="90.277777777777786"/>
    <n v="4"/>
    <s v="H"/>
    <n v="3"/>
    <s v="H"/>
    <n v="19"/>
    <n v="10"/>
    <n v="6"/>
    <n v="4"/>
    <n v="1"/>
    <n v="0"/>
  </r>
  <r>
    <x v="7"/>
    <n v="1.4"/>
    <n v="52"/>
    <n v="507"/>
    <n v="411"/>
    <n v="81.065088757396452"/>
    <n v="1"/>
    <s v="D"/>
    <n v="1"/>
    <s v="H"/>
    <n v="12"/>
    <n v="3"/>
    <n v="3"/>
    <n v="2"/>
    <n v="2"/>
    <n v="0"/>
  </r>
  <r>
    <x v="0"/>
    <n v="0.7"/>
    <n v="45"/>
    <n v="397"/>
    <n v="313"/>
    <n v="78.841309823677591"/>
    <n v="3"/>
    <s v="H"/>
    <n v="2"/>
    <s v="D"/>
    <n v="10"/>
    <n v="6"/>
    <n v="9"/>
    <n v="5"/>
    <n v="4"/>
    <n v="1"/>
  </r>
  <r>
    <x v="5"/>
    <n v="0.4"/>
    <n v="36"/>
    <n v="303"/>
    <n v="213"/>
    <n v="70.297029702970292"/>
    <n v="0"/>
    <s v="D"/>
    <n v="0"/>
    <s v="D"/>
    <n v="6"/>
    <n v="2"/>
    <n v="10"/>
    <n v="3"/>
    <n v="1"/>
    <n v="0"/>
  </r>
  <r>
    <x v="15"/>
    <n v="1.3"/>
    <n v="55"/>
    <n v="569"/>
    <n v="497"/>
    <n v="87.346221441124783"/>
    <n v="0"/>
    <s v="A"/>
    <n v="0"/>
    <s v="A"/>
    <n v="11"/>
    <n v="6"/>
    <n v="12"/>
    <n v="8"/>
    <n v="3"/>
    <n v="0"/>
  </r>
  <r>
    <x v="19"/>
    <n v="1.7"/>
    <n v="61"/>
    <n v="623"/>
    <n v="555"/>
    <n v="89.085072231139648"/>
    <n v="2"/>
    <s v="H"/>
    <n v="1"/>
    <s v="H"/>
    <n v="12"/>
    <n v="3"/>
    <n v="12"/>
    <n v="4"/>
    <n v="0"/>
    <n v="0"/>
  </r>
  <r>
    <x v="6"/>
    <n v="1.3"/>
    <n v="58"/>
    <n v="686"/>
    <n v="602"/>
    <n v="87.755102040816325"/>
    <n v="2"/>
    <s v="H"/>
    <n v="2"/>
    <s v="H"/>
    <n v="8"/>
    <n v="2"/>
    <n v="12"/>
    <n v="3"/>
    <n v="0"/>
    <n v="0"/>
  </r>
  <r>
    <x v="5"/>
    <n v="0.7"/>
    <n v="31"/>
    <n v="299"/>
    <n v="230"/>
    <n v="76.923076923076934"/>
    <n v="1"/>
    <s v="H"/>
    <n v="0"/>
    <s v="D"/>
    <n v="9"/>
    <n v="4"/>
    <n v="9"/>
    <n v="3"/>
    <n v="3"/>
    <n v="0"/>
  </r>
  <r>
    <x v="10"/>
    <n v="1.5"/>
    <n v="53"/>
    <n v="550"/>
    <n v="463"/>
    <n v="84.181818181818187"/>
    <n v="2"/>
    <s v="H"/>
    <n v="1"/>
    <s v="D"/>
    <n v="9"/>
    <n v="4"/>
    <n v="6"/>
    <n v="3"/>
    <n v="0"/>
    <n v="0"/>
  </r>
  <r>
    <x v="11"/>
    <n v="3.2"/>
    <n v="55"/>
    <n v="459"/>
    <n v="336"/>
    <n v="73.202614379084963"/>
    <n v="1"/>
    <s v="H"/>
    <n v="0"/>
    <s v="D"/>
    <n v="19"/>
    <n v="4"/>
    <n v="8"/>
    <n v="5"/>
    <n v="4"/>
    <n v="0"/>
  </r>
  <r>
    <x v="19"/>
    <n v="3.9"/>
    <n v="71"/>
    <n v="700"/>
    <n v="623"/>
    <n v="89"/>
    <n v="3"/>
    <s v="H"/>
    <n v="0"/>
    <s v="A"/>
    <n v="28"/>
    <n v="7"/>
    <n v="10"/>
    <n v="6"/>
    <n v="2"/>
    <n v="0"/>
  </r>
  <r>
    <x v="7"/>
    <n v="0.8"/>
    <n v="59"/>
    <n v="505"/>
    <n v="415"/>
    <n v="82.178217821782169"/>
    <n v="0"/>
    <s v="A"/>
    <n v="0"/>
    <s v="D"/>
    <n v="13"/>
    <n v="3"/>
    <n v="10"/>
    <n v="6"/>
    <n v="2"/>
    <n v="0"/>
  </r>
  <r>
    <x v="18"/>
    <n v="0.8"/>
    <n v="66"/>
    <n v="643"/>
    <n v="554"/>
    <n v="86.158631415241061"/>
    <n v="1"/>
    <s v="D"/>
    <n v="1"/>
    <s v="D"/>
    <n v="11"/>
    <n v="3"/>
    <n v="11"/>
    <n v="5"/>
    <n v="2"/>
    <n v="0"/>
  </r>
  <r>
    <x v="8"/>
    <n v="1.7"/>
    <n v="56"/>
    <n v="584"/>
    <n v="488"/>
    <n v="83.561643835616437"/>
    <n v="1"/>
    <s v="H"/>
    <n v="0"/>
    <s v="D"/>
    <n v="20"/>
    <n v="7"/>
    <n v="12"/>
    <n v="12"/>
    <n v="1"/>
    <n v="0"/>
  </r>
  <r>
    <x v="15"/>
    <n v="1.5"/>
    <n v="61"/>
    <n v="587"/>
    <n v="475"/>
    <n v="80.919931856899481"/>
    <n v="2"/>
    <s v="D"/>
    <n v="0"/>
    <s v="A"/>
    <n v="12"/>
    <n v="4"/>
    <n v="15"/>
    <n v="3"/>
    <n v="3"/>
    <n v="0"/>
  </r>
  <r>
    <x v="0"/>
    <n v="1.5"/>
    <n v="32"/>
    <n v="298"/>
    <n v="219"/>
    <n v="73.489932885906043"/>
    <n v="1"/>
    <s v="D"/>
    <n v="1"/>
    <s v="H"/>
    <n v="10"/>
    <n v="6"/>
    <n v="8"/>
    <n v="2"/>
    <n v="0"/>
    <n v="0"/>
  </r>
  <r>
    <x v="6"/>
    <n v="0.7"/>
    <n v="51"/>
    <n v="505"/>
    <n v="393"/>
    <n v="77.821782178217831"/>
    <n v="0"/>
    <s v="A"/>
    <n v="0"/>
    <s v="D"/>
    <n v="9"/>
    <n v="2"/>
    <n v="7"/>
    <n v="3"/>
    <n v="0"/>
    <n v="0"/>
  </r>
  <r>
    <x v="3"/>
    <n v="1"/>
    <n v="54"/>
    <n v="550"/>
    <n v="446"/>
    <n v="81.090909090909093"/>
    <n v="1"/>
    <s v="D"/>
    <n v="0"/>
    <s v="D"/>
    <n v="13"/>
    <n v="5"/>
    <n v="12"/>
    <n v="6"/>
    <n v="1"/>
    <n v="0"/>
  </r>
  <r>
    <x v="1"/>
    <n v="0.4"/>
    <n v="55"/>
    <n v="480"/>
    <n v="391"/>
    <n v="81.458333333333329"/>
    <n v="2"/>
    <s v="A"/>
    <n v="0"/>
    <s v="A"/>
    <n v="11"/>
    <n v="4"/>
    <n v="4"/>
    <n v="6"/>
    <n v="1"/>
    <n v="0"/>
  </r>
  <r>
    <x v="13"/>
    <n v="1.7"/>
    <n v="60"/>
    <n v="535"/>
    <n v="443"/>
    <n v="82.803738317757009"/>
    <n v="2"/>
    <s v="D"/>
    <n v="2"/>
    <s v="H"/>
    <n v="11"/>
    <n v="3"/>
    <n v="10"/>
    <n v="4"/>
    <n v="2"/>
    <n v="0"/>
  </r>
  <r>
    <x v="14"/>
    <n v="1.3"/>
    <n v="60"/>
    <n v="645"/>
    <n v="564"/>
    <n v="87.441860465116278"/>
    <n v="1"/>
    <s v="A"/>
    <n v="0"/>
    <s v="A"/>
    <n v="10"/>
    <n v="3"/>
    <n v="12"/>
    <n v="5"/>
    <n v="0"/>
    <n v="0"/>
  </r>
  <r>
    <x v="17"/>
    <n v="1.6"/>
    <n v="58"/>
    <n v="539"/>
    <n v="422"/>
    <n v="78.293135435992582"/>
    <n v="1"/>
    <s v="A"/>
    <n v="1"/>
    <s v="D"/>
    <n v="17"/>
    <n v="5"/>
    <n v="13"/>
    <n v="4"/>
    <n v="3"/>
    <n v="0"/>
  </r>
  <r>
    <x v="2"/>
    <n v="0.7"/>
    <n v="42"/>
    <n v="390"/>
    <n v="322"/>
    <n v="82.564102564102555"/>
    <n v="1"/>
    <s v="H"/>
    <n v="1"/>
    <s v="H"/>
    <n v="12"/>
    <n v="4"/>
    <n v="10"/>
    <n v="5"/>
    <n v="3"/>
    <n v="0"/>
  </r>
  <r>
    <x v="12"/>
    <n v="1"/>
    <n v="57"/>
    <n v="590"/>
    <n v="481"/>
    <n v="81.525423728813564"/>
    <n v="2"/>
    <s v="H"/>
    <n v="0"/>
    <s v="D"/>
    <n v="13"/>
    <n v="4"/>
    <n v="13"/>
    <n v="6"/>
    <n v="0"/>
    <n v="0"/>
  </r>
  <r>
    <x v="9"/>
    <n v="1"/>
    <n v="53"/>
    <n v="575"/>
    <n v="455"/>
    <n v="79.130434782608688"/>
    <n v="0"/>
    <s v="A"/>
    <n v="0"/>
    <s v="A"/>
    <n v="11"/>
    <n v="3"/>
    <n v="6"/>
    <n v="6"/>
    <n v="2"/>
    <n v="0"/>
  </r>
  <r>
    <x v="2"/>
    <n v="2.2000000000000002"/>
    <n v="51"/>
    <n v="528"/>
    <n v="454"/>
    <n v="85.984848484848484"/>
    <n v="2"/>
    <s v="H"/>
    <n v="1"/>
    <s v="H"/>
    <n v="17"/>
    <n v="4"/>
    <n v="2"/>
    <n v="5"/>
    <n v="1"/>
    <n v="0"/>
  </r>
  <r>
    <x v="18"/>
    <n v="1.2"/>
    <n v="42"/>
    <n v="447"/>
    <n v="359"/>
    <n v="80.313199105145415"/>
    <n v="1"/>
    <s v="H"/>
    <n v="1"/>
    <s v="H"/>
    <n v="9"/>
    <n v="2"/>
    <n v="16"/>
    <n v="1"/>
    <n v="4"/>
    <n v="0"/>
  </r>
  <r>
    <x v="5"/>
    <n v="0.5"/>
    <n v="32"/>
    <n v="336"/>
    <n v="241"/>
    <n v="71.726190476190482"/>
    <n v="1"/>
    <s v="H"/>
    <n v="1"/>
    <s v="H"/>
    <n v="8"/>
    <n v="2"/>
    <n v="5"/>
    <n v="3"/>
    <n v="1"/>
    <n v="0"/>
  </r>
  <r>
    <x v="17"/>
    <n v="1.8"/>
    <n v="63"/>
    <n v="581"/>
    <n v="453"/>
    <n v="77.969018932874363"/>
    <n v="1"/>
    <s v="A"/>
    <n v="0"/>
    <s v="A"/>
    <n v="24"/>
    <n v="7"/>
    <n v="14"/>
    <n v="8"/>
    <n v="1"/>
    <n v="0"/>
  </r>
  <r>
    <x v="10"/>
    <n v="0.9"/>
    <n v="56"/>
    <n v="517"/>
    <n v="429"/>
    <n v="82.978723404255319"/>
    <n v="0"/>
    <s v="A"/>
    <n v="0"/>
    <s v="D"/>
    <n v="11"/>
    <n v="4"/>
    <n v="16"/>
    <n v="4"/>
    <n v="1"/>
    <n v="0"/>
  </r>
  <r>
    <x v="13"/>
    <n v="2.2000000000000002"/>
    <n v="72"/>
    <n v="810"/>
    <n v="749"/>
    <n v="92.46913580246914"/>
    <n v="2"/>
    <s v="H"/>
    <n v="2"/>
    <s v="H"/>
    <n v="18"/>
    <n v="5"/>
    <n v="11"/>
    <n v="5"/>
    <n v="1"/>
    <n v="0"/>
  </r>
  <r>
    <x v="4"/>
    <n v="1.3"/>
    <n v="49"/>
    <n v="444"/>
    <n v="336"/>
    <n v="75.675675675675677"/>
    <n v="2"/>
    <s v="H"/>
    <n v="1"/>
    <s v="H"/>
    <n v="21"/>
    <n v="4"/>
    <n v="12"/>
    <n v="4"/>
    <n v="1"/>
    <n v="0"/>
  </r>
  <r>
    <x v="14"/>
    <n v="0.7"/>
    <n v="43"/>
    <n v="424"/>
    <n v="327"/>
    <n v="77.122641509433961"/>
    <n v="1"/>
    <s v="D"/>
    <n v="1"/>
    <s v="H"/>
    <n v="8"/>
    <n v="2"/>
    <n v="14"/>
    <n v="2"/>
    <n v="2"/>
    <n v="0"/>
  </r>
  <r>
    <x v="19"/>
    <n v="1.5"/>
    <n v="73"/>
    <n v="670"/>
    <n v="563"/>
    <n v="84.02985074626865"/>
    <n v="1"/>
    <s v="H"/>
    <n v="0"/>
    <s v="D"/>
    <n v="17"/>
    <n v="3"/>
    <n v="7"/>
    <n v="11"/>
    <n v="2"/>
    <n v="0"/>
  </r>
  <r>
    <x v="8"/>
    <n v="1"/>
    <n v="51"/>
    <n v="486"/>
    <n v="396"/>
    <n v="81.481481481481481"/>
    <n v="1"/>
    <s v="H"/>
    <n v="0"/>
    <s v="D"/>
    <n v="11"/>
    <n v="5"/>
    <n v="7"/>
    <n v="4"/>
    <n v="5"/>
    <n v="0"/>
  </r>
  <r>
    <x v="3"/>
    <n v="1.1000000000000001"/>
    <n v="31"/>
    <n v="220"/>
    <n v="144"/>
    <n v="65.454545454545453"/>
    <n v="1"/>
    <s v="D"/>
    <n v="0"/>
    <s v="A"/>
    <n v="5"/>
    <n v="2"/>
    <n v="17"/>
    <n v="3"/>
    <n v="3"/>
    <n v="0"/>
  </r>
  <r>
    <x v="11"/>
    <n v="0.6"/>
    <n v="38"/>
    <n v="359"/>
    <n v="266"/>
    <n v="74.094707520891362"/>
    <n v="2"/>
    <s v="H"/>
    <n v="1"/>
    <s v="D"/>
    <n v="8"/>
    <n v="3"/>
    <n v="12"/>
    <n v="2"/>
    <n v="0"/>
    <n v="2"/>
  </r>
  <r>
    <x v="1"/>
    <n v="0.8"/>
    <n v="45"/>
    <n v="367"/>
    <n v="266"/>
    <n v="72.479564032697553"/>
    <n v="1"/>
    <s v="A"/>
    <n v="1"/>
    <s v="H"/>
    <n v="6"/>
    <n v="2"/>
    <n v="12"/>
    <n v="4"/>
    <n v="2"/>
    <n v="0"/>
  </r>
  <r>
    <x v="6"/>
    <n v="0.7"/>
    <n v="56"/>
    <n v="526"/>
    <n v="409"/>
    <n v="77.756653992395442"/>
    <n v="2"/>
    <s v="D"/>
    <n v="0"/>
    <s v="A"/>
    <n v="9"/>
    <n v="3"/>
    <n v="13"/>
    <n v="4"/>
    <n v="2"/>
    <n v="0"/>
  </r>
  <r>
    <x v="16"/>
    <n v="3"/>
    <n v="52"/>
    <n v="462"/>
    <n v="385"/>
    <n v="83.333333333333343"/>
    <n v="2"/>
    <s v="H"/>
    <n v="2"/>
    <s v="H"/>
    <n v="17"/>
    <n v="8"/>
    <n v="7"/>
    <n v="4"/>
    <n v="2"/>
    <n v="0"/>
  </r>
  <r>
    <x v="7"/>
    <n v="1.1000000000000001"/>
    <n v="42"/>
    <n v="375"/>
    <n v="273"/>
    <n v="72.8"/>
    <n v="0"/>
    <s v="D"/>
    <n v="0"/>
    <s v="D"/>
    <n v="9"/>
    <n v="2"/>
    <n v="12"/>
    <n v="3"/>
    <n v="1"/>
    <n v="0"/>
  </r>
  <r>
    <x v="12"/>
    <n v="0.7"/>
    <n v="37"/>
    <n v="367"/>
    <n v="274"/>
    <n v="74.659400544959126"/>
    <n v="3"/>
    <s v="H"/>
    <n v="3"/>
    <s v="H"/>
    <n v="12"/>
    <n v="6"/>
    <n v="10"/>
    <n v="4"/>
    <n v="3"/>
    <n v="0"/>
  </r>
  <r>
    <x v="15"/>
    <n v="2.1"/>
    <n v="51"/>
    <n v="520"/>
    <n v="451"/>
    <n v="86.730769230769226"/>
    <n v="3"/>
    <s v="H"/>
    <n v="2"/>
    <s v="H"/>
    <n v="13"/>
    <n v="8"/>
    <n v="16"/>
    <n v="4"/>
    <n v="1"/>
    <n v="0"/>
  </r>
  <r>
    <x v="0"/>
    <n v="0.9"/>
    <n v="42"/>
    <n v="423"/>
    <n v="347"/>
    <n v="82.033096926713938"/>
    <n v="0"/>
    <s v="D"/>
    <n v="0"/>
    <s v="D"/>
    <n v="13"/>
    <n v="2"/>
    <n v="13"/>
    <n v="5"/>
    <n v="3"/>
    <n v="0"/>
  </r>
  <r>
    <x v="9"/>
    <n v="0.5"/>
    <n v="58"/>
    <n v="602"/>
    <n v="482"/>
    <n v="80.066445182724252"/>
    <n v="0"/>
    <s v="A"/>
    <n v="0"/>
    <s v="A"/>
    <n v="7"/>
    <n v="2"/>
    <n v="8"/>
    <n v="12"/>
    <n v="2"/>
    <n v="0"/>
  </r>
  <r>
    <x v="13"/>
    <n v="3.7"/>
    <n v="67"/>
    <n v="768"/>
    <n v="689"/>
    <n v="89.713541666666657"/>
    <n v="5"/>
    <s v="H"/>
    <n v="2"/>
    <s v="D"/>
    <n v="21"/>
    <n v="9"/>
    <n v="10"/>
    <n v="1"/>
    <n v="2"/>
    <n v="0"/>
  </r>
  <r>
    <x v="10"/>
    <n v="3.8"/>
    <n v="59"/>
    <n v="562"/>
    <n v="480"/>
    <n v="85.409252669039148"/>
    <n v="2"/>
    <s v="D"/>
    <n v="1"/>
    <s v="D"/>
    <n v="21"/>
    <n v="7"/>
    <n v="9"/>
    <n v="3"/>
    <n v="2"/>
    <n v="0"/>
  </r>
  <r>
    <x v="5"/>
    <n v="0.5"/>
    <n v="43"/>
    <n v="368"/>
    <n v="265"/>
    <n v="72.010869565217391"/>
    <n v="0"/>
    <s v="A"/>
    <n v="0"/>
    <s v="D"/>
    <n v="10"/>
    <n v="5"/>
    <n v="9"/>
    <n v="1"/>
    <n v="0"/>
    <n v="0"/>
  </r>
  <r>
    <x v="14"/>
    <n v="0.3"/>
    <n v="40"/>
    <n v="383"/>
    <n v="322"/>
    <n v="84.073107049608353"/>
    <n v="0"/>
    <s v="A"/>
    <n v="0"/>
    <s v="D"/>
    <n v="7"/>
    <n v="2"/>
    <n v="11"/>
    <n v="2"/>
    <n v="3"/>
    <n v="0"/>
  </r>
  <r>
    <x v="2"/>
    <n v="1"/>
    <n v="63"/>
    <n v="526"/>
    <n v="444"/>
    <n v="84.410646387832699"/>
    <n v="1"/>
    <s v="D"/>
    <n v="0"/>
    <s v="D"/>
    <n v="14"/>
    <n v="3"/>
    <n v="7"/>
    <n v="13"/>
    <n v="1"/>
    <n v="0"/>
  </r>
  <r>
    <x v="8"/>
    <n v="2.2000000000000002"/>
    <n v="73"/>
    <n v="656"/>
    <n v="550"/>
    <n v="83.841463414634148"/>
    <n v="2"/>
    <s v="D"/>
    <n v="0"/>
    <s v="A"/>
    <n v="34"/>
    <n v="9"/>
    <n v="11"/>
    <n v="15"/>
    <n v="2"/>
    <n v="0"/>
  </r>
  <r>
    <x v="19"/>
    <n v="1.8"/>
    <n v="55"/>
    <n v="539"/>
    <n v="443"/>
    <n v="82.189239332096477"/>
    <n v="2"/>
    <s v="H"/>
    <n v="1"/>
    <s v="H"/>
    <n v="15"/>
    <n v="6"/>
    <n v="15"/>
    <n v="10"/>
    <n v="0"/>
    <n v="0"/>
  </r>
  <r>
    <x v="18"/>
    <n v="2.4"/>
    <n v="37"/>
    <n v="370"/>
    <n v="295"/>
    <n v="79.729729729729726"/>
    <n v="4"/>
    <s v="H"/>
    <n v="2"/>
    <s v="H"/>
    <n v="13"/>
    <n v="5"/>
    <n v="12"/>
    <n v="1"/>
    <n v="1"/>
    <n v="0"/>
  </r>
  <r>
    <x v="4"/>
    <n v="2.2000000000000002"/>
    <n v="48"/>
    <n v="467"/>
    <n v="367"/>
    <n v="78.586723768736618"/>
    <n v="4"/>
    <s v="H"/>
    <n v="1"/>
    <s v="D"/>
    <n v="13"/>
    <n v="6"/>
    <n v="7"/>
    <n v="7"/>
    <n v="0"/>
    <n v="0"/>
  </r>
  <r>
    <x v="17"/>
    <n v="1.4"/>
    <n v="41"/>
    <n v="373"/>
    <n v="261"/>
    <n v="69.973190348525478"/>
    <n v="1"/>
    <s v="H"/>
    <n v="1"/>
    <s v="H"/>
    <n v="12"/>
    <n v="3"/>
    <n v="11"/>
    <n v="6"/>
    <n v="3"/>
    <n v="0"/>
  </r>
  <r>
    <x v="4"/>
    <n v="1.5"/>
    <n v="59"/>
    <n v="575"/>
    <n v="481"/>
    <n v="83.652173913043484"/>
    <n v="5"/>
    <s v="H"/>
    <n v="4"/>
    <s v="H"/>
    <n v="14"/>
    <n v="7"/>
    <n v="9"/>
    <n v="5"/>
    <n v="2"/>
    <n v="0"/>
  </r>
  <r>
    <x v="7"/>
    <n v="2.1"/>
    <n v="47"/>
    <n v="462"/>
    <n v="367"/>
    <n v="79.437229437229433"/>
    <n v="4"/>
    <s v="H"/>
    <n v="1"/>
    <s v="D"/>
    <n v="16"/>
    <n v="8"/>
    <n v="7"/>
    <n v="4"/>
    <n v="3"/>
    <n v="0"/>
  </r>
  <r>
    <x v="11"/>
    <n v="0.4"/>
    <n v="29"/>
    <n v="249"/>
    <n v="151"/>
    <n v="60.642570281124499"/>
    <n v="0"/>
    <s v="D"/>
    <n v="0"/>
    <s v="D"/>
    <n v="5"/>
    <n v="0"/>
    <n v="13"/>
    <n v="5"/>
    <n v="3"/>
    <n v="1"/>
  </r>
  <r>
    <x v="3"/>
    <n v="0.9"/>
    <n v="33"/>
    <n v="354"/>
    <n v="271"/>
    <n v="76.55367231638418"/>
    <n v="0"/>
    <s v="A"/>
    <n v="0"/>
    <s v="D"/>
    <n v="8"/>
    <n v="3"/>
    <n v="7"/>
    <n v="2"/>
    <n v="4"/>
    <n v="0"/>
  </r>
  <r>
    <x v="6"/>
    <n v="0.9"/>
    <n v="52"/>
    <n v="523"/>
    <n v="462"/>
    <n v="88.336520076481833"/>
    <n v="1"/>
    <s v="D"/>
    <n v="0"/>
    <s v="D"/>
    <n v="12"/>
    <n v="4"/>
    <n v="14"/>
    <n v="2"/>
    <n v="2"/>
    <n v="0"/>
  </r>
  <r>
    <x v="16"/>
    <n v="2.2000000000000002"/>
    <n v="48"/>
    <n v="434"/>
    <n v="358"/>
    <n v="82.488479262672811"/>
    <n v="4"/>
    <s v="H"/>
    <n v="1"/>
    <s v="D"/>
    <n v="23"/>
    <n v="9"/>
    <n v="9"/>
    <n v="7"/>
    <n v="1"/>
    <n v="0"/>
  </r>
  <r>
    <x v="12"/>
    <n v="0.3"/>
    <n v="41"/>
    <n v="397"/>
    <n v="310"/>
    <n v="78.085642317380348"/>
    <n v="1"/>
    <s v="A"/>
    <n v="1"/>
    <s v="H"/>
    <n v="6"/>
    <n v="1"/>
    <n v="13"/>
    <n v="6"/>
    <n v="1"/>
    <n v="0"/>
  </r>
  <r>
    <x v="1"/>
    <n v="0.2"/>
    <n v="25"/>
    <n v="268"/>
    <n v="211"/>
    <n v="78.731343283582092"/>
    <n v="0"/>
    <s v="A"/>
    <n v="0"/>
    <s v="A"/>
    <n v="4"/>
    <n v="0"/>
    <n v="10"/>
    <n v="0"/>
    <n v="0"/>
    <n v="1"/>
  </r>
  <r>
    <x v="0"/>
    <n v="1.3"/>
    <n v="59"/>
    <n v="603"/>
    <n v="512"/>
    <n v="84.908789386401324"/>
    <n v="0"/>
    <s v="A"/>
    <n v="0"/>
    <s v="D"/>
    <n v="12"/>
    <n v="2"/>
    <n v="11"/>
    <n v="9"/>
    <n v="2"/>
    <n v="0"/>
  </r>
  <r>
    <x v="9"/>
    <n v="0.3"/>
    <n v="42"/>
    <n v="413"/>
    <n v="313"/>
    <n v="75.786924939467312"/>
    <n v="0"/>
    <s v="A"/>
    <n v="0"/>
    <s v="D"/>
    <n v="5"/>
    <n v="0"/>
    <n v="11"/>
    <n v="1"/>
    <n v="1"/>
    <n v="0"/>
  </r>
  <r>
    <x v="15"/>
    <n v="2.1"/>
    <n v="69"/>
    <n v="607"/>
    <n v="508"/>
    <n v="83.690280065897866"/>
    <n v="1"/>
    <s v="A"/>
    <n v="0"/>
    <s v="A"/>
    <n v="22"/>
    <n v="6"/>
    <n v="11"/>
    <n v="7"/>
    <n v="1"/>
    <n v="0"/>
  </r>
  <r>
    <x v="13"/>
    <n v="1.3"/>
    <n v="61"/>
    <n v="536"/>
    <n v="466"/>
    <n v="86.940298507462686"/>
    <n v="2"/>
    <s v="H"/>
    <n v="1"/>
    <s v="D"/>
    <n v="14"/>
    <n v="6"/>
    <n v="9"/>
    <n v="10"/>
    <n v="3"/>
    <n v="0"/>
  </r>
  <r>
    <x v="2"/>
    <n v="1.2"/>
    <n v="67"/>
    <n v="745"/>
    <n v="678"/>
    <n v="91.006711409395962"/>
    <n v="2"/>
    <s v="D"/>
    <n v="2"/>
    <s v="H"/>
    <n v="12"/>
    <n v="6"/>
    <n v="4"/>
    <n v="3"/>
    <n v="1"/>
    <n v="0"/>
  </r>
  <r>
    <x v="8"/>
    <n v="0.8"/>
    <n v="55"/>
    <n v="554"/>
    <n v="464"/>
    <n v="83.754512635379058"/>
    <n v="1"/>
    <s v="H"/>
    <n v="1"/>
    <s v="H"/>
    <n v="10"/>
    <n v="7"/>
    <n v="11"/>
    <n v="10"/>
    <n v="0"/>
    <n v="0"/>
  </r>
  <r>
    <x v="10"/>
    <n v="1.3"/>
    <n v="53"/>
    <n v="565"/>
    <n v="466"/>
    <n v="82.477876106194685"/>
    <n v="3"/>
    <s v="H"/>
    <n v="1"/>
    <s v="H"/>
    <n v="16"/>
    <n v="9"/>
    <n v="7"/>
    <n v="8"/>
    <n v="1"/>
    <n v="0"/>
  </r>
  <r>
    <x v="4"/>
    <n v="2.4"/>
    <n v="77"/>
    <n v="698"/>
    <n v="609"/>
    <n v="87.249283667621782"/>
    <n v="3"/>
    <s v="H"/>
    <n v="1"/>
    <s v="H"/>
    <n v="25"/>
    <n v="5"/>
    <n v="9"/>
    <n v="11"/>
    <n v="1"/>
    <n v="0"/>
  </r>
  <r>
    <x v="14"/>
    <n v="0.6"/>
    <n v="35"/>
    <n v="338"/>
    <n v="255"/>
    <n v="75.443786982248511"/>
    <n v="1"/>
    <s v="A"/>
    <n v="1"/>
    <s v="H"/>
    <n v="7"/>
    <n v="3"/>
    <n v="10"/>
    <n v="0"/>
    <n v="1"/>
    <n v="0"/>
  </r>
  <r>
    <x v="18"/>
    <n v="2"/>
    <n v="56"/>
    <n v="651"/>
    <n v="567"/>
    <n v="87.096774193548384"/>
    <n v="3"/>
    <s v="H"/>
    <n v="1"/>
    <s v="H"/>
    <n v="20"/>
    <n v="6"/>
    <n v="7"/>
    <n v="4"/>
    <n v="1"/>
    <n v="0"/>
  </r>
  <r>
    <x v="17"/>
    <n v="0.5"/>
    <n v="39"/>
    <n v="335"/>
    <n v="235"/>
    <n v="70.149253731343293"/>
    <n v="1"/>
    <s v="D"/>
    <n v="1"/>
    <s v="H"/>
    <n v="8"/>
    <n v="1"/>
    <n v="11"/>
    <n v="5"/>
    <n v="4"/>
    <n v="1"/>
  </r>
  <r>
    <x v="19"/>
    <n v="2.2000000000000002"/>
    <n v="61"/>
    <n v="551"/>
    <n v="462"/>
    <n v="83.847549909255903"/>
    <n v="5"/>
    <s v="H"/>
    <n v="3"/>
    <s v="H"/>
    <n v="25"/>
    <n v="8"/>
    <n v="16"/>
    <n v="8"/>
    <n v="2"/>
    <n v="0"/>
  </r>
  <r>
    <x v="5"/>
    <n v="0.9"/>
    <n v="55"/>
    <n v="437"/>
    <n v="331"/>
    <n v="75.743707093821513"/>
    <n v="0"/>
    <s v="A"/>
    <n v="0"/>
    <s v="A"/>
    <n v="14"/>
    <n v="5"/>
    <n v="10"/>
    <n v="4"/>
    <n v="3"/>
    <n v="0"/>
  </r>
  <r>
    <x v="13"/>
    <n v="0.7"/>
    <n v="63"/>
    <n v="724"/>
    <n v="645"/>
    <n v="89.088397790055254"/>
    <n v="1"/>
    <s v="H"/>
    <n v="1"/>
    <s v="H"/>
    <n v="9"/>
    <n v="2"/>
    <n v="7"/>
    <n v="4"/>
    <n v="0"/>
    <n v="0"/>
  </r>
  <r>
    <x v="16"/>
    <n v="1"/>
    <n v="52"/>
    <n v="470"/>
    <n v="402"/>
    <n v="85.531914893617028"/>
    <n v="1"/>
    <s v="H"/>
    <n v="1"/>
    <s v="H"/>
    <n v="10"/>
    <n v="3"/>
    <n v="6"/>
    <n v="5"/>
    <n v="0"/>
    <n v="0"/>
  </r>
  <r>
    <x v="3"/>
    <n v="0.6"/>
    <n v="58"/>
    <n v="536"/>
    <n v="448"/>
    <n v="83.582089552238799"/>
    <n v="2"/>
    <s v="D"/>
    <n v="2"/>
    <s v="H"/>
    <n v="8"/>
    <n v="3"/>
    <n v="12"/>
    <n v="3"/>
    <n v="4"/>
    <n v="0"/>
  </r>
  <r>
    <x v="9"/>
    <n v="1.4"/>
    <n v="49"/>
    <n v="480"/>
    <n v="417"/>
    <n v="86.875"/>
    <n v="2"/>
    <s v="H"/>
    <n v="2"/>
    <s v="H"/>
    <n v="14"/>
    <n v="4"/>
    <n v="12"/>
    <n v="7"/>
    <n v="1"/>
    <n v="0"/>
  </r>
  <r>
    <x v="2"/>
    <n v="1.4"/>
    <n v="51"/>
    <n v="457"/>
    <n v="380"/>
    <n v="83.150984682713343"/>
    <n v="1"/>
    <s v="A"/>
    <n v="1"/>
    <s v="H"/>
    <n v="13"/>
    <n v="4"/>
    <n v="7"/>
    <n v="2"/>
    <n v="0"/>
    <n v="0"/>
  </r>
  <r>
    <x v="7"/>
    <n v="2.8"/>
    <n v="47"/>
    <n v="455"/>
    <n v="349"/>
    <n v="76.703296703296715"/>
    <n v="4"/>
    <s v="H"/>
    <n v="2"/>
    <s v="H"/>
    <n v="12"/>
    <n v="6"/>
    <n v="8"/>
    <n v="7"/>
    <n v="0"/>
    <n v="0"/>
  </r>
  <r>
    <x v="10"/>
    <n v="0.7"/>
    <n v="45"/>
    <n v="408"/>
    <n v="313"/>
    <n v="76.715686274509807"/>
    <n v="1"/>
    <s v="D"/>
    <n v="1"/>
    <s v="H"/>
    <n v="5"/>
    <n v="2"/>
    <n v="15"/>
    <n v="1"/>
    <n v="2"/>
    <n v="0"/>
  </r>
  <r>
    <x v="6"/>
    <n v="0.8"/>
    <n v="55"/>
    <n v="497"/>
    <n v="361"/>
    <n v="72.635814889336018"/>
    <n v="1"/>
    <s v="D"/>
    <n v="1"/>
    <s v="D"/>
    <n v="11"/>
    <n v="2"/>
    <n v="18"/>
    <n v="1"/>
    <n v="2"/>
    <n v="0"/>
  </r>
  <r>
    <x v="8"/>
    <n v="3.1"/>
    <n v="36"/>
    <n v="386"/>
    <n v="319"/>
    <n v="82.642487046632127"/>
    <n v="3"/>
    <s v="H"/>
    <n v="1"/>
    <s v="H"/>
    <n v="17"/>
    <n v="7"/>
    <n v="10"/>
    <n v="3"/>
    <n v="2"/>
    <n v="0"/>
  </r>
  <r>
    <x v="11"/>
    <n v="2.2999999999999998"/>
    <n v="50"/>
    <n v="441"/>
    <n v="311"/>
    <n v="70.521541950113374"/>
    <n v="1"/>
    <s v="D"/>
    <n v="0"/>
    <s v="D"/>
    <n v="20"/>
    <n v="3"/>
    <n v="9"/>
    <n v="7"/>
    <n v="3"/>
    <n v="0"/>
  </r>
  <r>
    <x v="12"/>
    <n v="0.8"/>
    <n v="64"/>
    <n v="607"/>
    <n v="508"/>
    <n v="83.690280065897866"/>
    <n v="1"/>
    <s v="A"/>
    <n v="1"/>
    <s v="D"/>
    <n v="18"/>
    <n v="6"/>
    <n v="15"/>
    <n v="5"/>
    <n v="1"/>
    <n v="0"/>
  </r>
  <r>
    <x v="1"/>
    <n v="0.9"/>
    <n v="49"/>
    <n v="404"/>
    <n v="323"/>
    <n v="79.950495049504951"/>
    <n v="0"/>
    <s v="A"/>
    <n v="0"/>
    <s v="A"/>
    <n v="11"/>
    <n v="4"/>
    <n v="6"/>
    <n v="5"/>
    <n v="2"/>
    <n v="0"/>
  </r>
  <r>
    <x v="14"/>
    <n v="0.1"/>
    <n v="28"/>
    <n v="279"/>
    <n v="208"/>
    <n v="74.551971326164875"/>
    <n v="0"/>
    <s v="D"/>
    <n v="0"/>
    <s v="D"/>
    <n v="2"/>
    <n v="0"/>
    <n v="9"/>
    <n v="1"/>
    <n v="2"/>
    <n v="0"/>
  </r>
  <r>
    <x v="18"/>
    <n v="0.9"/>
    <n v="56"/>
    <n v="580"/>
    <n v="488"/>
    <n v="84.137931034482762"/>
    <n v="0"/>
    <s v="A"/>
    <n v="0"/>
    <s v="A"/>
    <n v="10"/>
    <n v="3"/>
    <n v="8"/>
    <n v="7"/>
    <n v="1"/>
    <n v="0"/>
  </r>
  <r>
    <x v="17"/>
    <n v="0.8"/>
    <n v="66"/>
    <n v="541"/>
    <n v="444"/>
    <n v="82.070240295748604"/>
    <n v="0"/>
    <s v="A"/>
    <n v="0"/>
    <s v="A"/>
    <n v="10"/>
    <n v="4"/>
    <n v="19"/>
    <n v="10"/>
    <n v="4"/>
    <n v="0"/>
  </r>
  <r>
    <x v="4"/>
    <n v="1.6"/>
    <n v="45"/>
    <n v="447"/>
    <n v="375"/>
    <n v="83.892617449664428"/>
    <n v="2"/>
    <s v="H"/>
    <n v="1"/>
    <s v="H"/>
    <n v="15"/>
    <n v="6"/>
    <n v="9"/>
    <n v="2"/>
    <n v="4"/>
    <n v="0"/>
  </r>
  <r>
    <x v="0"/>
    <n v="2.1"/>
    <n v="52"/>
    <n v="553"/>
    <n v="481"/>
    <n v="86.980108499095849"/>
    <n v="0"/>
    <s v="A"/>
    <n v="0"/>
    <s v="A"/>
    <n v="20"/>
    <n v="5"/>
    <n v="3"/>
    <n v="8"/>
    <n v="0"/>
    <n v="0"/>
  </r>
  <r>
    <x v="5"/>
    <n v="1.3"/>
    <n v="55"/>
    <n v="478"/>
    <n v="389"/>
    <n v="81.380753138075306"/>
    <n v="2"/>
    <s v="D"/>
    <n v="1"/>
    <s v="D"/>
    <n v="15"/>
    <n v="4"/>
    <n v="11"/>
    <n v="4"/>
    <n v="3"/>
    <n v="0"/>
  </r>
  <r>
    <x v="15"/>
    <n v="0.7"/>
    <n v="48"/>
    <n v="412"/>
    <n v="313"/>
    <n v="75.970873786407765"/>
    <n v="0"/>
    <s v="A"/>
    <n v="0"/>
    <s v="A"/>
    <n v="8"/>
    <n v="1"/>
    <n v="12"/>
    <n v="4"/>
    <n v="1"/>
    <n v="0"/>
  </r>
  <r>
    <x v="19"/>
    <n v="2.4"/>
    <n v="45"/>
    <n v="390"/>
    <n v="313"/>
    <n v="80.256410256410263"/>
    <n v="2"/>
    <s v="D"/>
    <n v="2"/>
    <s v="H"/>
    <n v="14"/>
    <n v="5"/>
    <n v="13"/>
    <n v="3"/>
    <n v="1"/>
    <n v="0"/>
  </r>
  <r>
    <x v="16"/>
    <n v="1.4"/>
    <n v="67"/>
    <n v="626"/>
    <n v="542"/>
    <n v="86.581469648562305"/>
    <n v="2"/>
    <s v="H"/>
    <n v="0"/>
    <s v="D"/>
    <n v="18"/>
    <n v="7"/>
    <n v="5"/>
    <n v="9"/>
    <n v="1"/>
    <n v="0"/>
  </r>
  <r>
    <x v="8"/>
    <n v="0.8"/>
    <n v="47"/>
    <n v="441"/>
    <n v="346"/>
    <n v="78.458049886621311"/>
    <n v="1"/>
    <s v="H"/>
    <n v="0"/>
    <s v="D"/>
    <n v="11"/>
    <n v="3"/>
    <n v="10"/>
    <n v="7"/>
    <n v="1"/>
    <n v="0"/>
  </r>
  <r>
    <x v="3"/>
    <n v="2.7"/>
    <n v="50"/>
    <n v="541"/>
    <n v="458"/>
    <n v="84.65804066543437"/>
    <n v="2"/>
    <s v="H"/>
    <n v="2"/>
    <s v="H"/>
    <n v="13"/>
    <n v="5"/>
    <n v="6"/>
    <n v="4"/>
    <n v="1"/>
    <n v="0"/>
  </r>
  <r>
    <x v="6"/>
    <n v="1.1000000000000001"/>
    <n v="60"/>
    <n v="554"/>
    <n v="465"/>
    <n v="83.935018050541515"/>
    <n v="1"/>
    <s v="A"/>
    <n v="0"/>
    <s v="A"/>
    <n v="16"/>
    <n v="5"/>
    <n v="14"/>
    <n v="8"/>
    <n v="6"/>
    <n v="0"/>
  </r>
  <r>
    <x v="7"/>
    <n v="2.5"/>
    <n v="51"/>
    <n v="416"/>
    <n v="313"/>
    <n v="75.240384615384613"/>
    <n v="2"/>
    <s v="A"/>
    <n v="2"/>
    <s v="H"/>
    <n v="11"/>
    <n v="6"/>
    <n v="12"/>
    <n v="5"/>
    <n v="4"/>
    <n v="0"/>
  </r>
  <r>
    <x v="9"/>
    <n v="0.8"/>
    <n v="50"/>
    <n v="486"/>
    <n v="403"/>
    <n v="82.921810699588477"/>
    <n v="2"/>
    <s v="H"/>
    <n v="1"/>
    <s v="H"/>
    <n v="9"/>
    <n v="3"/>
    <n v="15"/>
    <n v="2"/>
    <n v="1"/>
    <n v="0"/>
  </r>
  <r>
    <x v="2"/>
    <n v="0.6"/>
    <n v="51"/>
    <n v="447"/>
    <n v="363"/>
    <n v="81.208053691275168"/>
    <n v="1"/>
    <s v="H"/>
    <n v="0"/>
    <s v="D"/>
    <n v="12"/>
    <n v="4"/>
    <n v="9"/>
    <n v="10"/>
    <n v="3"/>
    <n v="0"/>
  </r>
  <r>
    <x v="10"/>
    <n v="2.2000000000000002"/>
    <n v="49"/>
    <n v="489"/>
    <n v="410"/>
    <n v="83.844580777096112"/>
    <n v="3"/>
    <s v="H"/>
    <n v="1"/>
    <s v="A"/>
    <n v="25"/>
    <n v="12"/>
    <n v="9"/>
    <n v="3"/>
    <n v="1"/>
    <n v="0"/>
  </r>
  <r>
    <x v="11"/>
    <n v="1.7"/>
    <n v="31"/>
    <n v="307"/>
    <n v="227"/>
    <n v="73.941368078175898"/>
    <n v="4"/>
    <s v="H"/>
    <n v="2"/>
    <s v="H"/>
    <n v="14"/>
    <n v="10"/>
    <n v="14"/>
    <n v="0"/>
    <n v="1"/>
    <n v="0"/>
  </r>
  <r>
    <x v="13"/>
    <n v="1.5"/>
    <n v="57"/>
    <n v="640"/>
    <n v="571"/>
    <n v="89.21875"/>
    <n v="3"/>
    <s v="H"/>
    <n v="2"/>
    <s v="H"/>
    <n v="12"/>
    <n v="5"/>
    <n v="7"/>
    <n v="3"/>
    <n v="1"/>
    <n v="1"/>
  </r>
  <r>
    <x v="17"/>
    <n v="1.6"/>
    <n v="63"/>
    <n v="547"/>
    <n v="440"/>
    <n v="80.438756855575861"/>
    <n v="2"/>
    <s v="H"/>
    <n v="0"/>
    <s v="D"/>
    <n v="20"/>
    <n v="7"/>
    <n v="19"/>
    <n v="6"/>
    <n v="0"/>
    <n v="0"/>
  </r>
  <r>
    <x v="12"/>
    <n v="1.3"/>
    <n v="47"/>
    <n v="477"/>
    <n v="399"/>
    <n v="83.647798742138363"/>
    <n v="0"/>
    <s v="A"/>
    <n v="0"/>
    <s v="A"/>
    <n v="13"/>
    <n v="3"/>
    <n v="11"/>
    <n v="1"/>
    <n v="0"/>
    <n v="0"/>
  </r>
  <r>
    <x v="1"/>
    <n v="0.7"/>
    <n v="42"/>
    <n v="464"/>
    <n v="374"/>
    <n v="80.603448275862064"/>
    <n v="1"/>
    <s v="A"/>
    <n v="0"/>
    <s v="A"/>
    <n v="14"/>
    <n v="4"/>
    <n v="10"/>
    <n v="4"/>
    <n v="1"/>
    <n v="0"/>
  </r>
  <r>
    <x v="19"/>
    <n v="2.1"/>
    <n v="69"/>
    <n v="695"/>
    <n v="580"/>
    <n v="83.453237410071949"/>
    <n v="1"/>
    <s v="D"/>
    <n v="0"/>
    <s v="A"/>
    <n v="14"/>
    <n v="3"/>
    <n v="7"/>
    <n v="11"/>
    <n v="1"/>
    <n v="1"/>
  </r>
  <r>
    <x v="0"/>
    <n v="2.9"/>
    <n v="67"/>
    <n v="644"/>
    <n v="555"/>
    <n v="86.18012422360249"/>
    <n v="2"/>
    <s v="H"/>
    <n v="0"/>
    <s v="D"/>
    <n v="25"/>
    <n v="10"/>
    <n v="10"/>
    <n v="4"/>
    <n v="2"/>
    <n v="0"/>
  </r>
  <r>
    <x v="4"/>
    <n v="1.2"/>
    <n v="65"/>
    <n v="590"/>
    <n v="501"/>
    <n v="84.915254237288138"/>
    <n v="0"/>
    <s v="A"/>
    <n v="0"/>
    <s v="D"/>
    <n v="17"/>
    <n v="6"/>
    <n v="12"/>
    <n v="12"/>
    <n v="1"/>
    <n v="0"/>
  </r>
  <r>
    <x v="5"/>
    <n v="1.2"/>
    <n v="52"/>
    <n v="487"/>
    <n v="384"/>
    <n v="78.850102669404521"/>
    <n v="0"/>
    <s v="A"/>
    <n v="0"/>
    <s v="D"/>
    <n v="10"/>
    <n v="2"/>
    <n v="10"/>
    <n v="7"/>
    <n v="2"/>
    <n v="0"/>
  </r>
  <r>
    <x v="14"/>
    <n v="0.6"/>
    <n v="38"/>
    <n v="363"/>
    <n v="289"/>
    <n v="79.614325068870528"/>
    <n v="1"/>
    <s v="A"/>
    <n v="0"/>
    <s v="A"/>
    <n v="7"/>
    <n v="2"/>
    <n v="7"/>
    <n v="5"/>
    <n v="0"/>
    <n v="0"/>
  </r>
  <r>
    <x v="15"/>
    <n v="2"/>
    <n v="34"/>
    <n v="301"/>
    <n v="229"/>
    <n v="76.079734219269099"/>
    <n v="1"/>
    <s v="A"/>
    <n v="1"/>
    <s v="H"/>
    <n v="4"/>
    <n v="2"/>
    <n v="13"/>
    <n v="2"/>
    <n v="3"/>
    <n v="0"/>
  </r>
  <r>
    <x v="18"/>
    <n v="1"/>
    <n v="49"/>
    <n v="471"/>
    <n v="374"/>
    <n v="79.405520169851386"/>
    <n v="1"/>
    <s v="D"/>
    <n v="0"/>
    <s v="A"/>
    <n v="18"/>
    <n v="6"/>
    <n v="7"/>
    <n v="8"/>
    <n v="2"/>
    <n v="0"/>
  </r>
  <r>
    <x v="12"/>
    <n v="0.4"/>
    <n v="45"/>
    <n v="424"/>
    <n v="329"/>
    <n v="77.594339622641513"/>
    <n v="0"/>
    <s v="H"/>
    <n v="0"/>
    <s v="D"/>
    <n v="10"/>
    <n v="2"/>
    <n v="10"/>
    <n v="8"/>
    <n v="3"/>
    <n v="0"/>
  </r>
  <r>
    <x v="19"/>
    <n v="2.6"/>
    <n v="62"/>
    <n v="620"/>
    <n v="520"/>
    <n v="83.870967741935488"/>
    <n v="2"/>
    <s v="A"/>
    <n v="0"/>
    <s v="D"/>
    <n v="18"/>
    <n v="5"/>
    <n v="18"/>
    <n v="10"/>
    <n v="1"/>
    <n v="0"/>
  </r>
  <r>
    <x v="18"/>
    <n v="0.5"/>
    <n v="47"/>
    <n v="406"/>
    <n v="324"/>
    <n v="79.802955665024626"/>
    <n v="0"/>
    <s v="H"/>
    <n v="0"/>
    <s v="H"/>
    <n v="9"/>
    <n v="3"/>
    <n v="14"/>
    <n v="2"/>
    <n v="2"/>
    <n v="0"/>
  </r>
  <r>
    <x v="10"/>
    <n v="1.4"/>
    <n v="60"/>
    <n v="605"/>
    <n v="510"/>
    <n v="84.297520661157023"/>
    <n v="3"/>
    <s v="A"/>
    <n v="1"/>
    <s v="A"/>
    <n v="10"/>
    <n v="5"/>
    <n v="8"/>
    <n v="5"/>
    <n v="1"/>
    <n v="0"/>
  </r>
  <r>
    <x v="14"/>
    <n v="1.8"/>
    <n v="77"/>
    <n v="702"/>
    <n v="604"/>
    <n v="86.039886039886042"/>
    <n v="0"/>
    <s v="H"/>
    <n v="0"/>
    <s v="H"/>
    <n v="19"/>
    <n v="4"/>
    <n v="16"/>
    <n v="12"/>
    <n v="4"/>
    <n v="0"/>
  </r>
  <r>
    <x v="17"/>
    <n v="1.2"/>
    <n v="47"/>
    <n v="485"/>
    <n v="363"/>
    <n v="74.845360824742272"/>
    <n v="1"/>
    <s v="D"/>
    <n v="0"/>
    <s v="H"/>
    <n v="13"/>
    <n v="4"/>
    <n v="8"/>
    <n v="6"/>
    <n v="3"/>
    <n v="0"/>
  </r>
  <r>
    <x v="16"/>
    <n v="2"/>
    <n v="48"/>
    <n v="433"/>
    <n v="348"/>
    <n v="80.36951501154735"/>
    <n v="2"/>
    <s v="A"/>
    <n v="1"/>
    <s v="D"/>
    <n v="15"/>
    <n v="3"/>
    <n v="11"/>
    <n v="3"/>
    <n v="2"/>
    <n v="0"/>
  </r>
  <r>
    <x v="11"/>
    <n v="1.2"/>
    <n v="54"/>
    <n v="519"/>
    <n v="410"/>
    <n v="78.9980732177264"/>
    <n v="1"/>
    <s v="H"/>
    <n v="0"/>
    <s v="H"/>
    <n v="14"/>
    <n v="6"/>
    <n v="15"/>
    <n v="7"/>
    <n v="5"/>
    <n v="0"/>
  </r>
  <r>
    <x v="13"/>
    <n v="0.8"/>
    <n v="52"/>
    <n v="570"/>
    <n v="501"/>
    <n v="87.89473684210526"/>
    <n v="2"/>
    <s v="A"/>
    <n v="1"/>
    <s v="A"/>
    <n v="11"/>
    <n v="5"/>
    <n v="9"/>
    <n v="3"/>
    <n v="1"/>
    <n v="0"/>
  </r>
  <r>
    <x v="15"/>
    <n v="1.2"/>
    <n v="70"/>
    <n v="724"/>
    <n v="631"/>
    <n v="87.154696132596683"/>
    <n v="1"/>
    <s v="D"/>
    <n v="1"/>
    <s v="A"/>
    <n v="15"/>
    <n v="7"/>
    <n v="12"/>
    <n v="13"/>
    <n v="1"/>
    <n v="0"/>
  </r>
  <r>
    <x v="0"/>
    <n v="1.4"/>
    <n v="52"/>
    <n v="552"/>
    <n v="470"/>
    <n v="85.14492753623189"/>
    <n v="1"/>
    <s v="H"/>
    <n v="0"/>
    <s v="H"/>
    <n v="11"/>
    <n v="4"/>
    <n v="13"/>
    <n v="4"/>
    <n v="2"/>
    <n v="0"/>
  </r>
  <r>
    <x v="6"/>
    <n v="1.4"/>
    <n v="42"/>
    <n v="425"/>
    <n v="320"/>
    <n v="75.294117647058826"/>
    <n v="2"/>
    <s v="A"/>
    <n v="0"/>
    <s v="D"/>
    <n v="18"/>
    <n v="3"/>
    <n v="17"/>
    <n v="3"/>
    <n v="1"/>
    <n v="0"/>
  </r>
  <r>
    <x v="9"/>
    <n v="0.6"/>
    <n v="46"/>
    <n v="489"/>
    <n v="402"/>
    <n v="82.208588957055213"/>
    <n v="1"/>
    <s v="H"/>
    <n v="1"/>
    <s v="D"/>
    <n v="10"/>
    <n v="4"/>
    <n v="13"/>
    <n v="5"/>
    <n v="2"/>
    <n v="0"/>
  </r>
  <r>
    <x v="1"/>
    <n v="0.3"/>
    <n v="25"/>
    <n v="266"/>
    <n v="211"/>
    <n v="79.323308270676691"/>
    <n v="1"/>
    <s v="H"/>
    <n v="1"/>
    <s v="H"/>
    <n v="1"/>
    <n v="1"/>
    <n v="15"/>
    <n v="1"/>
    <n v="3"/>
    <n v="0"/>
  </r>
  <r>
    <x v="5"/>
    <n v="2.2000000000000002"/>
    <n v="36"/>
    <n v="383"/>
    <n v="306"/>
    <n v="79.895561357702348"/>
    <n v="1"/>
    <s v="A"/>
    <n v="0"/>
    <s v="D"/>
    <n v="23"/>
    <n v="8"/>
    <n v="14"/>
    <n v="10"/>
    <n v="3"/>
    <n v="0"/>
  </r>
  <r>
    <x v="3"/>
    <n v="1"/>
    <n v="30"/>
    <n v="287"/>
    <n v="211"/>
    <n v="73.519163763066203"/>
    <n v="0"/>
    <s v="H"/>
    <n v="0"/>
    <s v="H"/>
    <n v="10"/>
    <n v="1"/>
    <n v="15"/>
    <n v="5"/>
    <n v="0"/>
    <n v="0"/>
  </r>
  <r>
    <x v="2"/>
    <n v="0.9"/>
    <n v="60"/>
    <n v="544"/>
    <n v="483"/>
    <n v="88.786764705882348"/>
    <n v="2"/>
    <s v="A"/>
    <n v="0"/>
    <s v="D"/>
    <n v="9"/>
    <n v="4"/>
    <n v="15"/>
    <n v="1"/>
    <n v="3"/>
    <n v="0"/>
  </r>
  <r>
    <x v="4"/>
    <n v="1.6"/>
    <n v="61"/>
    <n v="552"/>
    <n v="428"/>
    <n v="77.536231884057969"/>
    <n v="1"/>
    <s v="D"/>
    <n v="0"/>
    <s v="H"/>
    <n v="14"/>
    <n v="5"/>
    <n v="8"/>
    <n v="9"/>
    <n v="2"/>
    <n v="0"/>
  </r>
  <r>
    <x v="8"/>
    <n v="1.6"/>
    <n v="60"/>
    <n v="525"/>
    <n v="445"/>
    <n v="84.761904761904759"/>
    <n v="6"/>
    <s v="A"/>
    <n v="2"/>
    <s v="D"/>
    <n v="14"/>
    <n v="8"/>
    <n v="13"/>
    <n v="5"/>
    <n v="3"/>
    <n v="0"/>
  </r>
  <r>
    <x v="7"/>
    <n v="0.5"/>
    <n v="38"/>
    <n v="399"/>
    <n v="322"/>
    <n v="80.701754385964904"/>
    <n v="0"/>
    <s v="H"/>
    <n v="0"/>
    <s v="H"/>
    <n v="8"/>
    <n v="2"/>
    <n v="7"/>
    <n v="4"/>
    <n v="3"/>
    <n v="0"/>
  </r>
  <r>
    <x v="10"/>
    <n v="1.7"/>
    <n v="64"/>
    <n v="518"/>
    <n v="429"/>
    <n v="82.818532818532816"/>
    <n v="1"/>
    <s v="D"/>
    <n v="0"/>
    <s v="H"/>
    <n v="22"/>
    <n v="4"/>
    <n v="7"/>
    <n v="7"/>
    <n v="2"/>
    <n v="0"/>
  </r>
  <r>
    <x v="14"/>
    <n v="1.5"/>
    <n v="63"/>
    <n v="664"/>
    <n v="573"/>
    <n v="86.295180722891558"/>
    <n v="1"/>
    <s v="H"/>
    <n v="0"/>
    <s v="H"/>
    <n v="18"/>
    <n v="6"/>
    <n v="7"/>
    <n v="8"/>
    <n v="1"/>
    <n v="0"/>
  </r>
  <r>
    <x v="17"/>
    <n v="2.4"/>
    <n v="53"/>
    <n v="441"/>
    <n v="327"/>
    <n v="74.149659863945587"/>
    <n v="3"/>
    <s v="A"/>
    <n v="0"/>
    <s v="D"/>
    <n v="17"/>
    <n v="7"/>
    <n v="1"/>
    <n v="4"/>
    <n v="1"/>
    <n v="0"/>
  </r>
  <r>
    <x v="12"/>
    <n v="0.9"/>
    <n v="52"/>
    <n v="469"/>
    <n v="383"/>
    <n v="81.6631130063966"/>
    <n v="1"/>
    <s v="D"/>
    <n v="1"/>
    <s v="D"/>
    <n v="9"/>
    <n v="4"/>
    <n v="15"/>
    <n v="6"/>
    <n v="3"/>
    <n v="0"/>
  </r>
  <r>
    <x v="16"/>
    <n v="1.4"/>
    <n v="43"/>
    <n v="411"/>
    <n v="333"/>
    <n v="81.021897810218974"/>
    <n v="2"/>
    <s v="A"/>
    <n v="1"/>
    <s v="A"/>
    <n v="10"/>
    <n v="5"/>
    <n v="21"/>
    <n v="4"/>
    <n v="5"/>
    <n v="0"/>
  </r>
  <r>
    <x v="18"/>
    <n v="0.7"/>
    <n v="48"/>
    <n v="383"/>
    <n v="292"/>
    <n v="76.240208877284601"/>
    <n v="1"/>
    <s v="D"/>
    <n v="1"/>
    <s v="D"/>
    <n v="11"/>
    <n v="3"/>
    <n v="18"/>
    <n v="3"/>
    <n v="4"/>
    <n v="0"/>
  </r>
  <r>
    <x v="13"/>
    <n v="3"/>
    <n v="67"/>
    <n v="762"/>
    <n v="691"/>
    <n v="90.682414698162731"/>
    <n v="3"/>
    <s v="A"/>
    <n v="2"/>
    <s v="A"/>
    <n v="23"/>
    <n v="8"/>
    <n v="3"/>
    <n v="11"/>
    <n v="2"/>
    <n v="0"/>
  </r>
  <r>
    <x v="11"/>
    <n v="0.5"/>
    <n v="38"/>
    <n v="382"/>
    <n v="300"/>
    <n v="78.534031413612567"/>
    <n v="1"/>
    <s v="D"/>
    <n v="0"/>
    <s v="H"/>
    <n v="9"/>
    <n v="3"/>
    <n v="13"/>
    <n v="5"/>
    <n v="2"/>
    <n v="0"/>
  </r>
  <r>
    <x v="15"/>
    <n v="1.2"/>
    <n v="65"/>
    <n v="557"/>
    <n v="450"/>
    <n v="80.789946140035909"/>
    <n v="1"/>
    <s v="H"/>
    <n v="0"/>
    <s v="H"/>
    <n v="20"/>
    <n v="6"/>
    <n v="13"/>
    <n v="12"/>
    <n v="4"/>
    <n v="0"/>
  </r>
  <r>
    <x v="19"/>
    <n v="1.8"/>
    <n v="47"/>
    <n v="497"/>
    <n v="414"/>
    <n v="83.299798792756548"/>
    <n v="3"/>
    <s v="A"/>
    <n v="2"/>
    <s v="A"/>
    <n v="11"/>
    <n v="3"/>
    <n v="7"/>
    <n v="2"/>
    <n v="1"/>
    <n v="0"/>
  </r>
  <r>
    <x v="0"/>
    <n v="2.6"/>
    <n v="56"/>
    <n v="640"/>
    <n v="576"/>
    <n v="90"/>
    <n v="3"/>
    <s v="A"/>
    <n v="2"/>
    <s v="A"/>
    <n v="20"/>
    <n v="10"/>
    <n v="14"/>
    <n v="7"/>
    <n v="4"/>
    <n v="0"/>
  </r>
  <r>
    <x v="1"/>
    <n v="0.3"/>
    <n v="32"/>
    <n v="293"/>
    <n v="205"/>
    <n v="69.965870307167236"/>
    <n v="0"/>
    <s v="D"/>
    <n v="0"/>
    <s v="D"/>
    <n v="6"/>
    <n v="1"/>
    <n v="16"/>
    <n v="2"/>
    <n v="3"/>
    <n v="0"/>
  </r>
  <r>
    <x v="9"/>
    <n v="1.2"/>
    <n v="34"/>
    <n v="333"/>
    <n v="229"/>
    <n v="68.76876876876878"/>
    <n v="2"/>
    <s v="D"/>
    <n v="1"/>
    <s v="A"/>
    <n v="9"/>
    <n v="4"/>
    <n v="15"/>
    <n v="2"/>
    <n v="3"/>
    <n v="0"/>
  </r>
  <r>
    <x v="6"/>
    <n v="0.8"/>
    <n v="46"/>
    <n v="379"/>
    <n v="283"/>
    <n v="74.670184696569919"/>
    <n v="1"/>
    <s v="D"/>
    <n v="0"/>
    <s v="H"/>
    <n v="11"/>
    <n v="3"/>
    <n v="18"/>
    <n v="2"/>
    <n v="3"/>
    <n v="0"/>
  </r>
  <r>
    <x v="5"/>
    <n v="0.4"/>
    <n v="32"/>
    <n v="304"/>
    <n v="197"/>
    <n v="64.80263157894737"/>
    <n v="1"/>
    <s v="A"/>
    <n v="0"/>
    <s v="D"/>
    <n v="5"/>
    <n v="3"/>
    <n v="6"/>
    <n v="2"/>
    <n v="4"/>
    <n v="0"/>
  </r>
  <r>
    <x v="7"/>
    <n v="1"/>
    <n v="46"/>
    <n v="492"/>
    <n v="414"/>
    <n v="84.146341463414629"/>
    <n v="1"/>
    <s v="H"/>
    <n v="1"/>
    <s v="H"/>
    <n v="8"/>
    <n v="5"/>
    <n v="3"/>
    <n v="3"/>
    <n v="1"/>
    <n v="0"/>
  </r>
  <r>
    <x v="3"/>
    <n v="0.9"/>
    <n v="28"/>
    <n v="272"/>
    <n v="203"/>
    <n v="74.632352941176478"/>
    <n v="2"/>
    <s v="H"/>
    <n v="2"/>
    <s v="A"/>
    <n v="6"/>
    <n v="2"/>
    <n v="12"/>
    <n v="2"/>
    <n v="4"/>
    <n v="0"/>
  </r>
  <r>
    <x v="8"/>
    <n v="0.8"/>
    <n v="66"/>
    <n v="619"/>
    <n v="522"/>
    <n v="84.329563812600966"/>
    <n v="1"/>
    <s v="A"/>
    <n v="0"/>
    <s v="D"/>
    <n v="10"/>
    <n v="3"/>
    <n v="9"/>
    <n v="3"/>
    <n v="8"/>
    <n v="0"/>
  </r>
  <r>
    <x v="2"/>
    <n v="0.7"/>
    <n v="37"/>
    <n v="320"/>
    <n v="235"/>
    <n v="73.4375"/>
    <n v="1"/>
    <s v="A"/>
    <n v="0"/>
    <s v="D"/>
    <n v="7"/>
    <n v="4"/>
    <n v="10"/>
    <n v="6"/>
    <n v="3"/>
    <n v="0"/>
  </r>
  <r>
    <x v="4"/>
    <n v="1.5"/>
    <n v="51"/>
    <n v="505"/>
    <n v="434"/>
    <n v="85.940594059405939"/>
    <n v="2"/>
    <s v="A"/>
    <n v="0"/>
    <s v="H"/>
    <n v="14"/>
    <n v="6"/>
    <n v="6"/>
    <n v="7"/>
    <n v="3"/>
    <n v="0"/>
  </r>
  <r>
    <x v="8"/>
    <n v="2.2000000000000002"/>
    <n v="47"/>
    <n v="479"/>
    <n v="410"/>
    <n v="85.594989561586644"/>
    <n v="3"/>
    <s v="A"/>
    <n v="2"/>
    <s v="A"/>
    <n v="12"/>
    <n v="5"/>
    <n v="9"/>
    <n v="5"/>
    <n v="2"/>
    <n v="0"/>
  </r>
  <r>
    <x v="18"/>
    <n v="0.5"/>
    <n v="47"/>
    <n v="432"/>
    <n v="364"/>
    <n v="84.259259259259252"/>
    <n v="1"/>
    <s v="H"/>
    <n v="1"/>
    <s v="A"/>
    <n v="10"/>
    <n v="4"/>
    <n v="16"/>
    <n v="5"/>
    <n v="6"/>
    <n v="0"/>
  </r>
  <r>
    <x v="4"/>
    <n v="1.5"/>
    <n v="61"/>
    <n v="605"/>
    <n v="537"/>
    <n v="88.760330578512395"/>
    <n v="1"/>
    <s v="H"/>
    <n v="0"/>
    <s v="H"/>
    <n v="15"/>
    <n v="4"/>
    <n v="8"/>
    <n v="0"/>
    <n v="0"/>
    <n v="0"/>
  </r>
  <r>
    <x v="3"/>
    <n v="1.1000000000000001"/>
    <n v="42"/>
    <n v="380"/>
    <n v="295"/>
    <n v="77.631578947368425"/>
    <n v="1"/>
    <s v="D"/>
    <n v="1"/>
    <s v="A"/>
    <n v="16"/>
    <n v="5"/>
    <n v="12"/>
    <n v="1"/>
    <n v="2"/>
    <n v="0"/>
  </r>
  <r>
    <x v="17"/>
    <n v="1.1000000000000001"/>
    <n v="42"/>
    <n v="442"/>
    <n v="360"/>
    <n v="81.447963800904972"/>
    <n v="0"/>
    <s v="H"/>
    <n v="0"/>
    <s v="H"/>
    <n v="19"/>
    <n v="6"/>
    <n v="12"/>
    <n v="9"/>
    <n v="4"/>
    <n v="0"/>
  </r>
  <r>
    <x v="1"/>
    <n v="1.6"/>
    <n v="47"/>
    <n v="452"/>
    <n v="371"/>
    <n v="82.079646017699119"/>
    <n v="1"/>
    <s v="D"/>
    <n v="0"/>
    <s v="H"/>
    <n v="13"/>
    <n v="6"/>
    <n v="16"/>
    <n v="10"/>
    <n v="4"/>
    <n v="0"/>
  </r>
  <r>
    <x v="7"/>
    <n v="0.8"/>
    <n v="52"/>
    <n v="523"/>
    <n v="411"/>
    <n v="78.585086042065015"/>
    <n v="1"/>
    <s v="H"/>
    <n v="1"/>
    <s v="H"/>
    <n v="6"/>
    <n v="6"/>
    <n v="9"/>
    <n v="4"/>
    <n v="1"/>
    <n v="0"/>
  </r>
  <r>
    <x v="0"/>
    <n v="1.6"/>
    <n v="67"/>
    <n v="698"/>
    <n v="586"/>
    <n v="83.954154727793693"/>
    <n v="0"/>
    <s v="D"/>
    <n v="0"/>
    <s v="D"/>
    <n v="15"/>
    <n v="6"/>
    <n v="12"/>
    <n v="11"/>
    <n v="1"/>
    <n v="0"/>
  </r>
  <r>
    <x v="5"/>
    <n v="1.4"/>
    <n v="30"/>
    <n v="270"/>
    <n v="182"/>
    <n v="67.407407407407405"/>
    <n v="2"/>
    <s v="D"/>
    <n v="1"/>
    <s v="H"/>
    <n v="4"/>
    <n v="3"/>
    <n v="11"/>
    <n v="1"/>
    <n v="4"/>
    <n v="1"/>
  </r>
  <r>
    <x v="2"/>
    <n v="0.7"/>
    <n v="23"/>
    <n v="221"/>
    <n v="154"/>
    <n v="69.68325791855203"/>
    <n v="2"/>
    <s v="D"/>
    <n v="2"/>
    <s v="A"/>
    <n v="5"/>
    <n v="3"/>
    <n v="10"/>
    <n v="2"/>
    <n v="4"/>
    <n v="1"/>
  </r>
  <r>
    <x v="13"/>
    <n v="0.9"/>
    <n v="62"/>
    <n v="598"/>
    <n v="511"/>
    <n v="85.451505016722408"/>
    <n v="1"/>
    <s v="D"/>
    <n v="1"/>
    <s v="A"/>
    <n v="16"/>
    <n v="6"/>
    <n v="10"/>
    <n v="6"/>
    <n v="4"/>
    <n v="0"/>
  </r>
  <r>
    <x v="9"/>
    <n v="0.3"/>
    <n v="26"/>
    <n v="257"/>
    <n v="192"/>
    <n v="74.708171206225686"/>
    <n v="2"/>
    <s v="H"/>
    <n v="0"/>
    <s v="H"/>
    <n v="5"/>
    <n v="3"/>
    <n v="6"/>
    <n v="0"/>
    <n v="4"/>
    <n v="0"/>
  </r>
  <r>
    <x v="6"/>
    <n v="1"/>
    <n v="43"/>
    <n v="439"/>
    <n v="338"/>
    <n v="76.993166287015953"/>
    <n v="1"/>
    <s v="D"/>
    <n v="0"/>
    <s v="H"/>
    <n v="19"/>
    <n v="3"/>
    <n v="11"/>
    <n v="7"/>
    <n v="3"/>
    <n v="0"/>
  </r>
  <r>
    <x v="10"/>
    <n v="1.1000000000000001"/>
    <n v="59"/>
    <n v="593"/>
    <n v="501"/>
    <n v="84.485666104553118"/>
    <n v="2"/>
    <s v="H"/>
    <n v="2"/>
    <s v="H"/>
    <n v="15"/>
    <n v="5"/>
    <n v="8"/>
    <n v="2"/>
    <n v="2"/>
    <n v="0"/>
  </r>
  <r>
    <x v="11"/>
    <n v="0.9"/>
    <n v="59"/>
    <n v="581"/>
    <n v="458"/>
    <n v="78.829604130808946"/>
    <n v="1"/>
    <s v="H"/>
    <n v="1"/>
    <s v="A"/>
    <n v="17"/>
    <n v="5"/>
    <n v="11"/>
    <n v="8"/>
    <n v="1"/>
    <n v="0"/>
  </r>
  <r>
    <x v="12"/>
    <n v="1.3"/>
    <n v="59"/>
    <n v="563"/>
    <n v="473"/>
    <n v="84.014209591474241"/>
    <n v="1"/>
    <s v="A"/>
    <n v="0"/>
    <s v="D"/>
    <n v="14"/>
    <n v="2"/>
    <n v="15"/>
    <n v="5"/>
    <n v="4"/>
    <n v="0"/>
  </r>
  <r>
    <x v="19"/>
    <n v="2.5"/>
    <n v="55"/>
    <n v="574"/>
    <n v="476"/>
    <n v="82.926829268292678"/>
    <n v="2"/>
    <s v="A"/>
    <n v="1"/>
    <s v="A"/>
    <n v="10"/>
    <n v="6"/>
    <n v="8"/>
    <n v="10"/>
    <n v="3"/>
    <n v="0"/>
  </r>
  <r>
    <x v="16"/>
    <n v="0.8"/>
    <n v="56"/>
    <n v="561"/>
    <n v="493"/>
    <n v="87.878787878787875"/>
    <n v="2"/>
    <s v="D"/>
    <n v="2"/>
    <s v="A"/>
    <n v="7"/>
    <n v="3"/>
    <n v="14"/>
    <n v="0"/>
    <n v="1"/>
    <n v="0"/>
  </r>
  <r>
    <x v="15"/>
    <n v="4.4000000000000004"/>
    <n v="61"/>
    <n v="675"/>
    <n v="591"/>
    <n v="87.555555555555557"/>
    <n v="3"/>
    <s v="A"/>
    <n v="1"/>
    <s v="A"/>
    <n v="24"/>
    <n v="10"/>
    <n v="14"/>
    <n v="3"/>
    <n v="3"/>
    <n v="0"/>
  </r>
  <r>
    <x v="14"/>
    <n v="0.6"/>
    <n v="60"/>
    <n v="620"/>
    <n v="530"/>
    <n v="85.483870967741936"/>
    <n v="1"/>
    <s v="H"/>
    <n v="0"/>
    <s v="H"/>
    <n v="9"/>
    <n v="3"/>
    <n v="12"/>
    <n v="4"/>
    <n v="5"/>
    <n v="0"/>
  </r>
  <r>
    <x v="19"/>
    <n v="1.4"/>
    <n v="68"/>
    <n v="691"/>
    <n v="584"/>
    <n v="84.515195369030394"/>
    <n v="1"/>
    <s v="A"/>
    <n v="1"/>
    <s v="A"/>
    <n v="16"/>
    <n v="4"/>
    <n v="15"/>
    <n v="8"/>
    <n v="2"/>
    <n v="0"/>
  </r>
  <r>
    <x v="14"/>
    <n v="0.6"/>
    <n v="41"/>
    <n v="411"/>
    <n v="345"/>
    <n v="83.941605839416056"/>
    <n v="1"/>
    <s v="H"/>
    <n v="0"/>
    <s v="D"/>
    <n v="8"/>
    <n v="2"/>
    <n v="9"/>
    <n v="1"/>
    <n v="3"/>
    <n v="0"/>
  </r>
  <r>
    <x v="18"/>
    <n v="1"/>
    <n v="56"/>
    <n v="514"/>
    <n v="394"/>
    <n v="76.653696498054487"/>
    <n v="3"/>
    <s v="H"/>
    <n v="2"/>
    <s v="H"/>
    <n v="17"/>
    <n v="6"/>
    <n v="10"/>
    <n v="3"/>
    <n v="3"/>
    <n v="0"/>
  </r>
  <r>
    <x v="17"/>
    <n v="2.1"/>
    <n v="55"/>
    <n v="494"/>
    <n v="385"/>
    <n v="77.935222672064768"/>
    <n v="0"/>
    <s v="H"/>
    <n v="0"/>
    <s v="H"/>
    <n v="17"/>
    <n v="2"/>
    <n v="14"/>
    <n v="9"/>
    <n v="1"/>
    <n v="0"/>
  </r>
  <r>
    <x v="12"/>
    <n v="2.6"/>
    <n v="42"/>
    <n v="486"/>
    <n v="410"/>
    <n v="84.362139917695472"/>
    <n v="2"/>
    <s v="H"/>
    <n v="1"/>
    <s v="D"/>
    <n v="11"/>
    <n v="4"/>
    <n v="10"/>
    <n v="3"/>
    <n v="1"/>
    <n v="0"/>
  </r>
  <r>
    <x v="1"/>
    <n v="0.6"/>
    <n v="48"/>
    <n v="479"/>
    <n v="393"/>
    <n v="82.045929018789138"/>
    <n v="1"/>
    <s v="H"/>
    <n v="1"/>
    <s v="H"/>
    <n v="9"/>
    <n v="2"/>
    <n v="6"/>
    <n v="5"/>
    <n v="1"/>
    <n v="0"/>
  </r>
  <r>
    <x v="4"/>
    <n v="2.1"/>
    <n v="67"/>
    <n v="703"/>
    <n v="594"/>
    <n v="84.495021337126602"/>
    <n v="0"/>
    <s v="D"/>
    <n v="0"/>
    <s v="D"/>
    <n v="14"/>
    <n v="3"/>
    <n v="8"/>
    <n v="10"/>
    <n v="2"/>
    <n v="0"/>
  </r>
  <r>
    <x v="0"/>
    <n v="0.6"/>
    <n v="47"/>
    <n v="396"/>
    <n v="320"/>
    <n v="80.808080808080803"/>
    <n v="0"/>
    <s v="D"/>
    <n v="0"/>
    <s v="D"/>
    <n v="10"/>
    <n v="4"/>
    <n v="11"/>
    <n v="3"/>
    <n v="5"/>
    <n v="0"/>
  </r>
  <r>
    <x v="5"/>
    <n v="0.9"/>
    <n v="35"/>
    <n v="339"/>
    <n v="249"/>
    <n v="73.451327433628322"/>
    <n v="1"/>
    <s v="D"/>
    <n v="0"/>
    <s v="D"/>
    <n v="16"/>
    <n v="9"/>
    <n v="11"/>
    <n v="3"/>
    <n v="2"/>
    <n v="1"/>
  </r>
  <r>
    <x v="15"/>
    <n v="1.3"/>
    <n v="59"/>
    <n v="571"/>
    <n v="485"/>
    <n v="84.938704028021021"/>
    <n v="2"/>
    <s v="H"/>
    <n v="2"/>
    <s v="A"/>
    <n v="13"/>
    <n v="3"/>
    <n v="10"/>
    <n v="7"/>
    <n v="2"/>
    <n v="0"/>
  </r>
  <r>
    <x v="6"/>
    <n v="0.8"/>
    <n v="43"/>
    <n v="400"/>
    <n v="317"/>
    <n v="79.25"/>
    <n v="1"/>
    <s v="H"/>
    <n v="1"/>
    <s v="D"/>
    <n v="11"/>
    <n v="4"/>
    <n v="15"/>
    <n v="5"/>
    <n v="3"/>
    <n v="1"/>
  </r>
  <r>
    <x v="16"/>
    <n v="1.6"/>
    <n v="48"/>
    <n v="444"/>
    <n v="374"/>
    <n v="84.234234234234222"/>
    <n v="3"/>
    <s v="A"/>
    <n v="1"/>
    <s v="D"/>
    <n v="14"/>
    <n v="5"/>
    <n v="11"/>
    <n v="11"/>
    <n v="3"/>
    <n v="1"/>
  </r>
  <r>
    <x v="3"/>
    <n v="1.7"/>
    <n v="45"/>
    <n v="435"/>
    <n v="336"/>
    <n v="77.241379310344826"/>
    <n v="2"/>
    <s v="A"/>
    <n v="2"/>
    <s v="A"/>
    <n v="11"/>
    <n v="8"/>
    <n v="10"/>
    <n v="8"/>
    <n v="1"/>
    <n v="0"/>
  </r>
  <r>
    <x v="7"/>
    <n v="0.9"/>
    <n v="50"/>
    <n v="522"/>
    <n v="435"/>
    <n v="83.333333333333343"/>
    <n v="1"/>
    <s v="H"/>
    <n v="1"/>
    <s v="A"/>
    <n v="8"/>
    <n v="2"/>
    <n v="5"/>
    <n v="2"/>
    <n v="2"/>
    <n v="0"/>
  </r>
  <r>
    <x v="10"/>
    <n v="1.1000000000000001"/>
    <n v="40"/>
    <n v="399"/>
    <n v="313"/>
    <n v="78.446115288220554"/>
    <n v="1"/>
    <s v="A"/>
    <n v="1"/>
    <s v="A"/>
    <n v="10"/>
    <n v="5"/>
    <n v="9"/>
    <n v="4"/>
    <n v="2"/>
    <n v="0"/>
  </r>
  <r>
    <x v="9"/>
    <n v="3.1"/>
    <n v="58"/>
    <n v="546"/>
    <n v="452"/>
    <n v="82.783882783882774"/>
    <n v="3"/>
    <s v="A"/>
    <n v="0"/>
    <s v="H"/>
    <n v="18"/>
    <n v="4"/>
    <n v="10"/>
    <n v="6"/>
    <n v="3"/>
    <n v="0"/>
  </r>
  <r>
    <x v="2"/>
    <n v="0.7"/>
    <n v="51"/>
    <n v="470"/>
    <n v="361"/>
    <n v="76.808510638297875"/>
    <n v="0"/>
    <s v="H"/>
    <n v="0"/>
    <s v="D"/>
    <n v="6"/>
    <n v="1"/>
    <n v="11"/>
    <n v="4"/>
    <n v="1"/>
    <n v="1"/>
  </r>
  <r>
    <x v="13"/>
    <n v="1.6"/>
    <n v="77"/>
    <n v="795"/>
    <n v="686"/>
    <n v="86.289308176100633"/>
    <n v="2"/>
    <s v="A"/>
    <n v="1"/>
    <s v="D"/>
    <n v="22"/>
    <n v="7"/>
    <n v="5"/>
    <n v="18"/>
    <n v="1"/>
    <n v="0"/>
  </r>
  <r>
    <x v="8"/>
    <n v="1"/>
    <n v="57"/>
    <n v="579"/>
    <n v="499"/>
    <n v="86.183074265975819"/>
    <n v="1"/>
    <s v="H"/>
    <n v="0"/>
    <s v="H"/>
    <n v="12"/>
    <n v="2"/>
    <n v="13"/>
    <n v="6"/>
    <n v="3"/>
    <n v="0"/>
  </r>
  <r>
    <x v="11"/>
    <n v="1"/>
    <n v="49"/>
    <n v="482"/>
    <n v="375"/>
    <n v="77.800829875518673"/>
    <n v="0"/>
    <s v="H"/>
    <n v="0"/>
    <s v="D"/>
    <n v="20"/>
    <n v="7"/>
    <n v="12"/>
    <n v="6"/>
    <n v="3"/>
    <n v="0"/>
  </r>
  <r>
    <x v="5"/>
    <n v="1.7"/>
    <n v="35"/>
    <n v="338"/>
    <n v="240"/>
    <n v="71.005917159763314"/>
    <n v="3"/>
    <s v="A"/>
    <n v="1"/>
    <s v="D"/>
    <n v="20"/>
    <n v="5"/>
    <n v="9"/>
    <n v="7"/>
    <n v="2"/>
    <n v="0"/>
  </r>
  <r>
    <x v="17"/>
    <n v="0.3"/>
    <n v="43"/>
    <n v="365"/>
    <n v="288"/>
    <n v="78.904109589041099"/>
    <n v="1"/>
    <s v="D"/>
    <n v="0"/>
    <s v="D"/>
    <n v="11"/>
    <n v="3"/>
    <n v="14"/>
    <n v="7"/>
    <n v="6"/>
    <n v="0"/>
  </r>
  <r>
    <x v="1"/>
    <n v="1.3"/>
    <n v="35"/>
    <n v="328"/>
    <n v="220"/>
    <n v="67.073170731707322"/>
    <n v="3"/>
    <s v="H"/>
    <n v="2"/>
    <s v="D"/>
    <n v="11"/>
    <n v="5"/>
    <n v="10"/>
    <n v="5"/>
    <n v="1"/>
    <n v="1"/>
  </r>
  <r>
    <x v="18"/>
    <n v="1.3"/>
    <n v="49"/>
    <n v="480"/>
    <n v="388"/>
    <n v="80.833333333333329"/>
    <n v="2"/>
    <s v="D"/>
    <n v="0"/>
    <s v="H"/>
    <n v="14"/>
    <n v="7"/>
    <n v="10"/>
    <n v="6"/>
    <n v="3"/>
    <n v="0"/>
  </r>
  <r>
    <x v="14"/>
    <n v="0.2"/>
    <n v="43"/>
    <n v="503"/>
    <n v="454"/>
    <n v="90.258449304174945"/>
    <n v="0"/>
    <s v="H"/>
    <n v="0"/>
    <s v="H"/>
    <n v="5"/>
    <n v="2"/>
    <n v="9"/>
    <n v="1"/>
    <n v="3"/>
    <n v="0"/>
  </r>
  <r>
    <x v="12"/>
    <n v="1.2"/>
    <n v="60"/>
    <n v="638"/>
    <n v="539"/>
    <n v="84.482758620689651"/>
    <n v="1"/>
    <s v="D"/>
    <n v="0"/>
    <s v="D"/>
    <n v="14"/>
    <n v="3"/>
    <n v="8"/>
    <n v="2"/>
    <n v="0"/>
    <n v="0"/>
  </r>
  <r>
    <x v="4"/>
    <n v="1.8"/>
    <n v="50"/>
    <n v="495"/>
    <n v="400"/>
    <n v="80.808080808080803"/>
    <n v="1"/>
    <s v="H"/>
    <n v="1"/>
    <s v="D"/>
    <n v="11"/>
    <n v="3"/>
    <n v="16"/>
    <n v="4"/>
    <n v="3"/>
    <n v="0"/>
  </r>
  <r>
    <x v="15"/>
    <n v="0.7"/>
    <n v="66"/>
    <n v="571"/>
    <n v="445"/>
    <n v="77.933450087565674"/>
    <n v="0"/>
    <s v="H"/>
    <n v="0"/>
    <s v="H"/>
    <n v="11"/>
    <n v="3"/>
    <n v="12"/>
    <n v="8"/>
    <n v="4"/>
    <n v="0"/>
  </r>
  <r>
    <x v="0"/>
    <n v="2.2999999999999998"/>
    <n v="58"/>
    <n v="595"/>
    <n v="486"/>
    <n v="81.680672268907557"/>
    <n v="1"/>
    <s v="H"/>
    <n v="0"/>
    <s v="D"/>
    <n v="18"/>
    <n v="5"/>
    <n v="7"/>
    <n v="5"/>
    <n v="1"/>
    <n v="0"/>
  </r>
  <r>
    <x v="19"/>
    <n v="0.8"/>
    <n v="55"/>
    <n v="514"/>
    <n v="411"/>
    <n v="79.961089494163431"/>
    <n v="2"/>
    <s v="D"/>
    <n v="1"/>
    <s v="H"/>
    <n v="9"/>
    <n v="4"/>
    <n v="14"/>
    <n v="3"/>
    <n v="2"/>
    <n v="0"/>
  </r>
  <r>
    <x v="2"/>
    <n v="1.1000000000000001"/>
    <n v="63"/>
    <n v="554"/>
    <n v="463"/>
    <n v="83.5740072202166"/>
    <n v="0"/>
    <s v="H"/>
    <n v="0"/>
    <s v="H"/>
    <n v="10"/>
    <n v="1"/>
    <n v="18"/>
    <n v="6"/>
    <n v="4"/>
    <n v="0"/>
  </r>
  <r>
    <x v="13"/>
    <n v="1.6"/>
    <n v="64"/>
    <n v="652"/>
    <n v="570"/>
    <n v="87.423312883435571"/>
    <n v="1"/>
    <s v="H"/>
    <n v="0"/>
    <s v="H"/>
    <n v="18"/>
    <n v="4"/>
    <n v="6"/>
    <n v="10"/>
    <n v="1"/>
    <n v="0"/>
  </r>
  <r>
    <x v="9"/>
    <n v="1.5"/>
    <n v="57"/>
    <n v="475"/>
    <n v="372"/>
    <n v="78.315789473684205"/>
    <n v="1"/>
    <s v="D"/>
    <n v="0"/>
    <s v="D"/>
    <n v="20"/>
    <n v="6"/>
    <n v="10"/>
    <n v="6"/>
    <n v="2"/>
    <n v="0"/>
  </r>
  <r>
    <x v="10"/>
    <n v="1"/>
    <n v="51"/>
    <n v="505"/>
    <n v="429"/>
    <n v="84.950495049504951"/>
    <n v="1"/>
    <s v="H"/>
    <n v="1"/>
    <s v="A"/>
    <n v="13"/>
    <n v="5"/>
    <n v="18"/>
    <n v="7"/>
    <n v="1"/>
    <n v="0"/>
  </r>
  <r>
    <x v="6"/>
    <n v="0.1"/>
    <n v="46"/>
    <n v="423"/>
    <n v="326"/>
    <n v="77.068557919621753"/>
    <n v="0"/>
    <s v="H"/>
    <n v="0"/>
    <s v="H"/>
    <n v="4"/>
    <n v="2"/>
    <n v="9"/>
    <n v="6"/>
    <n v="2"/>
    <n v="1"/>
  </r>
  <r>
    <x v="3"/>
    <n v="1.6"/>
    <n v="35"/>
    <n v="340"/>
    <n v="263"/>
    <n v="77.352941176470594"/>
    <n v="0"/>
    <s v="H"/>
    <n v="0"/>
    <s v="D"/>
    <n v="16"/>
    <n v="5"/>
    <n v="18"/>
    <n v="6"/>
    <n v="2"/>
    <n v="0"/>
  </r>
  <r>
    <x v="11"/>
    <n v="2.4"/>
    <n v="43"/>
    <n v="403"/>
    <n v="299"/>
    <n v="74.193548387096769"/>
    <n v="2"/>
    <s v="D"/>
    <n v="0"/>
    <s v="D"/>
    <n v="19"/>
    <n v="7"/>
    <n v="9"/>
    <n v="6"/>
    <n v="2"/>
    <n v="0"/>
  </r>
  <r>
    <x v="16"/>
    <n v="1.8"/>
    <n v="49"/>
    <n v="420"/>
    <n v="342"/>
    <n v="81.428571428571431"/>
    <n v="1"/>
    <s v="H"/>
    <n v="1"/>
    <s v="A"/>
    <n v="12"/>
    <n v="1"/>
    <n v="14"/>
    <n v="4"/>
    <n v="0"/>
    <n v="0"/>
  </r>
  <r>
    <x v="8"/>
    <n v="1.1000000000000001"/>
    <n v="54"/>
    <n v="512"/>
    <n v="414"/>
    <n v="80.859375"/>
    <n v="1"/>
    <s v="D"/>
    <n v="0"/>
    <s v="D"/>
    <n v="12"/>
    <n v="3"/>
    <n v="14"/>
    <n v="8"/>
    <n v="2"/>
    <n v="0"/>
  </r>
  <r>
    <x v="7"/>
    <n v="0.6"/>
    <n v="32"/>
    <n v="338"/>
    <n v="237"/>
    <n v="70.118343195266277"/>
    <n v="1"/>
    <s v="H"/>
    <n v="1"/>
    <s v="A"/>
    <n v="5"/>
    <n v="2"/>
    <n v="10"/>
    <n v="3"/>
    <n v="1"/>
    <n v="0"/>
  </r>
  <r>
    <x v="17"/>
    <n v="2.6"/>
    <n v="49"/>
    <n v="434"/>
    <n v="315"/>
    <n v="72.58064516129032"/>
    <n v="2"/>
    <s v="H"/>
    <n v="1"/>
    <s v="D"/>
    <n v="15"/>
    <n v="3"/>
    <n v="16"/>
    <n v="4"/>
    <n v="4"/>
    <n v="0"/>
  </r>
  <r>
    <x v="12"/>
    <n v="1.8"/>
    <n v="64"/>
    <n v="676"/>
    <n v="560"/>
    <n v="82.84023668639054"/>
    <n v="2"/>
    <s v="A"/>
    <n v="1"/>
    <s v="A"/>
    <n v="17"/>
    <n v="7"/>
    <n v="11"/>
    <n v="8"/>
    <n v="1"/>
    <n v="0"/>
  </r>
  <r>
    <x v="3"/>
    <n v="1.1000000000000001"/>
    <n v="51"/>
    <n v="515"/>
    <n v="384"/>
    <n v="74.5631067961165"/>
    <n v="0"/>
    <s v="D"/>
    <n v="0"/>
    <s v="D"/>
    <n v="18"/>
    <n v="4"/>
    <n v="9"/>
    <n v="6"/>
    <n v="2"/>
    <n v="0"/>
  </r>
  <r>
    <x v="14"/>
    <n v="0.6"/>
    <n v="71"/>
    <n v="724"/>
    <n v="635"/>
    <n v="87.707182320441987"/>
    <n v="0"/>
    <s v="H"/>
    <n v="0"/>
    <s v="H"/>
    <n v="9"/>
    <n v="0"/>
    <n v="12"/>
    <n v="9"/>
    <n v="4"/>
    <n v="0"/>
  </r>
  <r>
    <x v="13"/>
    <n v="2.1"/>
    <n v="60"/>
    <n v="689"/>
    <n v="613"/>
    <n v="88.969521044992746"/>
    <n v="1"/>
    <s v="H"/>
    <n v="1"/>
    <s v="A"/>
    <n v="15"/>
    <n v="6"/>
    <n v="10"/>
    <n v="4"/>
    <n v="3"/>
    <n v="0"/>
  </r>
  <r>
    <x v="16"/>
    <n v="1.2"/>
    <n v="38"/>
    <n v="389"/>
    <n v="306"/>
    <n v="78.663239074550134"/>
    <n v="0"/>
    <s v="H"/>
    <n v="0"/>
    <s v="H"/>
    <n v="12"/>
    <n v="2"/>
    <n v="15"/>
    <n v="9"/>
    <n v="3"/>
    <n v="0"/>
  </r>
  <r>
    <x v="9"/>
    <n v="0.6"/>
    <n v="49"/>
    <n v="516"/>
    <n v="421"/>
    <n v="81.589147286821699"/>
    <n v="0"/>
    <s v="H"/>
    <n v="0"/>
    <s v="H"/>
    <n v="6"/>
    <n v="5"/>
    <n v="5"/>
    <n v="5"/>
    <n v="1"/>
    <n v="0"/>
  </r>
  <r>
    <x v="4"/>
    <n v="1.6"/>
    <n v="56"/>
    <n v="546"/>
    <n v="453"/>
    <n v="82.967032967032978"/>
    <n v="3"/>
    <s v="A"/>
    <n v="0"/>
    <s v="H"/>
    <n v="17"/>
    <n v="6"/>
    <n v="6"/>
    <n v="5"/>
    <n v="1"/>
    <n v="0"/>
  </r>
  <r>
    <x v="1"/>
    <n v="1.6"/>
    <n v="34"/>
    <n v="312"/>
    <n v="210"/>
    <n v="67.307692307692307"/>
    <n v="2"/>
    <s v="A"/>
    <n v="2"/>
    <s v="A"/>
    <n v="8"/>
    <n v="3"/>
    <n v="19"/>
    <n v="2"/>
    <n v="5"/>
    <n v="0"/>
  </r>
  <r>
    <x v="2"/>
    <n v="1.5"/>
    <n v="51"/>
    <n v="474"/>
    <n v="400"/>
    <n v="84.388185654008439"/>
    <n v="1"/>
    <s v="D"/>
    <n v="0"/>
    <s v="D"/>
    <n v="13"/>
    <n v="3"/>
    <n v="12"/>
    <n v="3"/>
    <n v="2"/>
    <n v="0"/>
  </r>
  <r>
    <x v="8"/>
    <n v="2.7"/>
    <n v="63"/>
    <n v="645"/>
    <n v="545"/>
    <n v="84.496124031007753"/>
    <n v="2"/>
    <s v="A"/>
    <n v="1"/>
    <s v="A"/>
    <n v="16"/>
    <n v="7"/>
    <n v="12"/>
    <n v="9"/>
    <n v="3"/>
    <n v="0"/>
  </r>
  <r>
    <x v="5"/>
    <n v="0.3"/>
    <n v="34"/>
    <n v="327"/>
    <n v="253"/>
    <n v="77.370030581039757"/>
    <n v="0"/>
    <s v="H"/>
    <n v="0"/>
    <s v="H"/>
    <n v="7"/>
    <n v="0"/>
    <n v="1"/>
    <n v="1"/>
    <n v="2"/>
    <n v="0"/>
  </r>
  <r>
    <x v="11"/>
    <n v="1.3"/>
    <n v="31"/>
    <n v="293"/>
    <n v="193"/>
    <n v="65.870307167235495"/>
    <n v="2"/>
    <s v="D"/>
    <n v="2"/>
    <s v="A"/>
    <n v="13"/>
    <n v="6"/>
    <n v="11"/>
    <n v="1"/>
    <n v="2"/>
    <n v="0"/>
  </r>
  <r>
    <x v="10"/>
    <n v="0.9"/>
    <n v="45"/>
    <n v="446"/>
    <n v="358"/>
    <n v="80.269058295964129"/>
    <n v="2"/>
    <s v="A"/>
    <n v="1"/>
    <s v="A"/>
    <n v="6"/>
    <n v="4"/>
    <n v="10"/>
    <n v="0"/>
    <n v="2"/>
    <n v="1"/>
  </r>
  <r>
    <x v="7"/>
    <n v="1.1000000000000001"/>
    <n v="41"/>
    <n v="369"/>
    <n v="282"/>
    <n v="76.422764227642276"/>
    <n v="0"/>
    <s v="D"/>
    <n v="0"/>
    <s v="D"/>
    <n v="9"/>
    <n v="2"/>
    <n v="10"/>
    <n v="4"/>
    <n v="0"/>
    <n v="1"/>
  </r>
  <r>
    <x v="18"/>
    <n v="1.3"/>
    <n v="41"/>
    <n v="426"/>
    <n v="349"/>
    <n v="81.924882629107969"/>
    <n v="4"/>
    <s v="A"/>
    <n v="1"/>
    <s v="D"/>
    <n v="10"/>
    <n v="5"/>
    <n v="14"/>
    <n v="2"/>
    <n v="0"/>
    <n v="0"/>
  </r>
  <r>
    <x v="15"/>
    <n v="2.5"/>
    <n v="42"/>
    <n v="453"/>
    <n v="373"/>
    <n v="82.33995584988962"/>
    <n v="4"/>
    <s v="A"/>
    <n v="2"/>
    <s v="A"/>
    <n v="9"/>
    <n v="7"/>
    <n v="9"/>
    <n v="3"/>
    <n v="2"/>
    <n v="0"/>
  </r>
  <r>
    <x v="19"/>
    <n v="3.1"/>
    <n v="62"/>
    <n v="650"/>
    <n v="559"/>
    <n v="86"/>
    <n v="3"/>
    <s v="A"/>
    <n v="1"/>
    <s v="D"/>
    <n v="27"/>
    <n v="11"/>
    <n v="9"/>
    <n v="10"/>
    <n v="4"/>
    <n v="0"/>
  </r>
  <r>
    <x v="0"/>
    <n v="0.8"/>
    <n v="60"/>
    <n v="682"/>
    <n v="592"/>
    <n v="86.803519061583572"/>
    <n v="1"/>
    <s v="D"/>
    <n v="1"/>
    <s v="D"/>
    <n v="11"/>
    <n v="4"/>
    <n v="10"/>
    <n v="3"/>
    <n v="0"/>
    <n v="0"/>
  </r>
  <r>
    <x v="6"/>
    <n v="0.9"/>
    <n v="47"/>
    <n v="511"/>
    <n v="414"/>
    <n v="81.017612524461839"/>
    <n v="2"/>
    <s v="A"/>
    <n v="1"/>
    <s v="A"/>
    <n v="15"/>
    <n v="6"/>
    <n v="8"/>
    <n v="3"/>
    <n v="0"/>
    <n v="0"/>
  </r>
  <r>
    <x v="14"/>
    <n v="1"/>
    <n v="47"/>
    <n v="459"/>
    <n v="386"/>
    <n v="84.095860566448806"/>
    <n v="1"/>
    <s v="D"/>
    <n v="0"/>
    <s v="H"/>
    <n v="10"/>
    <n v="2"/>
    <n v="16"/>
    <n v="6"/>
    <n v="4"/>
    <n v="0"/>
  </r>
  <r>
    <x v="9"/>
    <n v="1.1000000000000001"/>
    <n v="40"/>
    <n v="419"/>
    <n v="310"/>
    <n v="73.985680190930793"/>
    <n v="1"/>
    <s v="H"/>
    <n v="1"/>
    <s v="H"/>
    <n v="7"/>
    <n v="3"/>
    <n v="10"/>
    <n v="4"/>
    <n v="1"/>
    <n v="0"/>
  </r>
  <r>
    <x v="4"/>
    <n v="0"/>
    <n v="51"/>
    <n v="471"/>
    <n v="367"/>
    <n v="77.919320594479842"/>
    <n v="1"/>
    <s v="D"/>
    <n v="0"/>
    <s v="D"/>
    <n v="1"/>
    <n v="0"/>
    <n v="11"/>
    <n v="9"/>
    <n v="3"/>
    <n v="0"/>
  </r>
  <r>
    <x v="1"/>
    <n v="0.6"/>
    <n v="55"/>
    <n v="438"/>
    <n v="333"/>
    <n v="76.027397260273972"/>
    <n v="0"/>
    <s v="H"/>
    <n v="0"/>
    <s v="D"/>
    <n v="7"/>
    <n v="3"/>
    <n v="16"/>
    <n v="7"/>
    <n v="3"/>
    <n v="0"/>
  </r>
  <r>
    <x v="17"/>
    <n v="3.3"/>
    <n v="40"/>
    <n v="375"/>
    <n v="279"/>
    <n v="74.400000000000006"/>
    <n v="4"/>
    <s v="A"/>
    <n v="3"/>
    <s v="A"/>
    <n v="12"/>
    <n v="8"/>
    <n v="11"/>
    <n v="4"/>
    <n v="1"/>
    <n v="0"/>
  </r>
  <r>
    <x v="2"/>
    <n v="3.5"/>
    <n v="60"/>
    <n v="526"/>
    <n v="425"/>
    <n v="80.798479087452463"/>
    <n v="5"/>
    <s v="A"/>
    <n v="5"/>
    <s v="A"/>
    <n v="16"/>
    <n v="7"/>
    <n v="13"/>
    <n v="10"/>
    <n v="1"/>
    <n v="0"/>
  </r>
  <r>
    <x v="16"/>
    <n v="1.2"/>
    <n v="36"/>
    <n v="370"/>
    <n v="307"/>
    <n v="82.972972972972968"/>
    <n v="0"/>
    <s v="H"/>
    <n v="0"/>
    <s v="H"/>
    <n v="10"/>
    <n v="4"/>
    <n v="6"/>
    <n v="4"/>
    <n v="2"/>
    <n v="0"/>
  </r>
  <r>
    <x v="3"/>
    <n v="0.6"/>
    <n v="40"/>
    <n v="442"/>
    <n v="372"/>
    <n v="84.162895927601809"/>
    <n v="0"/>
    <s v="H"/>
    <n v="0"/>
    <s v="H"/>
    <n v="8"/>
    <n v="2"/>
    <n v="12"/>
    <n v="2"/>
    <n v="3"/>
    <n v="0"/>
  </r>
  <r>
    <x v="12"/>
    <n v="1.5"/>
    <n v="49"/>
    <n v="502"/>
    <n v="409"/>
    <n v="81.474103585657375"/>
    <n v="1"/>
    <s v="D"/>
    <n v="0"/>
    <s v="D"/>
    <n v="14"/>
    <n v="6"/>
    <n v="14"/>
    <n v="11"/>
    <n v="1"/>
    <n v="1"/>
  </r>
  <r>
    <x v="13"/>
    <n v="0.8"/>
    <n v="56"/>
    <n v="573"/>
    <n v="498"/>
    <n v="86.910994764397913"/>
    <n v="0"/>
    <s v="H"/>
    <n v="0"/>
    <s v="H"/>
    <n v="8"/>
    <n v="2"/>
    <n v="8"/>
    <n v="4"/>
    <n v="3"/>
    <n v="0"/>
  </r>
  <r>
    <x v="11"/>
    <n v="1.6"/>
    <n v="46"/>
    <n v="474"/>
    <n v="371"/>
    <n v="78.270042194092824"/>
    <n v="1"/>
    <s v="A"/>
    <n v="0"/>
    <s v="D"/>
    <n v="13"/>
    <n v="3"/>
    <n v="13"/>
    <n v="7"/>
    <n v="4"/>
    <n v="0"/>
  </r>
  <r>
    <x v="6"/>
    <n v="3"/>
    <n v="61"/>
    <n v="649"/>
    <n v="544"/>
    <n v="83.821263482280429"/>
    <n v="1"/>
    <s v="H"/>
    <n v="0"/>
    <s v="H"/>
    <n v="31"/>
    <n v="10"/>
    <n v="7"/>
    <n v="9"/>
    <n v="2"/>
    <n v="0"/>
  </r>
  <r>
    <x v="18"/>
    <n v="0.8"/>
    <n v="56"/>
    <n v="521"/>
    <n v="415"/>
    <n v="79.654510556621887"/>
    <n v="0"/>
    <s v="H"/>
    <n v="0"/>
    <s v="H"/>
    <n v="6"/>
    <n v="2"/>
    <n v="8"/>
    <n v="4"/>
    <n v="0"/>
    <n v="0"/>
  </r>
  <r>
    <x v="5"/>
    <n v="1"/>
    <n v="34"/>
    <n v="318"/>
    <n v="245"/>
    <n v="77.04402515723271"/>
    <n v="0"/>
    <s v="H"/>
    <n v="0"/>
    <s v="H"/>
    <n v="12"/>
    <n v="3"/>
    <n v="15"/>
    <n v="2"/>
    <n v="4"/>
    <n v="0"/>
  </r>
  <r>
    <x v="19"/>
    <n v="1.9"/>
    <n v="58"/>
    <n v="553"/>
    <n v="473"/>
    <n v="85.533453887884264"/>
    <n v="3"/>
    <s v="D"/>
    <n v="0"/>
    <s v="H"/>
    <n v="16"/>
    <n v="5"/>
    <n v="17"/>
    <n v="6"/>
    <n v="5"/>
    <n v="0"/>
  </r>
  <r>
    <x v="8"/>
    <n v="5.2"/>
    <n v="55"/>
    <n v="560"/>
    <n v="508"/>
    <n v="90.714285714285708"/>
    <n v="5"/>
    <s v="A"/>
    <n v="3"/>
    <s v="A"/>
    <n v="26"/>
    <n v="13"/>
    <n v="14"/>
    <n v="7"/>
    <n v="0"/>
    <n v="0"/>
  </r>
  <r>
    <x v="0"/>
    <n v="0.2"/>
    <n v="49"/>
    <n v="497"/>
    <n v="425"/>
    <n v="85.513078470824951"/>
    <n v="0"/>
    <s v="H"/>
    <n v="0"/>
    <s v="D"/>
    <n v="5"/>
    <n v="2"/>
    <n v="8"/>
    <n v="0"/>
    <n v="3"/>
    <n v="0"/>
  </r>
  <r>
    <x v="7"/>
    <n v="0.9"/>
    <n v="51"/>
    <n v="443"/>
    <n v="360"/>
    <n v="81.264108352144476"/>
    <n v="1"/>
    <s v="H"/>
    <n v="0"/>
    <s v="H"/>
    <n v="9"/>
    <n v="1"/>
    <n v="15"/>
    <n v="5"/>
    <n v="2"/>
    <n v="0"/>
  </r>
  <r>
    <x v="10"/>
    <n v="1.4"/>
    <n v="57"/>
    <n v="548"/>
    <n v="468"/>
    <n v="85.40145985401459"/>
    <n v="1"/>
    <s v="H"/>
    <n v="0"/>
    <s v="H"/>
    <n v="13"/>
    <n v="3"/>
    <n v="8"/>
    <n v="6"/>
    <n v="2"/>
    <n v="0"/>
  </r>
  <r>
    <x v="15"/>
    <n v="0.9"/>
    <n v="65"/>
    <n v="538"/>
    <n v="428"/>
    <n v="79.553903345724905"/>
    <n v="0"/>
    <s v="H"/>
    <n v="0"/>
    <s v="H"/>
    <n v="12"/>
    <n v="4"/>
    <n v="8"/>
    <n v="9"/>
    <n v="2"/>
    <n v="0"/>
  </r>
  <r>
    <x v="14"/>
    <n v="0.3"/>
    <n v="53"/>
    <n v="524"/>
    <n v="456"/>
    <n v="87.022900763358777"/>
    <n v="0"/>
    <s v="H"/>
    <n v="0"/>
    <s v="H"/>
    <n v="4"/>
    <n v="0"/>
    <n v="15"/>
    <n v="1"/>
    <n v="3"/>
    <n v="0"/>
  </r>
  <r>
    <x v="4"/>
    <n v="1.5"/>
    <n v="57"/>
    <n v="555"/>
    <n v="462"/>
    <n v="83.243243243243242"/>
    <n v="2"/>
    <s v="H"/>
    <n v="2"/>
    <s v="D"/>
    <n v="16"/>
    <n v="3"/>
    <n v="7"/>
    <n v="4"/>
    <n v="0"/>
    <n v="0"/>
  </r>
  <r>
    <x v="13"/>
    <n v="1.4"/>
    <n v="68"/>
    <n v="762"/>
    <n v="665"/>
    <n v="87.270341207349077"/>
    <n v="2"/>
    <s v="D"/>
    <n v="1"/>
    <s v="D"/>
    <n v="12"/>
    <n v="4"/>
    <n v="10"/>
    <n v="8"/>
    <n v="0"/>
    <n v="1"/>
  </r>
  <r>
    <x v="5"/>
    <n v="0.8"/>
    <n v="29"/>
    <n v="263"/>
    <n v="172"/>
    <n v="65.399239543726239"/>
    <n v="3"/>
    <s v="A"/>
    <n v="1"/>
    <s v="D"/>
    <n v="11"/>
    <n v="3"/>
    <n v="13"/>
    <n v="3"/>
    <n v="2"/>
    <n v="0"/>
  </r>
  <r>
    <x v="2"/>
    <n v="1.8"/>
    <n v="66"/>
    <n v="650"/>
    <n v="556"/>
    <n v="85.538461538461547"/>
    <n v="1"/>
    <s v="D"/>
    <n v="0"/>
    <s v="H"/>
    <n v="12"/>
    <n v="4"/>
    <n v="9"/>
    <n v="6"/>
    <n v="2"/>
    <n v="0"/>
  </r>
  <r>
    <x v="17"/>
    <n v="3.2"/>
    <n v="56"/>
    <n v="488"/>
    <n v="379"/>
    <n v="77.663934426229503"/>
    <n v="2"/>
    <s v="A"/>
    <n v="0"/>
    <s v="H"/>
    <n v="22"/>
    <n v="6"/>
    <n v="13"/>
    <n v="13"/>
    <n v="1"/>
    <n v="0"/>
  </r>
  <r>
    <x v="10"/>
    <n v="1.5"/>
    <n v="44"/>
    <n v="457"/>
    <n v="381"/>
    <n v="83.369803063457326"/>
    <n v="2"/>
    <s v="D"/>
    <n v="1"/>
    <s v="A"/>
    <n v="16"/>
    <n v="7"/>
    <n v="10"/>
    <n v="5"/>
    <n v="2"/>
    <n v="0"/>
  </r>
  <r>
    <x v="8"/>
    <n v="2.8"/>
    <n v="61"/>
    <n v="556"/>
    <n v="471"/>
    <n v="84.712230215827333"/>
    <n v="4"/>
    <s v="A"/>
    <n v="1"/>
    <s v="H"/>
    <n v="17"/>
    <n v="8"/>
    <n v="11"/>
    <n v="10"/>
    <n v="2"/>
    <n v="0"/>
  </r>
  <r>
    <x v="18"/>
    <n v="1.4"/>
    <n v="46"/>
    <n v="409"/>
    <n v="311"/>
    <n v="76.039119804400983"/>
    <n v="1"/>
    <s v="H"/>
    <n v="0"/>
    <s v="D"/>
    <n v="19"/>
    <n v="5"/>
    <n v="17"/>
    <n v="0"/>
    <n v="4"/>
    <n v="0"/>
  </r>
  <r>
    <x v="3"/>
    <n v="0.1"/>
    <n v="24"/>
    <n v="239"/>
    <n v="162"/>
    <n v="67.78242677824268"/>
    <n v="0"/>
    <s v="D"/>
    <n v="0"/>
    <s v="D"/>
    <n v="2"/>
    <n v="0"/>
    <n v="9"/>
    <n v="2"/>
    <n v="3"/>
    <n v="0"/>
  </r>
  <r>
    <x v="12"/>
    <n v="1.2"/>
    <n v="39"/>
    <n v="371"/>
    <n v="295"/>
    <n v="79.514824797843659"/>
    <n v="2"/>
    <s v="D"/>
    <n v="1"/>
    <s v="A"/>
    <n v="12"/>
    <n v="3"/>
    <n v="7"/>
    <n v="4"/>
    <n v="4"/>
    <n v="0"/>
  </r>
  <r>
    <x v="9"/>
    <n v="0.2"/>
    <n v="41"/>
    <n v="466"/>
    <n v="361"/>
    <n v="77.467811158798284"/>
    <n v="0"/>
    <s v="H"/>
    <n v="0"/>
    <s v="H"/>
    <n v="4"/>
    <n v="1"/>
    <n v="16"/>
    <n v="2"/>
    <n v="3"/>
    <n v="0"/>
  </r>
  <r>
    <x v="1"/>
    <n v="1.1000000000000001"/>
    <n v="46"/>
    <n v="460"/>
    <n v="371"/>
    <n v="80.652173913043484"/>
    <n v="2"/>
    <s v="A"/>
    <n v="1"/>
    <s v="A"/>
    <n v="10"/>
    <n v="5"/>
    <n v="9"/>
    <n v="3"/>
    <n v="2"/>
    <n v="0"/>
  </r>
  <r>
    <x v="16"/>
    <n v="0.4"/>
    <n v="50"/>
    <n v="501"/>
    <n v="431"/>
    <n v="86.027944111776449"/>
    <n v="1"/>
    <s v="H"/>
    <n v="0"/>
    <s v="D"/>
    <n v="8"/>
    <n v="2"/>
    <n v="6"/>
    <n v="3"/>
    <n v="1"/>
    <n v="0"/>
  </r>
  <r>
    <x v="11"/>
    <n v="2.2000000000000002"/>
    <n v="36"/>
    <n v="339"/>
    <n v="247"/>
    <n v="72.861356932153384"/>
    <n v="3"/>
    <s v="A"/>
    <n v="2"/>
    <s v="A"/>
    <n v="13"/>
    <n v="5"/>
    <n v="15"/>
    <n v="5"/>
    <n v="4"/>
    <n v="0"/>
  </r>
  <r>
    <x v="0"/>
    <n v="2.1"/>
    <n v="48"/>
    <n v="499"/>
    <n v="431"/>
    <n v="86.372745490981956"/>
    <n v="2"/>
    <s v="A"/>
    <n v="0"/>
    <s v="H"/>
    <n v="10"/>
    <n v="3"/>
    <n v="14"/>
    <n v="2"/>
    <n v="1"/>
    <n v="0"/>
  </r>
  <r>
    <x v="7"/>
    <n v="1.6"/>
    <n v="38"/>
    <n v="363"/>
    <n v="263"/>
    <n v="72.451790633608809"/>
    <n v="1"/>
    <s v="H"/>
    <n v="0"/>
    <s v="H"/>
    <n v="9"/>
    <n v="4"/>
    <n v="7"/>
    <n v="5"/>
    <n v="2"/>
    <n v="0"/>
  </r>
  <r>
    <x v="15"/>
    <n v="2.2999999999999998"/>
    <n v="58"/>
    <n v="632"/>
    <n v="566"/>
    <n v="89.556962025316452"/>
    <n v="5"/>
    <s v="A"/>
    <n v="5"/>
    <s v="A"/>
    <n v="18"/>
    <n v="9"/>
    <n v="15"/>
    <n v="5"/>
    <n v="3"/>
    <n v="0"/>
  </r>
  <r>
    <x v="6"/>
    <n v="2.1"/>
    <n v="48"/>
    <n v="461"/>
    <n v="326"/>
    <n v="70.715835140997825"/>
    <n v="1"/>
    <s v="D"/>
    <n v="0"/>
    <s v="D"/>
    <n v="16"/>
    <n v="3"/>
    <n v="11"/>
    <n v="6"/>
    <n v="2"/>
    <n v="0"/>
  </r>
  <r>
    <x v="13"/>
    <n v="1"/>
    <n v="56"/>
    <n v="566"/>
    <n v="513"/>
    <n v="90.63604240282686"/>
    <n v="1"/>
    <s v="H"/>
    <n v="0"/>
    <s v="H"/>
    <n v="12"/>
    <n v="6"/>
    <n v="7"/>
    <n v="4"/>
    <n v="3"/>
    <n v="0"/>
  </r>
  <r>
    <x v="5"/>
    <n v="0.9"/>
    <n v="36"/>
    <n v="336"/>
    <n v="245"/>
    <n v="72.916666666666657"/>
    <n v="2"/>
    <s v="A"/>
    <n v="1"/>
    <s v="A"/>
    <n v="10"/>
    <n v="6"/>
    <n v="14"/>
    <n v="5"/>
    <n v="4"/>
    <n v="0"/>
  </r>
  <r>
    <x v="4"/>
    <n v="2.2999999999999998"/>
    <n v="58"/>
    <n v="649"/>
    <n v="564"/>
    <n v="86.902927580893689"/>
    <n v="4"/>
    <s v="A"/>
    <n v="3"/>
    <s v="A"/>
    <n v="15"/>
    <n v="7"/>
    <n v="7"/>
    <n v="1"/>
    <n v="0"/>
    <n v="0"/>
  </r>
  <r>
    <x v="10"/>
    <n v="0.9"/>
    <n v="53"/>
    <n v="478"/>
    <n v="393"/>
    <n v="82.21757322175732"/>
    <n v="1"/>
    <s v="D"/>
    <n v="0"/>
    <s v="D"/>
    <n v="12"/>
    <n v="6"/>
    <n v="20"/>
    <n v="4"/>
    <n v="2"/>
    <n v="0"/>
  </r>
  <r>
    <x v="2"/>
    <n v="2.5"/>
    <n v="58"/>
    <n v="593"/>
    <n v="509"/>
    <n v="85.834738617200685"/>
    <n v="5"/>
    <s v="A"/>
    <n v="3"/>
    <s v="A"/>
    <n v="14"/>
    <n v="6"/>
    <n v="8"/>
    <n v="3"/>
    <n v="2"/>
    <n v="0"/>
  </r>
  <r>
    <x v="8"/>
    <n v="1.2"/>
    <n v="75"/>
    <n v="686"/>
    <n v="605"/>
    <n v="88.192419825072889"/>
    <n v="0"/>
    <s v="D"/>
    <n v="0"/>
    <s v="D"/>
    <n v="12"/>
    <n v="5"/>
    <n v="12"/>
    <n v="5"/>
    <n v="1"/>
    <n v="0"/>
  </r>
  <r>
    <x v="14"/>
    <n v="0.3"/>
    <n v="43"/>
    <n v="450"/>
    <n v="352"/>
    <n v="78.222222222222229"/>
    <n v="0"/>
    <s v="D"/>
    <n v="0"/>
    <s v="D"/>
    <n v="5"/>
    <n v="1"/>
    <n v="15"/>
    <n v="5"/>
    <n v="3"/>
    <n v="0"/>
  </r>
  <r>
    <x v="18"/>
    <n v="1.1000000000000001"/>
    <n v="46"/>
    <n v="505"/>
    <n v="419"/>
    <n v="82.970297029702962"/>
    <n v="3"/>
    <s v="A"/>
    <n v="3"/>
    <s v="A"/>
    <n v="8"/>
    <n v="4"/>
    <n v="16"/>
    <n v="1"/>
    <n v="0"/>
    <n v="0"/>
  </r>
  <r>
    <x v="17"/>
    <n v="1.6"/>
    <n v="40"/>
    <n v="365"/>
    <n v="267"/>
    <n v="73.150684931506845"/>
    <n v="3"/>
    <s v="A"/>
    <n v="1"/>
    <s v="A"/>
    <n v="10"/>
    <n v="5"/>
    <n v="11"/>
    <n v="1"/>
    <n v="3"/>
    <n v="0"/>
  </r>
  <r>
    <x v="19"/>
    <n v="5.6"/>
    <n v="48"/>
    <n v="540"/>
    <n v="453"/>
    <n v="83.888888888888886"/>
    <n v="6"/>
    <s v="A"/>
    <n v="3"/>
    <s v="A"/>
    <n v="24"/>
    <n v="12"/>
    <n v="9"/>
    <n v="5"/>
    <n v="2"/>
    <n v="0"/>
  </r>
  <r>
    <x v="3"/>
    <n v="0.7"/>
    <n v="34"/>
    <n v="354"/>
    <n v="281"/>
    <n v="79.378531073446325"/>
    <n v="1"/>
    <s v="D"/>
    <n v="1"/>
    <s v="D"/>
    <n v="8"/>
    <n v="3"/>
    <n v="10"/>
    <n v="5"/>
    <n v="4"/>
    <n v="0"/>
  </r>
  <r>
    <x v="11"/>
    <n v="0.4"/>
    <n v="48"/>
    <n v="465"/>
    <n v="362"/>
    <n v="77.849462365591393"/>
    <n v="0"/>
    <s v="D"/>
    <n v="0"/>
    <s v="D"/>
    <n v="10"/>
    <n v="4"/>
    <n v="12"/>
    <n v="2"/>
    <n v="2"/>
    <n v="0"/>
  </r>
  <r>
    <x v="12"/>
    <n v="1.8"/>
    <n v="53"/>
    <n v="605"/>
    <n v="513"/>
    <n v="84.793388429752071"/>
    <n v="2"/>
    <s v="A"/>
    <n v="0"/>
    <s v="H"/>
    <n v="14"/>
    <n v="7"/>
    <n v="13"/>
    <n v="1"/>
    <n v="3"/>
    <n v="0"/>
  </r>
  <r>
    <x v="16"/>
    <n v="0.3"/>
    <n v="38"/>
    <n v="353"/>
    <n v="267"/>
    <n v="75.63739376770539"/>
    <n v="0"/>
    <s v="H"/>
    <n v="0"/>
    <s v="H"/>
    <n v="4"/>
    <n v="1"/>
    <n v="10"/>
    <n v="6"/>
    <n v="1"/>
    <n v="1"/>
  </r>
  <r>
    <x v="15"/>
    <n v="0.9"/>
    <n v="70"/>
    <n v="662"/>
    <n v="567"/>
    <n v="85.649546827794566"/>
    <n v="0"/>
    <s v="H"/>
    <n v="0"/>
    <s v="H"/>
    <n v="13"/>
    <n v="4"/>
    <n v="13"/>
    <n v="7"/>
    <n v="2"/>
    <n v="1"/>
  </r>
  <r>
    <x v="6"/>
    <n v="1.7"/>
    <n v="46"/>
    <n v="437"/>
    <n v="345"/>
    <n v="78.94736842105263"/>
    <n v="1"/>
    <s v="A"/>
    <n v="0"/>
    <s v="D"/>
    <n v="16"/>
    <n v="2"/>
    <n v="8"/>
    <n v="2"/>
    <n v="2"/>
    <n v="0"/>
  </r>
  <r>
    <x v="0"/>
    <n v="0.4"/>
    <n v="49"/>
    <n v="501"/>
    <n v="391"/>
    <n v="78.0439121756487"/>
    <n v="0"/>
    <s v="H"/>
    <n v="0"/>
    <s v="D"/>
    <n v="11"/>
    <n v="4"/>
    <n v="12"/>
    <n v="4"/>
    <n v="2"/>
    <n v="1"/>
  </r>
  <r>
    <x v="9"/>
    <n v="0.3"/>
    <n v="32"/>
    <n v="338"/>
    <n v="256"/>
    <n v="75.739644970414204"/>
    <n v="1"/>
    <s v="H"/>
    <n v="1"/>
    <s v="D"/>
    <n v="4"/>
    <n v="1"/>
    <n v="5"/>
    <n v="1"/>
    <n v="2"/>
    <n v="0"/>
  </r>
  <r>
    <x v="7"/>
    <n v="1.1000000000000001"/>
    <n v="43"/>
    <n v="393"/>
    <n v="287"/>
    <n v="73.027989821882954"/>
    <n v="0"/>
    <s v="D"/>
    <n v="0"/>
    <s v="D"/>
    <n v="8"/>
    <n v="3"/>
    <n v="12"/>
    <n v="3"/>
    <n v="2"/>
    <n v="0"/>
  </r>
  <r>
    <x v="1"/>
    <n v="0.2"/>
    <n v="32"/>
    <n v="339"/>
    <n v="264"/>
    <n v="77.876106194690266"/>
    <n v="0"/>
    <s v="H"/>
    <n v="0"/>
    <s v="H"/>
    <n v="3"/>
    <n v="0"/>
    <n v="12"/>
    <n v="1"/>
    <n v="1"/>
    <n v="0"/>
  </r>
  <r>
    <x v="13"/>
    <n v="1.3"/>
    <n v="47"/>
    <n v="541"/>
    <n v="489"/>
    <n v="90.388170055452861"/>
    <n v="2"/>
    <s v="A"/>
    <n v="1"/>
    <s v="A"/>
    <n v="14"/>
    <n v="5"/>
    <n v="6"/>
    <n v="4"/>
    <n v="1"/>
    <n v="0"/>
  </r>
  <r>
    <x v="14"/>
    <n v="0.9"/>
    <n v="53"/>
    <n v="483"/>
    <n v="375"/>
    <n v="77.639751552795033"/>
    <n v="1"/>
    <s v="H"/>
    <n v="1"/>
    <s v="D"/>
    <n v="7"/>
    <n v="3"/>
    <n v="19"/>
    <n v="7"/>
    <n v="3"/>
    <n v="0"/>
  </r>
  <r>
    <x v="5"/>
    <n v="1.5"/>
    <n v="36"/>
    <n v="315"/>
    <n v="205"/>
    <n v="65.079365079365076"/>
    <n v="2"/>
    <s v="A"/>
    <n v="1"/>
    <s v="A"/>
    <n v="11"/>
    <n v="7"/>
    <n v="10"/>
    <n v="4"/>
    <n v="1"/>
    <n v="0"/>
  </r>
  <r>
    <x v="17"/>
    <n v="2"/>
    <n v="48"/>
    <n v="496"/>
    <n v="380"/>
    <n v="76.612903225806448"/>
    <n v="2"/>
    <s v="D"/>
    <n v="0"/>
    <s v="H"/>
    <n v="16"/>
    <n v="9"/>
    <n v="16"/>
    <n v="7"/>
    <n v="3"/>
    <n v="0"/>
  </r>
  <r>
    <x v="18"/>
    <n v="0.7"/>
    <n v="52"/>
    <n v="501"/>
    <n v="393"/>
    <n v="78.443113772455092"/>
    <n v="2"/>
    <s v="D"/>
    <n v="1"/>
    <s v="H"/>
    <n v="11"/>
    <n v="3"/>
    <n v="10"/>
    <n v="5"/>
    <n v="2"/>
    <n v="0"/>
  </r>
  <r>
    <x v="19"/>
    <n v="3.1"/>
    <n v="54"/>
    <n v="579"/>
    <n v="497"/>
    <n v="85.837651122625218"/>
    <n v="5"/>
    <s v="A"/>
    <n v="3"/>
    <s v="A"/>
    <n v="22"/>
    <n v="13"/>
    <n v="10"/>
    <n v="6"/>
    <n v="0"/>
    <n v="0"/>
  </r>
  <r>
    <x v="10"/>
    <n v="1.1000000000000001"/>
    <n v="41"/>
    <n v="357"/>
    <n v="280"/>
    <n v="78.431372549019613"/>
    <n v="2"/>
    <s v="D"/>
    <n v="1"/>
    <s v="D"/>
    <n v="13"/>
    <n v="4"/>
    <n v="14"/>
    <n v="3"/>
    <n v="3"/>
    <n v="0"/>
  </r>
  <r>
    <x v="8"/>
    <n v="2"/>
    <n v="76"/>
    <n v="774"/>
    <n v="679"/>
    <n v="87.726098191214476"/>
    <n v="0"/>
    <s v="H"/>
    <n v="0"/>
    <s v="H"/>
    <n v="20"/>
    <n v="5"/>
    <n v="5"/>
    <n v="7"/>
    <n v="4"/>
    <n v="0"/>
  </r>
  <r>
    <x v="4"/>
    <n v="1.9"/>
    <n v="48"/>
    <n v="558"/>
    <n v="471"/>
    <n v="84.408602150537632"/>
    <n v="2"/>
    <s v="A"/>
    <n v="2"/>
    <s v="A"/>
    <n v="12"/>
    <n v="4"/>
    <n v="8"/>
    <n v="3"/>
    <n v="1"/>
    <n v="0"/>
  </r>
  <r>
    <x v="2"/>
    <n v="1.9"/>
    <n v="50"/>
    <n v="506"/>
    <n v="407"/>
    <n v="80.434782608695656"/>
    <n v="3"/>
    <s v="A"/>
    <n v="1"/>
    <s v="D"/>
    <n v="14"/>
    <n v="5"/>
    <n v="8"/>
    <n v="3"/>
    <n v="2"/>
    <n v="0"/>
  </r>
  <r>
    <x v="4"/>
    <n v="2.5"/>
    <n v="44"/>
    <n v="400"/>
    <n v="308"/>
    <n v="77"/>
    <n v="2"/>
    <s v="A"/>
    <n v="2"/>
    <s v="A"/>
    <n v="14"/>
    <n v="4"/>
    <n v="15"/>
    <n v="10"/>
    <n v="4"/>
    <n v="0"/>
  </r>
  <r>
    <x v="9"/>
    <n v="0.4"/>
    <n v="40"/>
    <n v="430"/>
    <n v="352"/>
    <n v="81.860465116279073"/>
    <n v="1"/>
    <s v="H"/>
    <n v="0"/>
    <s v="D"/>
    <n v="4"/>
    <n v="2"/>
    <n v="11"/>
    <n v="2"/>
    <n v="1"/>
    <n v="0"/>
  </r>
  <r>
    <x v="3"/>
    <n v="0.7"/>
    <n v="42"/>
    <n v="371"/>
    <n v="239"/>
    <n v="64.42048517520216"/>
    <n v="0"/>
    <s v="H"/>
    <n v="0"/>
    <s v="D"/>
    <n v="9"/>
    <n v="0"/>
    <n v="14"/>
    <n v="3"/>
    <n v="2"/>
    <n v="0"/>
  </r>
  <r>
    <x v="8"/>
    <n v="1.2"/>
    <n v="61"/>
    <n v="608"/>
    <n v="516"/>
    <n v="84.868421052631575"/>
    <n v="1"/>
    <s v="D"/>
    <n v="1"/>
    <s v="A"/>
    <n v="15"/>
    <n v="1"/>
    <n v="12"/>
    <n v="6"/>
    <n v="2"/>
    <n v="0"/>
  </r>
  <r>
    <x v="6"/>
    <n v="1.4"/>
    <n v="44"/>
    <n v="465"/>
    <n v="394"/>
    <n v="84.731182795698928"/>
    <n v="1"/>
    <s v="H"/>
    <n v="0"/>
    <s v="H"/>
    <n v="17"/>
    <n v="4"/>
    <n v="13"/>
    <n v="1"/>
    <n v="1"/>
    <n v="0"/>
  </r>
  <r>
    <x v="7"/>
    <n v="4.4000000000000004"/>
    <n v="50"/>
    <n v="487"/>
    <n v="409"/>
    <n v="83.983572895277206"/>
    <n v="5"/>
    <s v="A"/>
    <n v="1"/>
    <s v="A"/>
    <n v="20"/>
    <n v="11"/>
    <n v="4"/>
    <n v="2"/>
    <n v="0"/>
    <n v="0"/>
  </r>
  <r>
    <x v="2"/>
    <n v="0.9"/>
    <n v="55"/>
    <n v="555"/>
    <n v="473"/>
    <n v="85.225225225225216"/>
    <n v="1"/>
    <s v="D"/>
    <n v="1"/>
    <s v="A"/>
    <n v="9"/>
    <n v="3"/>
    <n v="14"/>
    <n v="5"/>
    <n v="3"/>
    <n v="0"/>
  </r>
  <r>
    <x v="1"/>
    <n v="1.5"/>
    <n v="27"/>
    <n v="282"/>
    <n v="206"/>
    <n v="73.049645390070921"/>
    <n v="2"/>
    <s v="D"/>
    <n v="1"/>
    <s v="A"/>
    <n v="7"/>
    <n v="3"/>
    <n v="14"/>
    <n v="2"/>
    <n v="5"/>
    <n v="0"/>
  </r>
  <r>
    <x v="0"/>
    <n v="1"/>
    <n v="47"/>
    <n v="427"/>
    <n v="307"/>
    <n v="71.896955503512885"/>
    <n v="2"/>
    <s v="D"/>
    <n v="0"/>
    <s v="D"/>
    <n v="13"/>
    <n v="4"/>
    <n v="13"/>
    <n v="9"/>
    <n v="4"/>
    <n v="0"/>
  </r>
  <r>
    <x v="5"/>
    <n v="2.1"/>
    <n v="40"/>
    <n v="393"/>
    <n v="299"/>
    <n v="76.081424936386767"/>
    <n v="3"/>
    <s v="A"/>
    <n v="2"/>
    <s v="A"/>
    <n v="11"/>
    <n v="3"/>
    <n v="8"/>
    <n v="3"/>
    <n v="2"/>
    <n v="0"/>
  </r>
  <r>
    <x v="13"/>
    <n v="2.2000000000000002"/>
    <n v="55"/>
    <n v="557"/>
    <n v="472"/>
    <n v="84.739676840215438"/>
    <n v="2"/>
    <s v="D"/>
    <n v="0"/>
    <s v="D"/>
    <n v="21"/>
    <n v="8"/>
    <n v="4"/>
    <n v="5"/>
    <n v="0"/>
    <n v="0"/>
  </r>
  <r>
    <x v="17"/>
    <n v="1.2"/>
    <n v="43"/>
    <n v="358"/>
    <n v="273"/>
    <n v="76.256983240223462"/>
    <n v="2"/>
    <s v="D"/>
    <n v="0"/>
    <s v="H"/>
    <n v="7"/>
    <n v="3"/>
    <n v="16"/>
    <n v="3"/>
    <n v="3"/>
    <n v="0"/>
  </r>
  <r>
    <x v="12"/>
    <n v="1.7"/>
    <n v="56"/>
    <n v="573"/>
    <n v="478"/>
    <n v="83.420593368237348"/>
    <n v="2"/>
    <s v="H"/>
    <n v="0"/>
    <s v="H"/>
    <n v="21"/>
    <n v="5"/>
    <n v="18"/>
    <n v="3"/>
    <n v="3"/>
    <n v="0"/>
  </r>
  <r>
    <x v="19"/>
    <n v="2"/>
    <n v="70"/>
    <n v="617"/>
    <n v="508"/>
    <n v="82.333873581847655"/>
    <n v="1"/>
    <s v="D"/>
    <n v="0"/>
    <s v="H"/>
    <n v="23"/>
    <n v="7"/>
    <n v="10"/>
    <n v="9"/>
    <n v="1"/>
    <n v="0"/>
  </r>
  <r>
    <x v="16"/>
    <n v="1.2"/>
    <n v="50"/>
    <n v="465"/>
    <n v="368"/>
    <n v="79.13978494623656"/>
    <n v="1"/>
    <s v="A"/>
    <n v="0"/>
    <s v="D"/>
    <n v="11"/>
    <n v="3"/>
    <n v="10"/>
    <n v="5"/>
    <n v="1"/>
    <n v="0"/>
  </r>
  <r>
    <x v="11"/>
    <n v="1.8"/>
    <n v="43"/>
    <n v="485"/>
    <n v="375"/>
    <n v="77.319587628865989"/>
    <n v="2"/>
    <s v="A"/>
    <n v="0"/>
    <s v="D"/>
    <n v="9"/>
    <n v="4"/>
    <n v="6"/>
    <n v="3"/>
    <n v="0"/>
    <n v="0"/>
  </r>
  <r>
    <x v="18"/>
    <n v="1.6"/>
    <n v="40"/>
    <n v="413"/>
    <n v="321"/>
    <n v="77.723970944309926"/>
    <n v="0"/>
    <s v="H"/>
    <n v="0"/>
    <s v="H"/>
    <n v="13"/>
    <n v="7"/>
    <n v="13"/>
    <n v="2"/>
    <n v="2"/>
    <n v="0"/>
  </r>
  <r>
    <x v="15"/>
    <n v="0.8"/>
    <n v="47"/>
    <n v="419"/>
    <n v="341"/>
    <n v="81.38424821002387"/>
    <n v="1"/>
    <s v="H"/>
    <n v="1"/>
    <s v="H"/>
    <n v="10"/>
    <n v="2"/>
    <n v="9"/>
    <n v="4"/>
    <n v="1"/>
    <n v="0"/>
  </r>
  <r>
    <x v="10"/>
    <n v="1"/>
    <n v="53"/>
    <n v="502"/>
    <n v="413"/>
    <n v="82.270916334661365"/>
    <n v="2"/>
    <s v="A"/>
    <n v="0"/>
    <s v="D"/>
    <n v="11"/>
    <n v="5"/>
    <n v="14"/>
    <n v="9"/>
    <n v="2"/>
    <n v="0"/>
  </r>
  <r>
    <x v="14"/>
    <n v="1.4"/>
    <n v="40"/>
    <n v="426"/>
    <n v="335"/>
    <n v="78.63849765258216"/>
    <n v="1"/>
    <s v="H"/>
    <n v="1"/>
    <s v="A"/>
    <n v="13"/>
    <n v="5"/>
    <n v="10"/>
    <n v="4"/>
    <n v="3"/>
    <n v="0"/>
  </r>
  <r>
    <x v="17"/>
    <n v="2"/>
    <n v="44"/>
    <n v="363"/>
    <n v="262"/>
    <n v="72.176308539944898"/>
    <n v="4"/>
    <s v="A"/>
    <n v="2"/>
    <s v="A"/>
    <n v="19"/>
    <n v="10"/>
    <n v="18"/>
    <n v="6"/>
    <n v="6"/>
    <n v="0"/>
  </r>
  <r>
    <x v="19"/>
    <n v="3.4"/>
    <n v="60"/>
    <n v="532"/>
    <n v="449"/>
    <n v="84.398496240601503"/>
    <n v="2"/>
    <s v="A"/>
    <n v="0"/>
    <s v="D"/>
    <n v="37"/>
    <n v="8"/>
    <n v="14"/>
    <n v="15"/>
    <n v="3"/>
    <n v="0"/>
  </r>
  <r>
    <x v="12"/>
    <n v="2"/>
    <n v="60"/>
    <n v="639"/>
    <n v="540"/>
    <n v="84.507042253521121"/>
    <n v="2"/>
    <s v="A"/>
    <n v="0"/>
    <s v="D"/>
    <n v="17"/>
    <n v="2"/>
    <n v="8"/>
    <n v="2"/>
    <n v="1"/>
    <n v="0"/>
  </r>
  <r>
    <x v="11"/>
    <n v="1.3"/>
    <n v="47"/>
    <n v="512"/>
    <n v="405"/>
    <n v="79.1015625"/>
    <n v="2"/>
    <s v="A"/>
    <n v="0"/>
    <s v="D"/>
    <n v="12"/>
    <n v="7"/>
    <n v="10"/>
    <n v="4"/>
    <n v="0"/>
    <n v="0"/>
  </r>
  <r>
    <x v="16"/>
    <n v="1"/>
    <n v="34"/>
    <n v="284"/>
    <n v="204"/>
    <n v="71.83098591549296"/>
    <n v="2"/>
    <s v="D"/>
    <n v="0"/>
    <s v="H"/>
    <n v="8"/>
    <n v="4"/>
    <n v="18"/>
    <n v="1"/>
    <n v="3"/>
    <n v="0"/>
  </r>
  <r>
    <x v="15"/>
    <n v="1.1000000000000001"/>
    <n v="64"/>
    <n v="660"/>
    <n v="557"/>
    <n v="84.393939393939405"/>
    <n v="2"/>
    <s v="H"/>
    <n v="0"/>
    <s v="H"/>
    <n v="11"/>
    <n v="6"/>
    <n v="14"/>
    <n v="8"/>
    <n v="1"/>
    <n v="0"/>
  </r>
  <r>
    <x v="10"/>
    <n v="1.9"/>
    <n v="49"/>
    <n v="469"/>
    <n v="370"/>
    <n v="78.891257995735614"/>
    <n v="3"/>
    <s v="A"/>
    <n v="1"/>
    <s v="D"/>
    <n v="6"/>
    <n v="3"/>
    <n v="12"/>
    <n v="2"/>
    <n v="3"/>
    <n v="0"/>
  </r>
  <r>
    <x v="14"/>
    <n v="0.9"/>
    <n v="55"/>
    <n v="515"/>
    <n v="439"/>
    <n v="85.242718446601941"/>
    <n v="2"/>
    <s v="H"/>
    <n v="0"/>
    <s v="H"/>
    <n v="10"/>
    <n v="4"/>
    <n v="18"/>
    <n v="8"/>
    <n v="4"/>
    <n v="0"/>
  </r>
  <r>
    <x v="13"/>
    <n v="3"/>
    <n v="67"/>
    <n v="773"/>
    <n v="700"/>
    <n v="90.556274256144889"/>
    <n v="6"/>
    <s v="A"/>
    <n v="3"/>
    <s v="A"/>
    <n v="17"/>
    <n v="9"/>
    <n v="7"/>
    <n v="7"/>
    <n v="1"/>
    <n v="0"/>
  </r>
  <r>
    <x v="18"/>
    <n v="0.8"/>
    <n v="37"/>
    <n v="374"/>
    <n v="284"/>
    <n v="75.935828877005349"/>
    <n v="1"/>
    <s v="H"/>
    <n v="1"/>
    <s v="D"/>
    <n v="9"/>
    <n v="4"/>
    <n v="14"/>
    <n v="6"/>
    <n v="2"/>
    <n v="0"/>
  </r>
  <r>
    <x v="5"/>
    <n v="1"/>
    <n v="50"/>
    <n v="386"/>
    <n v="278"/>
    <n v="72.020725388601036"/>
    <n v="0"/>
    <s v="H"/>
    <n v="0"/>
    <s v="H"/>
    <n v="18"/>
    <n v="4"/>
    <n v="12"/>
    <n v="9"/>
    <n v="3"/>
    <n v="0"/>
  </r>
  <r>
    <x v="3"/>
    <n v="0.8"/>
    <n v="31"/>
    <n v="320"/>
    <n v="234"/>
    <n v="73.125"/>
    <n v="1"/>
    <s v="A"/>
    <n v="1"/>
    <s v="A"/>
    <n v="3"/>
    <n v="1"/>
    <n v="11"/>
    <n v="1"/>
    <n v="4"/>
    <n v="0"/>
  </r>
  <r>
    <x v="1"/>
    <n v="0.5"/>
    <n v="30"/>
    <n v="337"/>
    <n v="254"/>
    <n v="75.370919881305639"/>
    <n v="1"/>
    <s v="H"/>
    <n v="0"/>
    <s v="H"/>
    <n v="3"/>
    <n v="3"/>
    <n v="11"/>
    <n v="4"/>
    <n v="2"/>
    <n v="0"/>
  </r>
  <r>
    <x v="4"/>
    <n v="2.9"/>
    <n v="47"/>
    <n v="457"/>
    <n v="371"/>
    <n v="81.181619256017498"/>
    <n v="3"/>
    <s v="A"/>
    <n v="2"/>
    <s v="A"/>
    <n v="17"/>
    <n v="9"/>
    <n v="5"/>
    <n v="8"/>
    <n v="0"/>
    <n v="0"/>
  </r>
  <r>
    <x v="2"/>
    <n v="1"/>
    <n v="49"/>
    <n v="451"/>
    <n v="359"/>
    <n v="79.600886917960096"/>
    <n v="1"/>
    <s v="A"/>
    <n v="0"/>
    <s v="D"/>
    <n v="9"/>
    <n v="3"/>
    <n v="10"/>
    <n v="5"/>
    <n v="1"/>
    <n v="1"/>
  </r>
  <r>
    <x v="8"/>
    <n v="1.8"/>
    <n v="44"/>
    <n v="466"/>
    <n v="375"/>
    <n v="80.472103004291853"/>
    <n v="1"/>
    <s v="H"/>
    <n v="1"/>
    <s v="D"/>
    <n v="10"/>
    <n v="4"/>
    <n v="8"/>
    <n v="4"/>
    <n v="2"/>
    <n v="0"/>
  </r>
  <r>
    <x v="7"/>
    <n v="1.3"/>
    <n v="53"/>
    <n v="395"/>
    <n v="276"/>
    <n v="69.873417721518976"/>
    <n v="2"/>
    <s v="A"/>
    <n v="0"/>
    <s v="D"/>
    <n v="13"/>
    <n v="6"/>
    <n v="11"/>
    <n v="7"/>
    <n v="2"/>
    <n v="0"/>
  </r>
  <r>
    <x v="9"/>
    <n v="1.6"/>
    <n v="39"/>
    <n v="387"/>
    <n v="280"/>
    <n v="72.351421188630496"/>
    <n v="2"/>
    <s v="A"/>
    <n v="0"/>
    <s v="H"/>
    <n v="12"/>
    <n v="3"/>
    <n v="16"/>
    <n v="4"/>
    <n v="5"/>
    <n v="0"/>
  </r>
  <r>
    <x v="6"/>
    <n v="1.3"/>
    <n v="54"/>
    <n v="490"/>
    <n v="399"/>
    <n v="81.428571428571431"/>
    <n v="1"/>
    <s v="D"/>
    <n v="0"/>
    <s v="H"/>
    <n v="14"/>
    <n v="4"/>
    <n v="16"/>
    <n v="3"/>
    <n v="3"/>
    <n v="0"/>
  </r>
  <r>
    <x v="0"/>
    <n v="0.3"/>
    <n v="49"/>
    <n v="522"/>
    <n v="432"/>
    <n v="82.758620689655174"/>
    <n v="1"/>
    <s v="A"/>
    <n v="0"/>
    <s v="D"/>
    <n v="4"/>
    <n v="1"/>
    <n v="9"/>
    <n v="0"/>
    <n v="1"/>
    <n v="0"/>
  </r>
  <r>
    <x v="10"/>
    <n v="0.9"/>
    <n v="62"/>
    <n v="575"/>
    <n v="477"/>
    <n v="82.956521739130437"/>
    <n v="0"/>
    <s v="H"/>
    <n v="0"/>
    <s v="H"/>
    <n v="10"/>
    <n v="5"/>
    <n v="13"/>
    <n v="6"/>
    <n v="3"/>
    <n v="0"/>
  </r>
  <r>
    <x v="19"/>
    <n v="2.5"/>
    <n v="51"/>
    <n v="464"/>
    <n v="369"/>
    <n v="79.525862068965509"/>
    <n v="2"/>
    <s v="A"/>
    <n v="1"/>
    <s v="A"/>
    <n v="19"/>
    <n v="7"/>
    <n v="9"/>
    <n v="3"/>
    <n v="3"/>
    <n v="0"/>
  </r>
  <r>
    <x v="9"/>
    <n v="0.3"/>
    <n v="52"/>
    <n v="531"/>
    <n v="418"/>
    <n v="78.719397363465163"/>
    <n v="0"/>
    <s v="H"/>
    <n v="0"/>
    <s v="H"/>
    <n v="9"/>
    <n v="1"/>
    <n v="13"/>
    <n v="6"/>
    <n v="0"/>
    <n v="0"/>
  </r>
  <r>
    <x v="14"/>
    <n v="0.9"/>
    <n v="43"/>
    <n v="430"/>
    <n v="327"/>
    <n v="76.04651162790698"/>
    <n v="2"/>
    <s v="A"/>
    <n v="1"/>
    <s v="D"/>
    <n v="9"/>
    <n v="4"/>
    <n v="14"/>
    <n v="2"/>
    <n v="3"/>
    <n v="0"/>
  </r>
  <r>
    <x v="12"/>
    <n v="1.6"/>
    <n v="51"/>
    <n v="482"/>
    <n v="380"/>
    <n v="78.838174273858925"/>
    <n v="2"/>
    <s v="A"/>
    <n v="0"/>
    <s v="H"/>
    <n v="15"/>
    <n v="4"/>
    <n v="15"/>
    <n v="7"/>
    <n v="4"/>
    <n v="0"/>
  </r>
  <r>
    <x v="16"/>
    <n v="0.4"/>
    <n v="68"/>
    <n v="598"/>
    <n v="511"/>
    <n v="85.451505016722408"/>
    <n v="0"/>
    <s v="H"/>
    <n v="0"/>
    <s v="H"/>
    <n v="10"/>
    <n v="3"/>
    <n v="13"/>
    <n v="8"/>
    <n v="3"/>
    <n v="0"/>
  </r>
  <r>
    <x v="15"/>
    <n v="0.8"/>
    <n v="46"/>
    <n v="456"/>
    <n v="369"/>
    <n v="80.921052631578945"/>
    <n v="2"/>
    <s v="A"/>
    <n v="1"/>
    <s v="A"/>
    <n v="13"/>
    <n v="2"/>
    <n v="11"/>
    <n v="3"/>
    <n v="1"/>
    <n v="0"/>
  </r>
  <r>
    <x v="11"/>
    <n v="2.6"/>
    <n v="34"/>
    <n v="315"/>
    <n v="204"/>
    <n v="64.761904761904759"/>
    <n v="2"/>
    <s v="A"/>
    <n v="0"/>
    <s v="D"/>
    <n v="11"/>
    <n v="3"/>
    <n v="13"/>
    <n v="0"/>
    <n v="1"/>
    <n v="0"/>
  </r>
  <r>
    <x v="13"/>
    <n v="0.8"/>
    <n v="54"/>
    <n v="505"/>
    <n v="442"/>
    <n v="87.524752475247524"/>
    <n v="1"/>
    <s v="H"/>
    <n v="0"/>
    <s v="H"/>
    <n v="7"/>
    <n v="4"/>
    <n v="7"/>
    <n v="2"/>
    <n v="0"/>
    <n v="0"/>
  </r>
  <r>
    <x v="6"/>
    <n v="1.2"/>
    <n v="32"/>
    <n v="307"/>
    <n v="222"/>
    <n v="72.312703583061889"/>
    <n v="1"/>
    <s v="H"/>
    <n v="1"/>
    <s v="A"/>
    <n v="14"/>
    <n v="5"/>
    <n v="10"/>
    <n v="3"/>
    <n v="1"/>
    <n v="0"/>
  </r>
  <r>
    <x v="19"/>
    <n v="0.6"/>
    <n v="63"/>
    <n v="581"/>
    <n v="469"/>
    <n v="80.722891566265062"/>
    <n v="2"/>
    <s v="D"/>
    <n v="1"/>
    <s v="D"/>
    <n v="6"/>
    <n v="4"/>
    <n v="20"/>
    <n v="3"/>
    <n v="2"/>
    <n v="1"/>
  </r>
  <r>
    <x v="8"/>
    <n v="0.5"/>
    <n v="69"/>
    <n v="776"/>
    <n v="685"/>
    <n v="88.273195876288653"/>
    <n v="0"/>
    <s v="H"/>
    <n v="0"/>
    <s v="H"/>
    <n v="8"/>
    <n v="0"/>
    <n v="15"/>
    <n v="9"/>
    <n v="2"/>
    <n v="0"/>
  </r>
  <r>
    <x v="2"/>
    <n v="1.4"/>
    <n v="60"/>
    <n v="542"/>
    <n v="450"/>
    <n v="83.025830258302577"/>
    <n v="2"/>
    <s v="A"/>
    <n v="0"/>
    <s v="D"/>
    <n v="11"/>
    <n v="5"/>
    <n v="10"/>
    <n v="7"/>
    <n v="1"/>
    <n v="0"/>
  </r>
  <r>
    <x v="1"/>
    <n v="0.4"/>
    <n v="25"/>
    <n v="242"/>
    <n v="173"/>
    <n v="71.487603305785115"/>
    <n v="1"/>
    <s v="D"/>
    <n v="0"/>
    <s v="D"/>
    <n v="4"/>
    <n v="3"/>
    <n v="11"/>
    <n v="1"/>
    <n v="3"/>
    <n v="1"/>
  </r>
  <r>
    <x v="5"/>
    <n v="0.4"/>
    <n v="45"/>
    <n v="441"/>
    <n v="358"/>
    <n v="81.179138321995467"/>
    <n v="1"/>
    <s v="H"/>
    <n v="1"/>
    <s v="D"/>
    <n v="8"/>
    <n v="2"/>
    <n v="8"/>
    <n v="4"/>
    <n v="0"/>
    <n v="0"/>
  </r>
  <r>
    <x v="4"/>
    <n v="0.5"/>
    <n v="39"/>
    <n v="395"/>
    <n v="319"/>
    <n v="80.759493670886073"/>
    <n v="0"/>
    <s v="H"/>
    <n v="0"/>
    <s v="H"/>
    <n v="3"/>
    <n v="1"/>
    <n v="13"/>
    <n v="4"/>
    <n v="1"/>
    <n v="0"/>
  </r>
  <r>
    <x v="17"/>
    <n v="1.2"/>
    <n v="56"/>
    <n v="531"/>
    <n v="426"/>
    <n v="80.225988700564983"/>
    <n v="3"/>
    <s v="A"/>
    <n v="2"/>
    <s v="A"/>
    <n v="14"/>
    <n v="7"/>
    <n v="15"/>
    <n v="6"/>
    <n v="3"/>
    <n v="0"/>
  </r>
  <r>
    <x v="7"/>
    <n v="1.6"/>
    <n v="42"/>
    <n v="399"/>
    <n v="302"/>
    <n v="75.689223057644099"/>
    <n v="1"/>
    <s v="A"/>
    <n v="1"/>
    <s v="A"/>
    <n v="14"/>
    <n v="5"/>
    <n v="13"/>
    <n v="2"/>
    <n v="1"/>
    <n v="0"/>
  </r>
  <r>
    <x v="3"/>
    <n v="0.9"/>
    <n v="42"/>
    <n v="411"/>
    <n v="286"/>
    <n v="69.586374695863753"/>
    <n v="2"/>
    <s v="A"/>
    <n v="1"/>
    <s v="A"/>
    <n v="11"/>
    <n v="6"/>
    <n v="12"/>
    <n v="2"/>
    <n v="1"/>
    <n v="0"/>
  </r>
  <r>
    <x v="18"/>
    <n v="1.5"/>
    <n v="50"/>
    <n v="489"/>
    <n v="406"/>
    <n v="83.02658486707567"/>
    <n v="1"/>
    <s v="H"/>
    <n v="0"/>
    <s v="H"/>
    <n v="16"/>
    <n v="4"/>
    <n v="13"/>
    <n v="3"/>
    <n v="2"/>
    <n v="0"/>
  </r>
  <r>
    <x v="0"/>
    <n v="1.5"/>
    <n v="45"/>
    <n v="461"/>
    <n v="367"/>
    <n v="79.60954446854663"/>
    <n v="0"/>
    <s v="H"/>
    <n v="0"/>
    <s v="H"/>
    <n v="16"/>
    <n v="6"/>
    <n v="9"/>
    <n v="5"/>
    <n v="2"/>
    <n v="0"/>
  </r>
  <r>
    <x v="19"/>
    <n v="2.5"/>
    <n v="48"/>
    <n v="448"/>
    <n v="360"/>
    <n v="80.357142857142861"/>
    <n v="2"/>
    <s v="D"/>
    <n v="1"/>
    <s v="H"/>
    <n v="17"/>
    <n v="3"/>
    <n v="6"/>
    <n v="8"/>
    <n v="0"/>
    <n v="0"/>
  </r>
  <r>
    <x v="7"/>
    <n v="1.5"/>
    <n v="52"/>
    <n v="460"/>
    <n v="379"/>
    <n v="82.391304347826093"/>
    <n v="4"/>
    <s v="A"/>
    <n v="3"/>
    <s v="A"/>
    <n v="14"/>
    <n v="6"/>
    <n v="10"/>
    <n v="6"/>
    <n v="0"/>
    <n v="0"/>
  </r>
  <r>
    <x v="0"/>
    <n v="0.4"/>
    <n v="62"/>
    <n v="575"/>
    <n v="479"/>
    <n v="83.304347826086953"/>
    <n v="2"/>
    <s v="D"/>
    <n v="0"/>
    <s v="H"/>
    <n v="9"/>
    <n v="3"/>
    <n v="9"/>
    <n v="9"/>
    <n v="1"/>
    <n v="0"/>
  </r>
  <r>
    <x v="6"/>
    <n v="1.1000000000000001"/>
    <n v="32"/>
    <n v="334"/>
    <n v="257"/>
    <n v="76.946107784431135"/>
    <n v="1"/>
    <s v="A"/>
    <n v="1"/>
    <s v="A"/>
    <n v="5"/>
    <n v="2"/>
    <n v="15"/>
    <n v="0"/>
    <n v="3"/>
    <n v="0"/>
  </r>
  <r>
    <x v="18"/>
    <n v="2"/>
    <n v="54"/>
    <n v="490"/>
    <n v="381"/>
    <n v="77.755102040816325"/>
    <n v="1"/>
    <s v="A"/>
    <n v="1"/>
    <s v="A"/>
    <n v="13"/>
    <n v="5"/>
    <n v="9"/>
    <n v="7"/>
    <n v="3"/>
    <n v="0"/>
  </r>
  <r>
    <x v="11"/>
    <n v="1.3"/>
    <n v="38"/>
    <n v="363"/>
    <n v="267"/>
    <n v="73.553719008264466"/>
    <n v="2"/>
    <s v="A"/>
    <n v="1"/>
    <s v="A"/>
    <n v="10"/>
    <n v="5"/>
    <n v="7"/>
    <n v="7"/>
    <n v="3"/>
    <n v="0"/>
  </r>
  <r>
    <x v="15"/>
    <n v="1.7"/>
    <n v="58"/>
    <n v="549"/>
    <n v="473"/>
    <n v="86.156648451730419"/>
    <n v="4"/>
    <s v="A"/>
    <n v="2"/>
    <s v="A"/>
    <n v="10"/>
    <n v="6"/>
    <n v="14"/>
    <n v="4"/>
    <n v="1"/>
    <n v="0"/>
  </r>
  <r>
    <x v="10"/>
    <n v="3.9"/>
    <n v="50"/>
    <n v="467"/>
    <n v="374"/>
    <n v="80.085653104925058"/>
    <n v="4"/>
    <s v="A"/>
    <n v="1"/>
    <s v="A"/>
    <n v="18"/>
    <n v="12"/>
    <n v="12"/>
    <n v="6"/>
    <n v="0"/>
    <n v="0"/>
  </r>
  <r>
    <x v="8"/>
    <n v="2.2999999999999998"/>
    <n v="48"/>
    <n v="475"/>
    <n v="409"/>
    <n v="86.10526315789474"/>
    <n v="1"/>
    <s v="H"/>
    <n v="1"/>
    <s v="A"/>
    <n v="15"/>
    <n v="7"/>
    <n v="16"/>
    <n v="3"/>
    <n v="3"/>
    <n v="0"/>
  </r>
  <r>
    <x v="5"/>
    <n v="1.7"/>
    <n v="43"/>
    <n v="386"/>
    <n v="279"/>
    <n v="72.279792746113998"/>
    <n v="3"/>
    <s v="H"/>
    <n v="1"/>
    <s v="H"/>
    <n v="17"/>
    <n v="5"/>
    <n v="13"/>
    <n v="6"/>
    <n v="4"/>
    <n v="0"/>
  </r>
  <r>
    <x v="19"/>
    <n v="0.7"/>
    <n v="34"/>
    <n v="356"/>
    <n v="282"/>
    <n v="79.213483146067418"/>
    <n v="2"/>
    <s v="A"/>
    <n v="2"/>
    <s v="A"/>
    <n v="8"/>
    <n v="4"/>
    <n v="10"/>
    <n v="5"/>
    <n v="0"/>
    <n v="0"/>
  </r>
  <r>
    <x v="17"/>
    <n v="1.5"/>
    <n v="56"/>
    <n v="515"/>
    <n v="402"/>
    <n v="78.05825242718447"/>
    <n v="1"/>
    <s v="H"/>
    <n v="0"/>
    <s v="H"/>
    <n v="19"/>
    <n v="5"/>
    <n v="14"/>
    <n v="9"/>
    <n v="1"/>
    <n v="0"/>
  </r>
  <r>
    <x v="16"/>
    <n v="0.4"/>
    <n v="64"/>
    <n v="509"/>
    <n v="424"/>
    <n v="83.300589390962671"/>
    <n v="1"/>
    <s v="H"/>
    <n v="0"/>
    <s v="H"/>
    <n v="6"/>
    <n v="2"/>
    <n v="10"/>
    <n v="8"/>
    <n v="1"/>
    <n v="0"/>
  </r>
  <r>
    <x v="12"/>
    <n v="1.7"/>
    <n v="40"/>
    <n v="410"/>
    <n v="343"/>
    <n v="83.658536585365852"/>
    <n v="2"/>
    <s v="A"/>
    <n v="1"/>
    <s v="D"/>
    <n v="11"/>
    <n v="5"/>
    <n v="15"/>
    <n v="5"/>
    <n v="3"/>
    <n v="0"/>
  </r>
  <r>
    <x v="14"/>
    <n v="0.7"/>
    <n v="40"/>
    <n v="441"/>
    <n v="370"/>
    <n v="83.900226757369609"/>
    <n v="0"/>
    <s v="H"/>
    <n v="0"/>
    <s v="H"/>
    <n v="7"/>
    <n v="2"/>
    <n v="9"/>
    <n v="2"/>
    <n v="2"/>
    <n v="0"/>
  </r>
  <r>
    <x v="3"/>
    <n v="1.5"/>
    <n v="48"/>
    <n v="474"/>
    <n v="378"/>
    <n v="79.74683544303798"/>
    <n v="1"/>
    <s v="D"/>
    <n v="0"/>
    <s v="H"/>
    <n v="14"/>
    <n v="4"/>
    <n v="6"/>
    <n v="5"/>
    <n v="1"/>
    <n v="0"/>
  </r>
  <r>
    <x v="1"/>
    <n v="1.4"/>
    <n v="55"/>
    <n v="486"/>
    <n v="404"/>
    <n v="83.127572016460903"/>
    <n v="2"/>
    <s v="H"/>
    <n v="2"/>
    <s v="D"/>
    <n v="12"/>
    <n v="3"/>
    <n v="16"/>
    <n v="6"/>
    <n v="4"/>
    <n v="0"/>
  </r>
  <r>
    <x v="2"/>
    <n v="1"/>
    <n v="64"/>
    <n v="544"/>
    <n v="455"/>
    <n v="83.639705882352942"/>
    <n v="0"/>
    <s v="D"/>
    <n v="0"/>
    <s v="D"/>
    <n v="13"/>
    <n v="1"/>
    <n v="17"/>
    <n v="11"/>
    <n v="1"/>
    <n v="0"/>
  </r>
  <r>
    <x v="13"/>
    <n v="2.1"/>
    <n v="45"/>
    <n v="460"/>
    <n v="392"/>
    <n v="85.217391304347828"/>
    <n v="1"/>
    <s v="A"/>
    <n v="1"/>
    <s v="A"/>
    <n v="12"/>
    <n v="5"/>
    <n v="15"/>
    <n v="3"/>
    <n v="0"/>
    <n v="0"/>
  </r>
  <r>
    <x v="4"/>
    <n v="0.2"/>
    <n v="39"/>
    <n v="402"/>
    <n v="327"/>
    <n v="81.343283582089555"/>
    <n v="0"/>
    <s v="H"/>
    <n v="0"/>
    <s v="H"/>
    <n v="3"/>
    <n v="0"/>
    <n v="11"/>
    <n v="2"/>
    <n v="1"/>
    <n v="0"/>
  </r>
  <r>
    <x v="9"/>
    <n v="0.4"/>
    <n v="42"/>
    <n v="504"/>
    <n v="411"/>
    <n v="81.547619047619051"/>
    <n v="0"/>
    <s v="H"/>
    <n v="0"/>
    <s v="H"/>
    <n v="10"/>
    <n v="2"/>
    <n v="6"/>
    <n v="3"/>
    <n v="0"/>
    <n v="0"/>
  </r>
  <r>
    <x v="13"/>
    <n v="0.9"/>
    <n v="69"/>
    <n v="652"/>
    <n v="571"/>
    <n v="87.576687116564429"/>
    <n v="0"/>
    <s v="H"/>
    <n v="0"/>
    <s v="D"/>
    <n v="14"/>
    <n v="3"/>
    <n v="7"/>
    <n v="2"/>
    <n v="2"/>
    <n v="0"/>
  </r>
  <r>
    <x v="12"/>
    <n v="0.9"/>
    <n v="47"/>
    <n v="479"/>
    <n v="391"/>
    <n v="81.628392484342385"/>
    <n v="1"/>
    <s v="H"/>
    <n v="1"/>
    <s v="D"/>
    <n v="6"/>
    <n v="1"/>
    <n v="12"/>
    <n v="7"/>
    <n v="2"/>
    <n v="0"/>
  </r>
  <r>
    <x v="1"/>
    <n v="1.5"/>
    <n v="45"/>
    <n v="380"/>
    <n v="269"/>
    <n v="70.78947368421052"/>
    <n v="0"/>
    <s v="H"/>
    <n v="0"/>
    <s v="D"/>
    <n v="15"/>
    <n v="8"/>
    <n v="7"/>
    <n v="4"/>
    <n v="3"/>
    <n v="0"/>
  </r>
  <r>
    <x v="14"/>
    <n v="0.4"/>
    <n v="29"/>
    <n v="286"/>
    <n v="216"/>
    <n v="75.52447552447552"/>
    <n v="1"/>
    <s v="H"/>
    <n v="1"/>
    <s v="A"/>
    <n v="6"/>
    <n v="4"/>
    <n v="9"/>
    <n v="4"/>
    <n v="1"/>
    <n v="0"/>
  </r>
  <r>
    <x v="16"/>
    <n v="1.3"/>
    <n v="41"/>
    <n v="346"/>
    <n v="254"/>
    <n v="73.410404624277461"/>
    <n v="1"/>
    <s v="A"/>
    <n v="0"/>
    <s v="D"/>
    <n v="12"/>
    <n v="4"/>
    <n v="5"/>
    <n v="5"/>
    <n v="2"/>
    <n v="0"/>
  </r>
  <r>
    <x v="3"/>
    <n v="1.2"/>
    <n v="34"/>
    <n v="337"/>
    <n v="252"/>
    <n v="74.777448071216611"/>
    <n v="1"/>
    <s v="D"/>
    <n v="1"/>
    <s v="D"/>
    <n v="12"/>
    <n v="4"/>
    <n v="16"/>
    <n v="5"/>
    <n v="2"/>
    <n v="0"/>
  </r>
  <r>
    <x v="9"/>
    <n v="0.1"/>
    <n v="44"/>
    <n v="462"/>
    <n v="364"/>
    <n v="78.787878787878782"/>
    <n v="0"/>
    <s v="H"/>
    <n v="0"/>
    <s v="D"/>
    <n v="3"/>
    <n v="3"/>
    <n v="13"/>
    <n v="2"/>
    <n v="0"/>
    <n v="0"/>
  </r>
  <r>
    <x v="17"/>
    <n v="2.2000000000000002"/>
    <n v="39"/>
    <n v="370"/>
    <n v="274"/>
    <n v="74.054054054054049"/>
    <n v="2"/>
    <s v="D"/>
    <n v="1"/>
    <s v="A"/>
    <n v="17"/>
    <n v="8"/>
    <n v="16"/>
    <n v="6"/>
    <n v="3"/>
    <n v="0"/>
  </r>
  <r>
    <x v="2"/>
    <n v="1.6"/>
    <n v="68"/>
    <n v="644"/>
    <n v="553"/>
    <n v="85.869565217391312"/>
    <n v="1"/>
    <s v="D"/>
    <n v="0"/>
    <s v="H"/>
    <n v="17"/>
    <n v="6"/>
    <n v="11"/>
    <n v="9"/>
    <n v="1"/>
    <n v="0"/>
  </r>
  <r>
    <x v="4"/>
    <n v="1.4"/>
    <n v="49"/>
    <n v="484"/>
    <n v="384"/>
    <n v="79.338842975206617"/>
    <n v="1"/>
    <s v="A"/>
    <n v="0"/>
    <s v="D"/>
    <n v="9"/>
    <n v="3"/>
    <n v="15"/>
    <n v="4"/>
    <n v="1"/>
    <n v="0"/>
  </r>
  <r>
    <x v="6"/>
    <n v="0.8"/>
    <n v="46"/>
    <n v="474"/>
    <n v="377"/>
    <n v="79.53586497890295"/>
    <n v="1"/>
    <s v="D"/>
    <n v="0"/>
    <s v="D"/>
    <n v="10"/>
    <n v="5"/>
    <n v="8"/>
    <n v="5"/>
    <n v="2"/>
    <n v="0"/>
  </r>
  <r>
    <x v="5"/>
    <n v="1.5"/>
    <n v="45"/>
    <n v="392"/>
    <n v="298"/>
    <n v="76.020408163265301"/>
    <n v="4"/>
    <s v="A"/>
    <n v="3"/>
    <s v="A"/>
    <n v="11"/>
    <n v="6"/>
    <n v="13"/>
    <n v="3"/>
    <n v="1"/>
    <n v="0"/>
  </r>
  <r>
    <x v="10"/>
    <n v="2"/>
    <n v="40"/>
    <n v="363"/>
    <n v="272"/>
    <n v="74.931129476584019"/>
    <n v="2"/>
    <s v="D"/>
    <n v="1"/>
    <s v="H"/>
    <n v="15"/>
    <n v="3"/>
    <n v="10"/>
    <n v="5"/>
    <n v="5"/>
    <n v="0"/>
  </r>
  <r>
    <x v="18"/>
    <n v="0.4"/>
    <n v="40"/>
    <n v="437"/>
    <n v="368"/>
    <n v="84.210526315789465"/>
    <n v="2"/>
    <s v="A"/>
    <n v="1"/>
    <s v="A"/>
    <n v="5"/>
    <n v="3"/>
    <n v="13"/>
    <n v="1"/>
    <n v="0"/>
    <n v="0"/>
  </r>
  <r>
    <x v="7"/>
    <n v="0.8"/>
    <n v="42"/>
    <n v="386"/>
    <n v="261"/>
    <n v="67.616580310880821"/>
    <n v="2"/>
    <s v="A"/>
    <n v="1"/>
    <s v="D"/>
    <n v="10"/>
    <n v="4"/>
    <n v="7"/>
    <n v="3"/>
    <n v="0"/>
    <n v="0"/>
  </r>
  <r>
    <x v="8"/>
    <n v="0.4"/>
    <n v="58"/>
    <n v="548"/>
    <n v="466"/>
    <n v="85.03649635036497"/>
    <n v="0"/>
    <s v="H"/>
    <n v="0"/>
    <s v="H"/>
    <n v="8"/>
    <n v="2"/>
    <n v="13"/>
    <n v="4"/>
    <n v="3"/>
    <n v="0"/>
  </r>
  <r>
    <x v="15"/>
    <n v="0.9"/>
    <n v="43"/>
    <n v="451"/>
    <n v="376"/>
    <n v="83.370288248337033"/>
    <n v="0"/>
    <s v="H"/>
    <n v="0"/>
    <s v="D"/>
    <n v="12"/>
    <n v="4"/>
    <n v="10"/>
    <n v="5"/>
    <n v="0"/>
    <n v="0"/>
  </r>
  <r>
    <x v="0"/>
    <n v="0.9"/>
    <n v="47"/>
    <n v="503"/>
    <n v="383"/>
    <n v="76.143141153081501"/>
    <n v="3"/>
    <s v="A"/>
    <n v="1"/>
    <s v="A"/>
    <n v="18"/>
    <n v="5"/>
    <n v="6"/>
    <n v="4"/>
    <n v="0"/>
    <n v="0"/>
  </r>
  <r>
    <x v="12"/>
    <n v="1"/>
    <n v="49"/>
    <n v="500"/>
    <n v="424"/>
    <n v="84.8"/>
    <n v="1"/>
    <s v="H"/>
    <n v="0"/>
    <s v="H"/>
    <n v="9"/>
    <n v="3"/>
    <n v="10"/>
    <n v="4"/>
    <n v="2"/>
    <n v="0"/>
  </r>
  <r>
    <x v="6"/>
    <n v="1.3"/>
    <n v="58"/>
    <n v="614"/>
    <n v="518"/>
    <n v="84.364820846905545"/>
    <n v="0"/>
    <s v="H"/>
    <n v="0"/>
    <s v="H"/>
    <n v="10"/>
    <n v="1"/>
    <n v="12"/>
    <n v="2"/>
    <n v="2"/>
    <n v="0"/>
  </r>
  <r>
    <x v="0"/>
    <n v="1.6"/>
    <n v="68"/>
    <n v="707"/>
    <n v="587"/>
    <n v="83.026874115983034"/>
    <n v="0"/>
    <s v="H"/>
    <n v="0"/>
    <s v="H"/>
    <n v="23"/>
    <n v="6"/>
    <n v="12"/>
    <n v="10"/>
    <n v="3"/>
    <n v="0"/>
  </r>
  <r>
    <x v="1"/>
    <n v="1.2"/>
    <n v="37"/>
    <n v="336"/>
    <n v="226"/>
    <n v="67.261904761904773"/>
    <n v="2"/>
    <s v="A"/>
    <n v="1"/>
    <s v="A"/>
    <n v="10"/>
    <n v="2"/>
    <n v="15"/>
    <n v="3"/>
    <n v="2"/>
    <n v="0"/>
  </r>
  <r>
    <x v="16"/>
    <n v="1.2"/>
    <n v="44"/>
    <n v="405"/>
    <n v="333"/>
    <n v="82.222222222222214"/>
    <n v="3"/>
    <s v="A"/>
    <n v="0"/>
    <s v="D"/>
    <n v="8"/>
    <n v="5"/>
    <n v="11"/>
    <n v="0"/>
    <n v="3"/>
    <n v="0"/>
  </r>
  <r>
    <x v="9"/>
    <n v="0.1"/>
    <n v="28"/>
    <n v="320"/>
    <n v="253"/>
    <n v="79.0625"/>
    <n v="0"/>
    <s v="H"/>
    <n v="0"/>
    <s v="H"/>
    <n v="2"/>
    <n v="0"/>
    <n v="8"/>
    <n v="0"/>
    <n v="4"/>
    <n v="0"/>
  </r>
  <r>
    <x v="7"/>
    <n v="1.5"/>
    <n v="51"/>
    <n v="459"/>
    <n v="344"/>
    <n v="74.945533769063175"/>
    <n v="1"/>
    <s v="H"/>
    <n v="0"/>
    <s v="H"/>
    <n v="12"/>
    <n v="3"/>
    <n v="12"/>
    <n v="5"/>
    <n v="1"/>
    <n v="0"/>
  </r>
  <r>
    <x v="11"/>
    <n v="0.7"/>
    <n v="57"/>
    <n v="562"/>
    <n v="462"/>
    <n v="82.206405693950174"/>
    <n v="1"/>
    <s v="D"/>
    <n v="0"/>
    <s v="H"/>
    <n v="9"/>
    <n v="3"/>
    <n v="9"/>
    <n v="2"/>
    <n v="1"/>
    <n v="0"/>
  </r>
  <r>
    <x v="3"/>
    <n v="0.9"/>
    <n v="27"/>
    <n v="242"/>
    <n v="143"/>
    <n v="59.090909090909093"/>
    <n v="0"/>
    <s v="H"/>
    <n v="0"/>
    <s v="D"/>
    <n v="5"/>
    <n v="0"/>
    <n v="11"/>
    <n v="5"/>
    <n v="2"/>
    <n v="0"/>
  </r>
  <r>
    <x v="15"/>
    <n v="0.9"/>
    <n v="49"/>
    <n v="475"/>
    <n v="401"/>
    <n v="84.421052631578959"/>
    <n v="0"/>
    <s v="H"/>
    <n v="0"/>
    <s v="D"/>
    <n v="8"/>
    <n v="2"/>
    <n v="16"/>
    <n v="6"/>
    <n v="5"/>
    <n v="0"/>
  </r>
  <r>
    <x v="2"/>
    <n v="1.8"/>
    <n v="69"/>
    <n v="495"/>
    <n v="415"/>
    <n v="83.838383838383834"/>
    <n v="1"/>
    <s v="D"/>
    <n v="1"/>
    <s v="A"/>
    <n v="14"/>
    <n v="5"/>
    <n v="13"/>
    <n v="8"/>
    <n v="1"/>
    <n v="0"/>
  </r>
  <r>
    <x v="10"/>
    <n v="1"/>
    <n v="62"/>
    <n v="592"/>
    <n v="490"/>
    <n v="82.770270270270274"/>
    <n v="1"/>
    <s v="H"/>
    <n v="1"/>
    <s v="D"/>
    <n v="11"/>
    <n v="5"/>
    <n v="13"/>
    <n v="4"/>
    <n v="1"/>
    <n v="1"/>
  </r>
  <r>
    <x v="18"/>
    <n v="2.6"/>
    <n v="55"/>
    <n v="455"/>
    <n v="368"/>
    <n v="80.879120879120876"/>
    <n v="2"/>
    <s v="A"/>
    <n v="0"/>
    <s v="H"/>
    <n v="22"/>
    <n v="7"/>
    <n v="16"/>
    <n v="8"/>
    <n v="2"/>
    <n v="0"/>
  </r>
  <r>
    <x v="17"/>
    <n v="2.1"/>
    <n v="44"/>
    <n v="410"/>
    <n v="290"/>
    <n v="70.731707317073173"/>
    <n v="2"/>
    <s v="D"/>
    <n v="1"/>
    <s v="A"/>
    <n v="11"/>
    <n v="4"/>
    <n v="13"/>
    <n v="7"/>
    <n v="2"/>
    <n v="0"/>
  </r>
  <r>
    <x v="5"/>
    <n v="1.5"/>
    <n v="48"/>
    <n v="424"/>
    <n v="341"/>
    <n v="80.424528301886795"/>
    <n v="1"/>
    <s v="H"/>
    <n v="0"/>
    <s v="H"/>
    <n v="19"/>
    <n v="3"/>
    <n v="15"/>
    <n v="4"/>
    <n v="2"/>
    <n v="0"/>
  </r>
  <r>
    <x v="8"/>
    <n v="1.2"/>
    <n v="58"/>
    <n v="519"/>
    <n v="425"/>
    <n v="81.888246628131029"/>
    <n v="0"/>
    <s v="D"/>
    <n v="0"/>
    <s v="D"/>
    <n v="21"/>
    <n v="5"/>
    <n v="12"/>
    <n v="6"/>
    <n v="3"/>
    <n v="0"/>
  </r>
  <r>
    <x v="19"/>
    <n v="1.5"/>
    <n v="63"/>
    <n v="612"/>
    <n v="502"/>
    <n v="82.026143790849673"/>
    <n v="2"/>
    <s v="H"/>
    <n v="1"/>
    <s v="H"/>
    <n v="14"/>
    <n v="6"/>
    <n v="9"/>
    <n v="4"/>
    <n v="0"/>
    <n v="0"/>
  </r>
  <r>
    <x v="14"/>
    <n v="1"/>
    <n v="49"/>
    <n v="497"/>
    <n v="429"/>
    <n v="86.317907444668009"/>
    <n v="1"/>
    <s v="H"/>
    <n v="0"/>
    <s v="H"/>
    <n v="12"/>
    <n v="4"/>
    <n v="20"/>
    <n v="1"/>
    <n v="1"/>
    <n v="0"/>
  </r>
  <r>
    <x v="13"/>
    <n v="0.5"/>
    <n v="58"/>
    <n v="596"/>
    <n v="519"/>
    <n v="87.080536912751683"/>
    <n v="0"/>
    <s v="D"/>
    <n v="0"/>
    <s v="D"/>
    <n v="9"/>
    <n v="5"/>
    <n v="9"/>
    <n v="3"/>
    <n v="2"/>
    <n v="0"/>
  </r>
  <r>
    <x v="4"/>
    <n v="3.2"/>
    <n v="42"/>
    <n v="443"/>
    <n v="352"/>
    <n v="79.458239277652368"/>
    <n v="3"/>
    <s v="A"/>
    <n v="3"/>
    <s v="A"/>
    <n v="16"/>
    <n v="5"/>
    <n v="9"/>
    <n v="2"/>
    <n v="0"/>
    <n v="0"/>
  </r>
  <r>
    <x v="11"/>
    <n v="1.8"/>
    <n v="33"/>
    <n v="374"/>
    <n v="299"/>
    <n v="79.946524064171115"/>
    <n v="2"/>
    <s v="H"/>
    <n v="2"/>
    <s v="D"/>
    <n v="8"/>
    <n v="3"/>
    <n v="16"/>
    <n v="4"/>
    <n v="3"/>
    <n v="0"/>
  </r>
  <r>
    <x v="9"/>
    <n v="1.5"/>
    <n v="41"/>
    <n v="396"/>
    <n v="308"/>
    <n v="77.777777777777786"/>
    <n v="2"/>
    <s v="D"/>
    <n v="1"/>
    <s v="D"/>
    <n v="15"/>
    <n v="6"/>
    <n v="11"/>
    <n v="6"/>
    <n v="5"/>
    <n v="0"/>
  </r>
  <r>
    <x v="3"/>
    <n v="1.4"/>
    <n v="57"/>
    <n v="491"/>
    <n v="387"/>
    <n v="78.818737270875758"/>
    <n v="1"/>
    <s v="A"/>
    <n v="0"/>
    <s v="D"/>
    <n v="13"/>
    <n v="5"/>
    <n v="13"/>
    <n v="7"/>
    <n v="3"/>
    <n v="0"/>
  </r>
  <r>
    <x v="16"/>
    <n v="3"/>
    <n v="60"/>
    <n v="579"/>
    <n v="510"/>
    <n v="88.082901554404145"/>
    <n v="3"/>
    <s v="A"/>
    <n v="0"/>
    <s v="D"/>
    <n v="25"/>
    <n v="10"/>
    <n v="4"/>
    <n v="14"/>
    <n v="1"/>
    <n v="0"/>
  </r>
  <r>
    <x v="7"/>
    <n v="0.2"/>
    <n v="37"/>
    <n v="305"/>
    <n v="229"/>
    <n v="75.081967213114751"/>
    <n v="1"/>
    <s v="D"/>
    <n v="0"/>
    <s v="D"/>
    <n v="3"/>
    <n v="2"/>
    <n v="9"/>
    <n v="5"/>
    <n v="3"/>
    <n v="0"/>
  </r>
  <r>
    <x v="1"/>
    <n v="1.1000000000000001"/>
    <n v="27"/>
    <n v="237"/>
    <n v="167"/>
    <n v="70.46413502109705"/>
    <n v="2"/>
    <s v="D"/>
    <n v="2"/>
    <s v="A"/>
    <n v="13"/>
    <n v="4"/>
    <n v="7"/>
    <n v="4"/>
    <n v="2"/>
    <n v="0"/>
  </r>
  <r>
    <x v="6"/>
    <n v="1.4"/>
    <n v="45"/>
    <n v="435"/>
    <n v="362"/>
    <n v="83.218390804597703"/>
    <n v="1"/>
    <s v="H"/>
    <n v="0"/>
    <s v="H"/>
    <n v="11"/>
    <n v="4"/>
    <n v="8"/>
    <n v="3"/>
    <n v="2"/>
    <n v="0"/>
  </r>
  <r>
    <x v="15"/>
    <n v="2"/>
    <n v="63"/>
    <n v="619"/>
    <n v="534"/>
    <n v="86.268174474959608"/>
    <n v="2"/>
    <s v="H"/>
    <n v="0"/>
    <s v="H"/>
    <n v="11"/>
    <n v="4"/>
    <n v="15"/>
    <n v="4"/>
    <n v="2"/>
    <n v="0"/>
  </r>
  <r>
    <x v="0"/>
    <n v="0.7"/>
    <n v="52"/>
    <n v="504"/>
    <n v="406"/>
    <n v="80.555555555555557"/>
    <n v="1"/>
    <s v="H"/>
    <n v="1"/>
    <s v="D"/>
    <n v="9"/>
    <n v="5"/>
    <n v="9"/>
    <n v="2"/>
    <n v="2"/>
    <n v="0"/>
  </r>
  <r>
    <x v="12"/>
    <n v="1"/>
    <n v="59"/>
    <n v="534"/>
    <n v="419"/>
    <n v="78.464419475655433"/>
    <n v="0"/>
    <s v="H"/>
    <n v="0"/>
    <s v="H"/>
    <n v="12"/>
    <n v="7"/>
    <n v="10"/>
    <n v="9"/>
    <n v="2"/>
    <n v="0"/>
  </r>
  <r>
    <x v="11"/>
    <n v="2"/>
    <n v="41"/>
    <n v="397"/>
    <n v="303"/>
    <n v="76.322418136020147"/>
    <n v="0"/>
    <s v="H"/>
    <n v="0"/>
    <s v="H"/>
    <n v="11"/>
    <n v="4"/>
    <n v="15"/>
    <n v="4"/>
    <n v="3"/>
    <n v="0"/>
  </r>
  <r>
    <x v="10"/>
    <n v="1.4"/>
    <n v="53"/>
    <n v="527"/>
    <n v="433"/>
    <n v="82.163187855787484"/>
    <n v="2"/>
    <s v="H"/>
    <n v="1"/>
    <s v="D"/>
    <n v="12"/>
    <n v="3"/>
    <n v="11"/>
    <n v="8"/>
    <n v="3"/>
    <n v="1"/>
  </r>
  <r>
    <x v="17"/>
    <n v="0.7"/>
    <n v="71"/>
    <n v="623"/>
    <n v="528"/>
    <n v="84.75120385232745"/>
    <n v="0"/>
    <s v="D"/>
    <n v="0"/>
    <s v="D"/>
    <n v="15"/>
    <n v="4"/>
    <n v="10"/>
    <n v="4"/>
    <n v="4"/>
    <n v="0"/>
  </r>
  <r>
    <x v="13"/>
    <n v="2"/>
    <n v="67"/>
    <n v="711"/>
    <n v="620"/>
    <n v="87.201125175808727"/>
    <n v="2"/>
    <s v="A"/>
    <n v="0"/>
    <s v="D"/>
    <n v="12"/>
    <n v="7"/>
    <n v="6"/>
    <n v="5"/>
    <n v="0"/>
    <n v="0"/>
  </r>
  <r>
    <x v="14"/>
    <n v="0.6"/>
    <n v="48"/>
    <n v="488"/>
    <n v="408"/>
    <n v="83.606557377049185"/>
    <n v="1"/>
    <s v="D"/>
    <n v="0"/>
    <s v="D"/>
    <n v="15"/>
    <n v="4"/>
    <n v="13"/>
    <n v="5"/>
    <n v="1"/>
    <n v="0"/>
  </r>
  <r>
    <x v="4"/>
    <n v="1"/>
    <n v="52"/>
    <n v="467"/>
    <n v="387"/>
    <n v="82.869379014989292"/>
    <n v="1"/>
    <s v="H"/>
    <n v="1"/>
    <s v="D"/>
    <n v="10"/>
    <n v="3"/>
    <n v="12"/>
    <n v="7"/>
    <n v="3"/>
    <n v="0"/>
  </r>
  <r>
    <x v="8"/>
    <n v="0.9"/>
    <n v="59"/>
    <n v="578"/>
    <n v="492"/>
    <n v="85.121107266435985"/>
    <n v="2"/>
    <s v="A"/>
    <n v="0"/>
    <s v="H"/>
    <n v="13"/>
    <n v="8"/>
    <n v="9"/>
    <n v="4"/>
    <n v="3"/>
    <n v="0"/>
  </r>
  <r>
    <x v="2"/>
    <n v="2.4"/>
    <n v="75"/>
    <n v="790"/>
    <n v="707"/>
    <n v="89.493670886075947"/>
    <n v="4"/>
    <s v="A"/>
    <n v="2"/>
    <s v="A"/>
    <n v="24"/>
    <n v="7"/>
    <n v="7"/>
    <n v="12"/>
    <n v="0"/>
    <n v="0"/>
  </r>
  <r>
    <x v="18"/>
    <n v="0.2"/>
    <n v="41"/>
    <n v="415"/>
    <n v="332"/>
    <n v="80"/>
    <n v="1"/>
    <s v="A"/>
    <n v="0"/>
    <s v="D"/>
    <n v="4"/>
    <n v="2"/>
    <n v="18"/>
    <n v="2"/>
    <n v="3"/>
    <n v="0"/>
  </r>
  <r>
    <x v="19"/>
    <n v="2.5"/>
    <n v="58"/>
    <n v="562"/>
    <n v="467"/>
    <n v="83.09608540925268"/>
    <n v="1"/>
    <s v="A"/>
    <n v="0"/>
    <s v="D"/>
    <n v="28"/>
    <n v="10"/>
    <n v="7"/>
    <n v="13"/>
    <n v="2"/>
    <n v="0"/>
  </r>
  <r>
    <x v="5"/>
    <n v="0.5"/>
    <n v="31"/>
    <n v="275"/>
    <n v="185"/>
    <n v="67.272727272727266"/>
    <n v="2"/>
    <s v="A"/>
    <n v="2"/>
    <s v="A"/>
    <n v="4"/>
    <n v="3"/>
    <n v="12"/>
    <n v="1"/>
    <n v="4"/>
    <n v="0"/>
  </r>
  <r>
    <x v="16"/>
    <n v="1.8"/>
    <n v="39"/>
    <n v="342"/>
    <n v="272"/>
    <n v="79.532163742690059"/>
    <n v="1"/>
    <s v="H"/>
    <n v="1"/>
    <s v="D"/>
    <n v="7"/>
    <n v="3"/>
    <n v="10"/>
    <n v="2"/>
    <n v="3"/>
    <n v="0"/>
  </r>
  <r>
    <x v="11"/>
    <n v="1.7"/>
    <n v="33"/>
    <n v="367"/>
    <n v="297"/>
    <n v="80.926430517711168"/>
    <n v="2"/>
    <s v="D"/>
    <n v="1"/>
    <s v="H"/>
    <n v="15"/>
    <n v="4"/>
    <n v="6"/>
    <n v="6"/>
    <n v="1"/>
    <n v="0"/>
  </r>
  <r>
    <x v="3"/>
    <n v="0.4"/>
    <n v="45"/>
    <n v="460"/>
    <n v="378"/>
    <n v="82.173913043478265"/>
    <n v="0"/>
    <s v="H"/>
    <n v="0"/>
    <s v="H"/>
    <n v="6"/>
    <n v="3"/>
    <n v="11"/>
    <n v="2"/>
    <n v="0"/>
    <n v="0"/>
  </r>
  <r>
    <x v="6"/>
    <n v="1.3"/>
    <n v="47"/>
    <n v="511"/>
    <n v="441"/>
    <n v="86.301369863013704"/>
    <n v="2"/>
    <s v="H"/>
    <n v="0"/>
    <s v="H"/>
    <n v="12"/>
    <n v="4"/>
    <n v="9"/>
    <n v="1"/>
    <n v="1"/>
    <n v="0"/>
  </r>
  <r>
    <x v="1"/>
    <n v="0.1"/>
    <n v="23"/>
    <n v="206"/>
    <n v="134"/>
    <n v="65.048543689320397"/>
    <n v="0"/>
    <s v="H"/>
    <n v="0"/>
    <s v="H"/>
    <n v="4"/>
    <n v="0"/>
    <n v="9"/>
    <n v="2"/>
    <n v="2"/>
    <n v="1"/>
  </r>
  <r>
    <x v="12"/>
    <n v="2.4"/>
    <n v="65"/>
    <n v="622"/>
    <n v="517"/>
    <n v="83.118971061093248"/>
    <n v="2"/>
    <s v="A"/>
    <n v="0"/>
    <s v="H"/>
    <n v="26"/>
    <n v="5"/>
    <n v="12"/>
    <n v="13"/>
    <n v="1"/>
    <n v="0"/>
  </r>
  <r>
    <x v="9"/>
    <n v="1.1000000000000001"/>
    <n v="44"/>
    <n v="510"/>
    <n v="424"/>
    <n v="83.137254901960787"/>
    <n v="0"/>
    <s v="H"/>
    <n v="0"/>
    <s v="H"/>
    <n v="8"/>
    <n v="2"/>
    <n v="17"/>
    <n v="2"/>
    <n v="4"/>
    <n v="0"/>
  </r>
  <r>
    <x v="0"/>
    <n v="2.2999999999999998"/>
    <n v="61"/>
    <n v="522"/>
    <n v="416"/>
    <n v="79.693486590038304"/>
    <n v="1"/>
    <s v="D"/>
    <n v="0"/>
    <s v="H"/>
    <n v="25"/>
    <n v="6"/>
    <n v="12"/>
    <n v="10"/>
    <n v="2"/>
    <n v="0"/>
  </r>
  <r>
    <x v="15"/>
    <n v="0.5"/>
    <n v="39"/>
    <n v="359"/>
    <n v="260"/>
    <n v="72.423398328690809"/>
    <n v="1"/>
    <s v="H"/>
    <n v="1"/>
    <s v="H"/>
    <n v="8"/>
    <n v="3"/>
    <n v="9"/>
    <n v="2"/>
    <n v="1"/>
    <n v="0"/>
  </r>
  <r>
    <x v="7"/>
    <n v="1.3"/>
    <n v="45"/>
    <n v="353"/>
    <n v="264"/>
    <n v="74.787535410764875"/>
    <n v="2"/>
    <s v="A"/>
    <n v="1"/>
    <s v="A"/>
    <n v="11"/>
    <n v="3"/>
    <n v="12"/>
    <n v="5"/>
    <n v="5"/>
    <n v="0"/>
  </r>
  <r>
    <x v="18"/>
    <n v="0.4"/>
    <n v="37"/>
    <n v="417"/>
    <n v="342"/>
    <n v="82.014388489208628"/>
    <n v="0"/>
    <s v="H"/>
    <n v="0"/>
    <s v="H"/>
    <n v="6"/>
    <n v="1"/>
    <n v="11"/>
    <n v="5"/>
    <n v="0"/>
    <n v="0"/>
  </r>
  <r>
    <x v="12"/>
    <n v="0.9"/>
    <n v="48"/>
    <n v="439"/>
    <n v="375"/>
    <n v="85.421412300683372"/>
    <n v="0"/>
    <s v="H"/>
    <n v="0"/>
    <s v="H"/>
    <n v="11"/>
    <n v="3"/>
    <n v="17"/>
    <n v="3"/>
    <n v="5"/>
    <n v="0"/>
  </r>
  <r>
    <x v="1"/>
    <n v="0.8"/>
    <n v="42"/>
    <n v="390"/>
    <n v="323"/>
    <n v="82.820512820512832"/>
    <n v="2"/>
    <s v="D"/>
    <n v="1"/>
    <s v="H"/>
    <n v="12"/>
    <n v="5"/>
    <n v="15"/>
    <n v="3"/>
    <n v="4"/>
    <n v="0"/>
  </r>
  <r>
    <x v="14"/>
    <n v="0.5"/>
    <n v="51"/>
    <n v="493"/>
    <n v="419"/>
    <n v="84.989858012170387"/>
    <n v="0"/>
    <s v="H"/>
    <n v="0"/>
    <s v="H"/>
    <n v="8"/>
    <n v="2"/>
    <n v="13"/>
    <n v="7"/>
    <n v="3"/>
    <n v="0"/>
  </r>
  <r>
    <x v="17"/>
    <n v="0.9"/>
    <n v="49"/>
    <n v="447"/>
    <n v="365"/>
    <n v="81.655480984340045"/>
    <n v="2"/>
    <s v="A"/>
    <n v="0"/>
    <s v="H"/>
    <n v="9"/>
    <n v="2"/>
    <n v="16"/>
    <n v="3"/>
    <n v="2"/>
    <n v="0"/>
  </r>
  <r>
    <x v="0"/>
    <n v="1.5"/>
    <n v="53"/>
    <n v="510"/>
    <n v="416"/>
    <n v="81.568627450980387"/>
    <n v="3"/>
    <s v="H"/>
    <n v="1"/>
    <s v="H"/>
    <n v="14"/>
    <n v="5"/>
    <n v="10"/>
    <n v="4"/>
    <n v="2"/>
    <n v="0"/>
  </r>
  <r>
    <x v="4"/>
    <n v="1.7"/>
    <n v="55"/>
    <n v="490"/>
    <n v="401"/>
    <n v="81.83673469387756"/>
    <n v="1"/>
    <s v="D"/>
    <n v="0"/>
    <s v="H"/>
    <n v="13"/>
    <n v="5"/>
    <n v="10"/>
    <n v="4"/>
    <n v="1"/>
    <n v="0"/>
  </r>
  <r>
    <x v="15"/>
    <n v="0.8"/>
    <n v="45"/>
    <n v="403"/>
    <n v="285"/>
    <n v="70.719602977667492"/>
    <n v="1"/>
    <s v="D"/>
    <n v="1"/>
    <s v="D"/>
    <n v="7"/>
    <n v="2"/>
    <n v="15"/>
    <n v="3"/>
    <n v="2"/>
    <n v="0"/>
  </r>
  <r>
    <x v="19"/>
    <n v="1"/>
    <n v="64"/>
    <n v="700"/>
    <n v="611"/>
    <n v="87.285714285714292"/>
    <n v="1"/>
    <s v="H"/>
    <n v="0"/>
    <s v="H"/>
    <n v="11"/>
    <n v="2"/>
    <n v="11"/>
    <n v="6"/>
    <n v="2"/>
    <n v="0"/>
  </r>
  <r>
    <x v="5"/>
    <n v="0.7"/>
    <n v="50"/>
    <n v="448"/>
    <n v="353"/>
    <n v="78.794642857142861"/>
    <n v="1"/>
    <s v="D"/>
    <n v="0"/>
    <s v="D"/>
    <n v="12"/>
    <n v="4"/>
    <n v="15"/>
    <n v="4"/>
    <n v="8"/>
    <n v="0"/>
  </r>
  <r>
    <x v="3"/>
    <n v="1.1000000000000001"/>
    <n v="36"/>
    <n v="346"/>
    <n v="264"/>
    <n v="76.300578034682076"/>
    <n v="3"/>
    <s v="A"/>
    <n v="1"/>
    <s v="D"/>
    <n v="11"/>
    <n v="7"/>
    <n v="9"/>
    <n v="5"/>
    <n v="0"/>
    <n v="0"/>
  </r>
  <r>
    <x v="7"/>
    <n v="1.4"/>
    <n v="51"/>
    <n v="416"/>
    <n v="331"/>
    <n v="79.567307692307693"/>
    <n v="1"/>
    <s v="A"/>
    <n v="1"/>
    <s v="A"/>
    <n v="15"/>
    <n v="5"/>
    <n v="12"/>
    <n v="6"/>
    <n v="4"/>
    <n v="0"/>
  </r>
  <r>
    <x v="13"/>
    <n v="1.7"/>
    <n v="72"/>
    <n v="707"/>
    <n v="604"/>
    <n v="85.431400282885434"/>
    <n v="0"/>
    <s v="D"/>
    <n v="0"/>
    <s v="D"/>
    <n v="26"/>
    <n v="5"/>
    <n v="8"/>
    <n v="15"/>
    <n v="0"/>
    <n v="0"/>
  </r>
  <r>
    <x v="10"/>
    <n v="1.6"/>
    <n v="44"/>
    <n v="456"/>
    <n v="372"/>
    <n v="81.578947368421055"/>
    <n v="2"/>
    <s v="A"/>
    <n v="1"/>
    <s v="A"/>
    <n v="7"/>
    <n v="2"/>
    <n v="12"/>
    <n v="4"/>
    <n v="1"/>
    <n v="0"/>
  </r>
  <r>
    <x v="16"/>
    <n v="1"/>
    <n v="34"/>
    <n v="284"/>
    <n v="188"/>
    <n v="66.197183098591552"/>
    <n v="1"/>
    <s v="A"/>
    <n v="1"/>
    <s v="A"/>
    <n v="6"/>
    <n v="3"/>
    <n v="12"/>
    <n v="0"/>
    <n v="3"/>
    <n v="1"/>
  </r>
  <r>
    <x v="8"/>
    <n v="0.7"/>
    <n v="55"/>
    <n v="540"/>
    <n v="455"/>
    <n v="84.259259259259252"/>
    <n v="0"/>
    <s v="H"/>
    <n v="0"/>
    <s v="H"/>
    <n v="10"/>
    <n v="3"/>
    <n v="13"/>
    <n v="8"/>
    <n v="2"/>
    <n v="1"/>
  </r>
  <r>
    <x v="6"/>
    <n v="1.7"/>
    <n v="48"/>
    <n v="505"/>
    <n v="422"/>
    <n v="83.56435643564356"/>
    <n v="2"/>
    <s v="A"/>
    <n v="1"/>
    <s v="A"/>
    <n v="9"/>
    <n v="4"/>
    <n v="13"/>
    <n v="5"/>
    <n v="1"/>
    <n v="0"/>
  </r>
  <r>
    <x v="9"/>
    <n v="1.1000000000000001"/>
    <n v="45"/>
    <n v="385"/>
    <n v="298"/>
    <n v="77.402597402597408"/>
    <n v="2"/>
    <s v="D"/>
    <n v="1"/>
    <s v="D"/>
    <n v="10"/>
    <n v="6"/>
    <n v="11"/>
    <n v="4"/>
    <n v="3"/>
    <n v="0"/>
  </r>
  <r>
    <x v="11"/>
    <n v="3.3"/>
    <n v="52"/>
    <n v="455"/>
    <n v="359"/>
    <n v="78.901098901098905"/>
    <n v="2"/>
    <s v="A"/>
    <n v="1"/>
    <s v="A"/>
    <n v="23"/>
    <n v="10"/>
    <n v="10"/>
    <n v="8"/>
    <n v="1"/>
    <n v="0"/>
  </r>
  <r>
    <x v="2"/>
    <n v="2.6"/>
    <n v="55"/>
    <n v="478"/>
    <n v="402"/>
    <n v="84.10041841004184"/>
    <n v="2"/>
    <s v="D"/>
    <n v="0"/>
    <s v="H"/>
    <n v="15"/>
    <n v="7"/>
    <n v="10"/>
    <n v="1"/>
    <n v="1"/>
    <n v="1"/>
  </r>
  <r>
    <x v="15"/>
    <n v="0.5"/>
    <n v="33"/>
    <n v="305"/>
    <n v="241"/>
    <n v="79.016393442622942"/>
    <n v="0"/>
    <s v="H"/>
    <n v="0"/>
    <s v="D"/>
    <n v="3"/>
    <n v="1"/>
    <n v="12"/>
    <n v="1"/>
    <n v="2"/>
    <n v="0"/>
  </r>
  <r>
    <x v="0"/>
    <n v="0.3"/>
    <n v="53"/>
    <n v="505"/>
    <n v="405"/>
    <n v="80.198019801980209"/>
    <n v="0"/>
    <s v="H"/>
    <n v="0"/>
    <s v="D"/>
    <n v="4"/>
    <n v="1"/>
    <n v="14"/>
    <n v="2"/>
    <n v="6"/>
    <n v="0"/>
  </r>
  <r>
    <x v="14"/>
    <n v="1.2"/>
    <n v="50"/>
    <n v="543"/>
    <n v="463"/>
    <n v="85.267034990791899"/>
    <n v="0"/>
    <s v="H"/>
    <n v="0"/>
    <s v="H"/>
    <n v="6"/>
    <n v="2"/>
    <n v="10"/>
    <n v="5"/>
    <n v="1"/>
    <n v="0"/>
  </r>
  <r>
    <x v="5"/>
    <n v="1.9"/>
    <n v="40"/>
    <n v="371"/>
    <n v="277"/>
    <n v="74.66307277628033"/>
    <n v="2"/>
    <s v="A"/>
    <n v="1"/>
    <s v="A"/>
    <n v="10"/>
    <n v="5"/>
    <n v="7"/>
    <n v="7"/>
    <n v="3"/>
    <n v="0"/>
  </r>
  <r>
    <x v="12"/>
    <n v="1"/>
    <n v="49"/>
    <n v="400"/>
    <n v="328"/>
    <n v="82"/>
    <n v="3"/>
    <s v="A"/>
    <n v="1"/>
    <s v="H"/>
    <n v="16"/>
    <n v="7"/>
    <n v="8"/>
    <n v="3"/>
    <n v="4"/>
    <n v="0"/>
  </r>
  <r>
    <x v="1"/>
    <n v="1.4"/>
    <n v="50"/>
    <n v="478"/>
    <n v="404"/>
    <n v="84.51882845188284"/>
    <n v="0"/>
    <s v="H"/>
    <n v="0"/>
    <s v="H"/>
    <n v="20"/>
    <n v="2"/>
    <n v="12"/>
    <n v="2"/>
    <n v="0"/>
    <n v="0"/>
  </r>
  <r>
    <x v="4"/>
    <n v="1.5"/>
    <n v="49"/>
    <n v="427"/>
    <n v="338"/>
    <n v="79.156908665105391"/>
    <n v="0"/>
    <s v="H"/>
    <n v="0"/>
    <s v="D"/>
    <n v="14"/>
    <n v="5"/>
    <n v="9"/>
    <n v="7"/>
    <n v="3"/>
    <n v="0"/>
  </r>
  <r>
    <x v="19"/>
    <n v="2.2000000000000002"/>
    <n v="51"/>
    <n v="501"/>
    <n v="432"/>
    <n v="86.227544910179645"/>
    <n v="2"/>
    <s v="H"/>
    <n v="2"/>
    <s v="A"/>
    <n v="18"/>
    <n v="5"/>
    <n v="8"/>
    <n v="3"/>
    <n v="0"/>
    <n v="0"/>
  </r>
  <r>
    <x v="18"/>
    <n v="1.4"/>
    <n v="69"/>
    <n v="671"/>
    <n v="577"/>
    <n v="85.991058122205672"/>
    <n v="2"/>
    <s v="H"/>
    <n v="1"/>
    <s v="H"/>
    <n v="12"/>
    <n v="3"/>
    <n v="8"/>
    <n v="10"/>
    <n v="2"/>
    <n v="0"/>
  </r>
  <r>
    <x v="17"/>
    <n v="1.1000000000000001"/>
    <n v="43"/>
    <n v="482"/>
    <n v="401"/>
    <n v="83.195020746887977"/>
    <n v="1"/>
    <s v="H"/>
    <n v="0"/>
    <s v="H"/>
    <n v="8"/>
    <n v="2"/>
    <n v="13"/>
    <n v="1"/>
    <n v="3"/>
    <n v="1"/>
  </r>
  <r>
    <x v="9"/>
    <n v="0.3"/>
    <n v="37"/>
    <n v="322"/>
    <n v="234"/>
    <n v="72.67080745341616"/>
    <n v="0"/>
    <s v="H"/>
    <n v="0"/>
    <s v="D"/>
    <n v="3"/>
    <n v="0"/>
    <n v="16"/>
    <n v="1"/>
    <n v="2"/>
    <n v="0"/>
  </r>
  <r>
    <x v="13"/>
    <n v="3"/>
    <n v="53"/>
    <n v="539"/>
    <n v="448"/>
    <n v="83.116883116883116"/>
    <n v="2"/>
    <s v="A"/>
    <n v="1"/>
    <s v="A"/>
    <n v="20"/>
    <n v="5"/>
    <n v="5"/>
    <n v="6"/>
    <n v="0"/>
    <n v="0"/>
  </r>
  <r>
    <x v="6"/>
    <n v="1.1000000000000001"/>
    <n v="58"/>
    <n v="654"/>
    <n v="564"/>
    <n v="86.238532110091754"/>
    <n v="3"/>
    <s v="A"/>
    <n v="1"/>
    <s v="A"/>
    <n v="10"/>
    <n v="6"/>
    <n v="9"/>
    <n v="0"/>
    <n v="1"/>
    <n v="0"/>
  </r>
  <r>
    <x v="11"/>
    <n v="1.8"/>
    <n v="31"/>
    <n v="319"/>
    <n v="224"/>
    <n v="70.219435736677113"/>
    <n v="1"/>
    <s v="D"/>
    <n v="1"/>
    <s v="A"/>
    <n v="8"/>
    <n v="5"/>
    <n v="10"/>
    <n v="0"/>
    <n v="0"/>
    <n v="0"/>
  </r>
  <r>
    <x v="16"/>
    <n v="0.4"/>
    <n v="33"/>
    <n v="322"/>
    <n v="223"/>
    <n v="69.254658385093165"/>
    <n v="0"/>
    <s v="H"/>
    <n v="0"/>
    <s v="D"/>
    <n v="6"/>
    <n v="1"/>
    <n v="10"/>
    <n v="3"/>
    <n v="2"/>
    <n v="1"/>
  </r>
  <r>
    <x v="3"/>
    <n v="1.2"/>
    <n v="35"/>
    <n v="318"/>
    <n v="240"/>
    <n v="75.471698113207552"/>
    <n v="1"/>
    <s v="A"/>
    <n v="0"/>
    <s v="D"/>
    <n v="14"/>
    <n v="6"/>
    <n v="9"/>
    <n v="3"/>
    <n v="4"/>
    <n v="0"/>
  </r>
  <r>
    <x v="8"/>
    <n v="1.1000000000000001"/>
    <n v="48"/>
    <n v="443"/>
    <n v="347"/>
    <n v="78.329571106094804"/>
    <n v="1"/>
    <s v="A"/>
    <n v="0"/>
    <s v="D"/>
    <n v="6"/>
    <n v="2"/>
    <n v="11"/>
    <n v="4"/>
    <n v="2"/>
    <n v="0"/>
  </r>
  <r>
    <x v="2"/>
    <n v="2.2999999999999998"/>
    <n v="62"/>
    <n v="581"/>
    <n v="509"/>
    <n v="87.607573149741825"/>
    <n v="2"/>
    <s v="A"/>
    <n v="1"/>
    <s v="A"/>
    <n v="23"/>
    <n v="8"/>
    <n v="8"/>
    <n v="8"/>
    <n v="0"/>
    <n v="0"/>
  </r>
  <r>
    <x v="10"/>
    <n v="2.2000000000000002"/>
    <n v="66"/>
    <n v="592"/>
    <n v="509"/>
    <n v="85.979729729729726"/>
    <n v="4"/>
    <s v="A"/>
    <n v="0"/>
    <s v="H"/>
    <n v="23"/>
    <n v="8"/>
    <n v="8"/>
    <n v="11"/>
    <n v="1"/>
    <n v="0"/>
  </r>
  <r>
    <x v="7"/>
    <n v="1.4"/>
    <n v="51"/>
    <n v="490"/>
    <n v="402"/>
    <n v="82.040816326530603"/>
    <n v="1"/>
    <s v="D"/>
    <n v="1"/>
    <s v="A"/>
    <n v="13"/>
    <n v="7"/>
    <n v="9"/>
    <n v="3"/>
    <n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CE49B4-1B4B-4651-B2D4-DC8EE2A1CE11}" name="PivotTable1" cacheId="0" applyNumberFormats="0" applyBorderFormats="0" applyFontFormats="0" applyPatternFormats="0" applyAlignmentFormats="0" applyWidthHeightFormats="1" dataCaption="Values" grandTotalCaption="Avg" updatedVersion="8" minRefreshableVersion="3" useAutoFormatting="1" itemPrintTitles="1" createdVersion="8" indent="0" outline="1" outlineData="1" multipleFieldFilters="0">
  <location ref="A1:L22" firstHeaderRow="0" firstDataRow="1" firstDataCol="1"/>
  <pivotFields count="16">
    <pivotField axis="axisRow" showAll="0">
      <items count="21">
        <item x="2"/>
        <item x="16"/>
        <item x="17"/>
        <item x="7"/>
        <item x="10"/>
        <item x="8"/>
        <item x="11"/>
        <item x="3"/>
        <item x="12"/>
        <item x="1"/>
        <item x="9"/>
        <item x="19"/>
        <item x="13"/>
        <item x="0"/>
        <item x="4"/>
        <item x="5"/>
        <item x="14"/>
        <item x="15"/>
        <item x="6"/>
        <item x="18"/>
        <item t="default"/>
      </items>
    </pivotField>
    <pivotField dataField="1" showAll="0"/>
    <pivotField dataField="1" showAll="0"/>
    <pivotField dataField="1" showAll="0"/>
    <pivotField dataField="1" showAll="0"/>
    <pivotField dataField="1" numFmtId="166"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dataFields count="11">
    <dataField name="Average of HxG" fld="1" subtotal="average" baseField="0" baseItem="0"/>
    <dataField name="Average of HPoss" fld="2" subtotal="average" baseField="0" baseItem="0" numFmtId="166"/>
    <dataField name="Average of HTP" fld="3" subtotal="average" baseField="0" baseItem="0"/>
    <dataField name="Average of HSP" fld="4" subtotal="average" baseField="0" baseItem="0"/>
    <dataField name="Average of HS" fld="10" subtotal="average" baseField="0" baseItem="0"/>
    <dataField name="Average of HST" fld="11" subtotal="average" baseField="0" baseItem="0"/>
    <dataField name="Average of HF" fld="12" subtotal="average" baseField="0" baseItem="0"/>
    <dataField name="Average of HC" fld="13" subtotal="average" baseField="0" baseItem="3"/>
    <dataField name="Average of HY" fld="14" subtotal="average" baseField="0" baseItem="3"/>
    <dataField name="Average of HR" fld="15" subtotal="average" baseField="0" baseItem="3"/>
    <dataField name="Average of Prate" fld="5" subtotal="average" baseField="0" baseItem="0" numFmtId="166"/>
  </dataFields>
  <formats count="4">
    <format dxfId="6">
      <pivotArea collapsedLevelsAreSubtotals="1" fieldPosition="0">
        <references count="1">
          <reference field="0" count="0"/>
        </references>
      </pivotArea>
    </format>
    <format dxfId="5">
      <pivotArea grandRow="1" outline="0" collapsedLevelsAreSubtotals="1" fieldPosition="0"/>
    </format>
    <format dxfId="4">
      <pivotArea outline="0" collapsedLevelsAreSubtotals="1" fieldPosition="0">
        <references count="1">
          <reference field="4294967294" count="1" selected="0">
            <x v="10"/>
          </reference>
        </references>
      </pivotArea>
    </format>
    <format dxfId="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DF6F00-7127-46EF-9305-CD3BFA12EB23}" name="PivotTable1" cacheId="0" applyNumberFormats="0" applyBorderFormats="0" applyFontFormats="0" applyPatternFormats="0" applyAlignmentFormats="0" applyWidthHeightFormats="1" dataCaption="Values" grandTotalCaption="Avg" updatedVersion="8" minRefreshableVersion="3" useAutoFormatting="1" itemPrintTitles="1" createdVersion="8" indent="0" outline="1" outlineData="1" multipleFieldFilters="0">
  <location ref="A1:I22" firstHeaderRow="0" firstDataRow="1" firstDataCol="1"/>
  <pivotFields count="16">
    <pivotField axis="axisRow" showAll="0">
      <items count="21">
        <item x="2"/>
        <item x="16"/>
        <item x="17"/>
        <item x="7"/>
        <item x="10"/>
        <item x="8"/>
        <item x="11"/>
        <item x="3"/>
        <item x="12"/>
        <item x="1"/>
        <item x="9"/>
        <item x="19"/>
        <item x="13"/>
        <item x="0"/>
        <item x="4"/>
        <item x="5"/>
        <item x="14"/>
        <item x="15"/>
        <item x="6"/>
        <item x="18"/>
        <item t="default"/>
      </items>
    </pivotField>
    <pivotField dataField="1" showAll="0"/>
    <pivotField dataField="1" showAll="0"/>
    <pivotField dataField="1" showAll="0"/>
    <pivotField dataField="1" showAll="0"/>
    <pivotField numFmtId="166"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Average of HxG" fld="1" subtotal="average" baseField="0" baseItem="0"/>
    <dataField name="Average of HPoss" fld="2" subtotal="average" baseField="0" baseItem="0" numFmtId="166"/>
    <dataField name="Average of HTP" fld="3" subtotal="average" baseField="0" baseItem="0"/>
    <dataField name="Average of HSP" fld="4" subtotal="average" baseField="0" baseItem="0"/>
    <dataField name="Average of HS" fld="10" subtotal="average" baseField="0" baseItem="0"/>
    <dataField name="Average of HST" fld="11" subtotal="average" baseField="0" baseItem="0"/>
    <dataField name="Average of HF" fld="12" subtotal="average" baseField="0" baseItem="0"/>
    <dataField name="Average of HC" fld="13" subtotal="average" baseField="0" baseItem="3"/>
  </dataFields>
  <formats count="3">
    <format dxfId="2">
      <pivotArea collapsedLevelsAreSubtotals="1" fieldPosition="0">
        <references count="1">
          <reference field="0" count="0"/>
        </references>
      </pivotArea>
    </format>
    <format dxfId="1">
      <pivotArea grandRow="1" outline="0" collapsedLevelsAreSubtotals="1" fieldPosition="0"/>
    </format>
    <format dxfId="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81"/>
  <sheetViews>
    <sheetView zoomScale="85" zoomScaleNormal="85" workbookViewId="0">
      <selection activeCell="AH15" sqref="AH15"/>
    </sheetView>
  </sheetViews>
  <sheetFormatPr defaultRowHeight="15" x14ac:dyDescent="0.25"/>
  <cols>
    <col min="2" max="2" width="18.285156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s="2">
        <v>45520</v>
      </c>
      <c r="C2" t="s">
        <v>32</v>
      </c>
      <c r="D2" t="s">
        <v>33</v>
      </c>
      <c r="E2" t="s">
        <v>34</v>
      </c>
      <c r="F2">
        <v>2.4</v>
      </c>
      <c r="G2">
        <v>0.4</v>
      </c>
      <c r="H2">
        <v>55</v>
      </c>
      <c r="I2">
        <v>45</v>
      </c>
      <c r="J2">
        <v>524</v>
      </c>
      <c r="K2">
        <v>424</v>
      </c>
      <c r="L2">
        <v>430</v>
      </c>
      <c r="M2">
        <v>329</v>
      </c>
      <c r="N2">
        <v>1</v>
      </c>
      <c r="O2">
        <v>0</v>
      </c>
      <c r="P2" t="s">
        <v>35</v>
      </c>
      <c r="Q2">
        <v>0</v>
      </c>
      <c r="R2">
        <v>0</v>
      </c>
      <c r="S2" t="s">
        <v>36</v>
      </c>
      <c r="T2">
        <v>14</v>
      </c>
      <c r="U2">
        <v>10</v>
      </c>
      <c r="V2">
        <v>5</v>
      </c>
      <c r="W2">
        <v>2</v>
      </c>
      <c r="X2">
        <v>12</v>
      </c>
      <c r="Y2">
        <v>10</v>
      </c>
      <c r="Z2">
        <v>7</v>
      </c>
      <c r="AA2">
        <v>8</v>
      </c>
      <c r="AB2">
        <v>2</v>
      </c>
      <c r="AC2">
        <v>3</v>
      </c>
      <c r="AD2">
        <v>0</v>
      </c>
      <c r="AE2">
        <v>0</v>
      </c>
    </row>
    <row r="3" spans="1:31" x14ac:dyDescent="0.25">
      <c r="A3" t="s">
        <v>31</v>
      </c>
      <c r="B3" s="2">
        <v>45521</v>
      </c>
      <c r="C3" t="s">
        <v>37</v>
      </c>
      <c r="D3" t="s">
        <v>38</v>
      </c>
      <c r="E3" t="s">
        <v>39</v>
      </c>
      <c r="F3">
        <v>0.5</v>
      </c>
      <c r="G3">
        <v>2.6</v>
      </c>
      <c r="H3">
        <v>38</v>
      </c>
      <c r="I3">
        <v>62</v>
      </c>
      <c r="J3">
        <v>381</v>
      </c>
      <c r="K3">
        <v>620</v>
      </c>
      <c r="L3">
        <v>290</v>
      </c>
      <c r="M3">
        <v>520</v>
      </c>
      <c r="N3">
        <v>0</v>
      </c>
      <c r="O3">
        <v>2</v>
      </c>
      <c r="P3" t="s">
        <v>40</v>
      </c>
      <c r="Q3">
        <v>0</v>
      </c>
      <c r="R3">
        <v>0</v>
      </c>
      <c r="S3" t="s">
        <v>36</v>
      </c>
      <c r="T3">
        <v>7</v>
      </c>
      <c r="U3">
        <v>18</v>
      </c>
      <c r="V3">
        <v>2</v>
      </c>
      <c r="W3">
        <v>5</v>
      </c>
      <c r="X3">
        <v>9</v>
      </c>
      <c r="Y3">
        <v>18</v>
      </c>
      <c r="Z3">
        <v>2</v>
      </c>
      <c r="AA3">
        <v>10</v>
      </c>
      <c r="AB3">
        <v>3</v>
      </c>
      <c r="AC3">
        <v>1</v>
      </c>
      <c r="AD3">
        <v>0</v>
      </c>
      <c r="AE3">
        <v>0</v>
      </c>
    </row>
    <row r="4" spans="1:31" x14ac:dyDescent="0.25">
      <c r="A4" t="s">
        <v>31</v>
      </c>
      <c r="B4" s="2">
        <v>45521</v>
      </c>
      <c r="C4" t="s">
        <v>41</v>
      </c>
      <c r="D4" t="s">
        <v>42</v>
      </c>
      <c r="E4" t="s">
        <v>43</v>
      </c>
      <c r="F4">
        <v>1.2</v>
      </c>
      <c r="G4">
        <v>0.5</v>
      </c>
      <c r="H4">
        <v>53</v>
      </c>
      <c r="I4">
        <v>47</v>
      </c>
      <c r="J4">
        <v>458</v>
      </c>
      <c r="K4">
        <v>406</v>
      </c>
      <c r="L4">
        <v>382</v>
      </c>
      <c r="M4">
        <v>324</v>
      </c>
      <c r="N4">
        <v>2</v>
      </c>
      <c r="O4">
        <v>0</v>
      </c>
      <c r="P4" t="s">
        <v>35</v>
      </c>
      <c r="Q4">
        <v>1</v>
      </c>
      <c r="R4">
        <v>0</v>
      </c>
      <c r="S4" t="s">
        <v>35</v>
      </c>
      <c r="T4">
        <v>18</v>
      </c>
      <c r="U4">
        <v>9</v>
      </c>
      <c r="V4">
        <v>6</v>
      </c>
      <c r="W4">
        <v>3</v>
      </c>
      <c r="X4">
        <v>17</v>
      </c>
      <c r="Y4">
        <v>14</v>
      </c>
      <c r="Z4">
        <v>8</v>
      </c>
      <c r="AA4">
        <v>2</v>
      </c>
      <c r="AB4">
        <v>2</v>
      </c>
      <c r="AC4">
        <v>2</v>
      </c>
      <c r="AD4">
        <v>0</v>
      </c>
      <c r="AE4">
        <v>0</v>
      </c>
    </row>
    <row r="5" spans="1:31" x14ac:dyDescent="0.25">
      <c r="A5" t="s">
        <v>31</v>
      </c>
      <c r="B5" s="2">
        <v>45521</v>
      </c>
      <c r="C5" t="s">
        <v>41</v>
      </c>
      <c r="D5" t="s">
        <v>44</v>
      </c>
      <c r="E5" t="s">
        <v>45</v>
      </c>
      <c r="F5">
        <v>0.5</v>
      </c>
      <c r="G5">
        <v>1.4</v>
      </c>
      <c r="H5">
        <v>40</v>
      </c>
      <c r="I5">
        <v>60</v>
      </c>
      <c r="J5">
        <v>399</v>
      </c>
      <c r="K5">
        <v>605</v>
      </c>
      <c r="L5">
        <v>298</v>
      </c>
      <c r="M5">
        <v>510</v>
      </c>
      <c r="N5">
        <v>0</v>
      </c>
      <c r="O5">
        <v>3</v>
      </c>
      <c r="P5" t="s">
        <v>40</v>
      </c>
      <c r="Q5">
        <v>0</v>
      </c>
      <c r="R5">
        <v>1</v>
      </c>
      <c r="S5" t="s">
        <v>40</v>
      </c>
      <c r="T5">
        <v>9</v>
      </c>
      <c r="U5">
        <v>10</v>
      </c>
      <c r="V5">
        <v>1</v>
      </c>
      <c r="W5">
        <v>5</v>
      </c>
      <c r="X5">
        <v>8</v>
      </c>
      <c r="Y5">
        <v>8</v>
      </c>
      <c r="Z5">
        <v>1</v>
      </c>
      <c r="AA5">
        <v>5</v>
      </c>
      <c r="AB5">
        <v>1</v>
      </c>
      <c r="AC5">
        <v>1</v>
      </c>
      <c r="AD5">
        <v>1</v>
      </c>
      <c r="AE5">
        <v>0</v>
      </c>
    </row>
    <row r="6" spans="1:31" x14ac:dyDescent="0.25">
      <c r="A6" t="s">
        <v>31</v>
      </c>
      <c r="B6" s="2">
        <v>45521</v>
      </c>
      <c r="C6" t="s">
        <v>41</v>
      </c>
      <c r="D6" t="s">
        <v>46</v>
      </c>
      <c r="E6" t="s">
        <v>47</v>
      </c>
      <c r="F6">
        <v>0.3</v>
      </c>
      <c r="G6">
        <v>1.8</v>
      </c>
      <c r="H6">
        <v>23</v>
      </c>
      <c r="I6">
        <v>77</v>
      </c>
      <c r="J6">
        <v>207</v>
      </c>
      <c r="K6">
        <v>702</v>
      </c>
      <c r="L6">
        <v>128</v>
      </c>
      <c r="M6">
        <v>604</v>
      </c>
      <c r="N6">
        <v>1</v>
      </c>
      <c r="O6">
        <v>0</v>
      </c>
      <c r="P6" t="s">
        <v>35</v>
      </c>
      <c r="Q6">
        <v>1</v>
      </c>
      <c r="R6">
        <v>0</v>
      </c>
      <c r="S6" t="s">
        <v>35</v>
      </c>
      <c r="T6">
        <v>3</v>
      </c>
      <c r="U6">
        <v>19</v>
      </c>
      <c r="V6">
        <v>1</v>
      </c>
      <c r="W6">
        <v>4</v>
      </c>
      <c r="X6">
        <v>15</v>
      </c>
      <c r="Y6">
        <v>16</v>
      </c>
      <c r="Z6">
        <v>3</v>
      </c>
      <c r="AA6">
        <v>12</v>
      </c>
      <c r="AB6">
        <v>2</v>
      </c>
      <c r="AC6">
        <v>4</v>
      </c>
      <c r="AD6">
        <v>1</v>
      </c>
      <c r="AE6">
        <v>0</v>
      </c>
    </row>
    <row r="7" spans="1:31" x14ac:dyDescent="0.25">
      <c r="A7" t="s">
        <v>31</v>
      </c>
      <c r="B7" s="2">
        <v>45521</v>
      </c>
      <c r="C7" t="s">
        <v>41</v>
      </c>
      <c r="D7" t="s">
        <v>48</v>
      </c>
      <c r="E7" t="s">
        <v>49</v>
      </c>
      <c r="F7">
        <v>1.3</v>
      </c>
      <c r="G7">
        <v>1.2</v>
      </c>
      <c r="H7">
        <v>53</v>
      </c>
      <c r="I7">
        <v>47</v>
      </c>
      <c r="J7">
        <v>543</v>
      </c>
      <c r="K7">
        <v>485</v>
      </c>
      <c r="L7">
        <v>420</v>
      </c>
      <c r="M7">
        <v>363</v>
      </c>
      <c r="N7">
        <v>1</v>
      </c>
      <c r="O7">
        <v>1</v>
      </c>
      <c r="P7" t="s">
        <v>36</v>
      </c>
      <c r="Q7">
        <v>1</v>
      </c>
      <c r="R7">
        <v>0</v>
      </c>
      <c r="S7" t="s">
        <v>35</v>
      </c>
      <c r="T7">
        <v>14</v>
      </c>
      <c r="U7">
        <v>13</v>
      </c>
      <c r="V7">
        <v>8</v>
      </c>
      <c r="W7">
        <v>4</v>
      </c>
      <c r="X7">
        <v>17</v>
      </c>
      <c r="Y7">
        <v>8</v>
      </c>
      <c r="Z7">
        <v>2</v>
      </c>
      <c r="AA7">
        <v>6</v>
      </c>
      <c r="AB7">
        <v>1</v>
      </c>
      <c r="AC7">
        <v>3</v>
      </c>
      <c r="AD7">
        <v>0</v>
      </c>
      <c r="AE7">
        <v>0</v>
      </c>
    </row>
    <row r="8" spans="1:31" x14ac:dyDescent="0.25">
      <c r="A8" t="s">
        <v>31</v>
      </c>
      <c r="B8" s="2">
        <v>45521</v>
      </c>
      <c r="C8" t="s">
        <v>50</v>
      </c>
      <c r="D8" t="s">
        <v>51</v>
      </c>
      <c r="E8" t="s">
        <v>52</v>
      </c>
      <c r="F8">
        <v>2.2999999999999998</v>
      </c>
      <c r="G8">
        <v>2</v>
      </c>
      <c r="H8">
        <v>52</v>
      </c>
      <c r="I8">
        <v>48</v>
      </c>
      <c r="J8">
        <v>464</v>
      </c>
      <c r="K8">
        <v>433</v>
      </c>
      <c r="L8">
        <v>377</v>
      </c>
      <c r="M8">
        <v>348</v>
      </c>
      <c r="N8">
        <v>1</v>
      </c>
      <c r="O8">
        <v>2</v>
      </c>
      <c r="P8" t="s">
        <v>40</v>
      </c>
      <c r="Q8">
        <v>1</v>
      </c>
      <c r="R8">
        <v>1</v>
      </c>
      <c r="S8" t="s">
        <v>36</v>
      </c>
      <c r="T8">
        <v>14</v>
      </c>
      <c r="U8">
        <v>15</v>
      </c>
      <c r="V8">
        <v>3</v>
      </c>
      <c r="W8">
        <v>3</v>
      </c>
      <c r="X8">
        <v>18</v>
      </c>
      <c r="Y8">
        <v>11</v>
      </c>
      <c r="Z8">
        <v>5</v>
      </c>
      <c r="AA8">
        <v>3</v>
      </c>
      <c r="AB8">
        <v>1</v>
      </c>
      <c r="AC8">
        <v>2</v>
      </c>
      <c r="AD8">
        <v>0</v>
      </c>
      <c r="AE8">
        <v>0</v>
      </c>
    </row>
    <row r="9" spans="1:31" x14ac:dyDescent="0.25">
      <c r="A9" t="s">
        <v>31</v>
      </c>
      <c r="B9" s="2">
        <v>45522</v>
      </c>
      <c r="C9" t="s">
        <v>53</v>
      </c>
      <c r="D9" t="s">
        <v>54</v>
      </c>
      <c r="E9" t="s">
        <v>55</v>
      </c>
      <c r="F9">
        <v>1.6</v>
      </c>
      <c r="G9">
        <v>1.2</v>
      </c>
      <c r="H9">
        <v>46</v>
      </c>
      <c r="I9">
        <v>54</v>
      </c>
      <c r="J9">
        <v>440</v>
      </c>
      <c r="K9">
        <v>519</v>
      </c>
      <c r="L9">
        <v>331</v>
      </c>
      <c r="M9">
        <v>410</v>
      </c>
      <c r="N9">
        <v>2</v>
      </c>
      <c r="O9">
        <v>1</v>
      </c>
      <c r="P9" t="s">
        <v>35</v>
      </c>
      <c r="Q9">
        <v>1</v>
      </c>
      <c r="R9">
        <v>0</v>
      </c>
      <c r="S9" t="s">
        <v>35</v>
      </c>
      <c r="T9">
        <v>9</v>
      </c>
      <c r="U9">
        <v>14</v>
      </c>
      <c r="V9">
        <v>5</v>
      </c>
      <c r="W9">
        <v>6</v>
      </c>
      <c r="X9">
        <v>6</v>
      </c>
      <c r="Y9">
        <v>15</v>
      </c>
      <c r="Z9">
        <v>4</v>
      </c>
      <c r="AA9">
        <v>7</v>
      </c>
      <c r="AB9">
        <v>1</v>
      </c>
      <c r="AC9">
        <v>5</v>
      </c>
      <c r="AD9">
        <v>0</v>
      </c>
      <c r="AE9">
        <v>0</v>
      </c>
    </row>
    <row r="10" spans="1:31" x14ac:dyDescent="0.25">
      <c r="A10" t="s">
        <v>31</v>
      </c>
      <c r="B10" s="2">
        <v>45522</v>
      </c>
      <c r="C10" t="s">
        <v>56</v>
      </c>
      <c r="D10" t="s">
        <v>57</v>
      </c>
      <c r="E10" t="s">
        <v>58</v>
      </c>
      <c r="F10">
        <v>1</v>
      </c>
      <c r="G10">
        <v>0.8</v>
      </c>
      <c r="H10">
        <v>48</v>
      </c>
      <c r="I10">
        <v>52</v>
      </c>
      <c r="J10">
        <v>531</v>
      </c>
      <c r="K10">
        <v>570</v>
      </c>
      <c r="L10">
        <v>461</v>
      </c>
      <c r="M10">
        <v>501</v>
      </c>
      <c r="N10">
        <v>0</v>
      </c>
      <c r="O10">
        <v>2</v>
      </c>
      <c r="P10" t="s">
        <v>40</v>
      </c>
      <c r="Q10">
        <v>0</v>
      </c>
      <c r="R10">
        <v>1</v>
      </c>
      <c r="S10" t="s">
        <v>40</v>
      </c>
      <c r="T10">
        <v>10</v>
      </c>
      <c r="U10">
        <v>11</v>
      </c>
      <c r="V10">
        <v>3</v>
      </c>
      <c r="W10">
        <v>5</v>
      </c>
      <c r="X10">
        <v>12</v>
      </c>
      <c r="Y10">
        <v>9</v>
      </c>
      <c r="Z10">
        <v>4</v>
      </c>
      <c r="AA10">
        <v>3</v>
      </c>
      <c r="AB10">
        <v>1</v>
      </c>
      <c r="AC10">
        <v>1</v>
      </c>
      <c r="AD10">
        <v>0</v>
      </c>
      <c r="AE10">
        <v>0</v>
      </c>
    </row>
    <row r="11" spans="1:31" x14ac:dyDescent="0.25">
      <c r="A11" t="s">
        <v>31</v>
      </c>
      <c r="B11" s="2">
        <v>45523</v>
      </c>
      <c r="C11" t="s">
        <v>32</v>
      </c>
      <c r="D11" t="s">
        <v>59</v>
      </c>
      <c r="E11" t="s">
        <v>60</v>
      </c>
      <c r="F11">
        <v>1</v>
      </c>
      <c r="G11">
        <v>1.2</v>
      </c>
      <c r="H11">
        <v>30</v>
      </c>
      <c r="I11">
        <v>70</v>
      </c>
      <c r="J11">
        <v>313</v>
      </c>
      <c r="K11">
        <v>724</v>
      </c>
      <c r="L11">
        <v>237</v>
      </c>
      <c r="M11">
        <v>631</v>
      </c>
      <c r="N11">
        <v>1</v>
      </c>
      <c r="O11">
        <v>1</v>
      </c>
      <c r="P11" t="s">
        <v>36</v>
      </c>
      <c r="Q11">
        <v>0</v>
      </c>
      <c r="R11">
        <v>1</v>
      </c>
      <c r="S11" t="s">
        <v>40</v>
      </c>
      <c r="T11">
        <v>7</v>
      </c>
      <c r="U11">
        <v>15</v>
      </c>
      <c r="V11">
        <v>3</v>
      </c>
      <c r="W11">
        <v>7</v>
      </c>
      <c r="X11">
        <v>11</v>
      </c>
      <c r="Y11">
        <v>12</v>
      </c>
      <c r="Z11">
        <v>2</v>
      </c>
      <c r="AA11">
        <v>13</v>
      </c>
      <c r="AB11">
        <v>1</v>
      </c>
      <c r="AC11">
        <v>1</v>
      </c>
      <c r="AD11">
        <v>0</v>
      </c>
      <c r="AE11">
        <v>0</v>
      </c>
    </row>
    <row r="12" spans="1:31" x14ac:dyDescent="0.25">
      <c r="A12" t="s">
        <v>31</v>
      </c>
      <c r="B12" s="2">
        <v>45528</v>
      </c>
      <c r="C12" t="s">
        <v>37</v>
      </c>
      <c r="D12" t="s">
        <v>45</v>
      </c>
      <c r="E12" t="s">
        <v>33</v>
      </c>
      <c r="F12">
        <v>2.1</v>
      </c>
      <c r="G12">
        <v>1.4</v>
      </c>
      <c r="H12">
        <v>48</v>
      </c>
      <c r="I12">
        <v>52</v>
      </c>
      <c r="J12">
        <v>514</v>
      </c>
      <c r="K12">
        <v>552</v>
      </c>
      <c r="L12">
        <v>435</v>
      </c>
      <c r="M12">
        <v>470</v>
      </c>
      <c r="N12">
        <v>2</v>
      </c>
      <c r="O12">
        <v>1</v>
      </c>
      <c r="P12" t="s">
        <v>35</v>
      </c>
      <c r="Q12">
        <v>1</v>
      </c>
      <c r="R12">
        <v>0</v>
      </c>
      <c r="S12" t="s">
        <v>35</v>
      </c>
      <c r="T12">
        <v>14</v>
      </c>
      <c r="U12">
        <v>11</v>
      </c>
      <c r="V12">
        <v>5</v>
      </c>
      <c r="W12">
        <v>4</v>
      </c>
      <c r="X12">
        <v>9</v>
      </c>
      <c r="Y12">
        <v>13</v>
      </c>
      <c r="Z12">
        <v>4</v>
      </c>
      <c r="AA12">
        <v>4</v>
      </c>
      <c r="AB12">
        <v>1</v>
      </c>
      <c r="AC12">
        <v>2</v>
      </c>
      <c r="AD12">
        <v>0</v>
      </c>
      <c r="AE12">
        <v>0</v>
      </c>
    </row>
    <row r="13" spans="1:31" x14ac:dyDescent="0.25">
      <c r="A13" t="s">
        <v>31</v>
      </c>
      <c r="B13" s="2">
        <v>45528</v>
      </c>
      <c r="C13" t="s">
        <v>41</v>
      </c>
      <c r="D13" t="s">
        <v>55</v>
      </c>
      <c r="E13" t="s">
        <v>51</v>
      </c>
      <c r="F13">
        <v>1.3</v>
      </c>
      <c r="G13">
        <v>1.4</v>
      </c>
      <c r="H13">
        <v>58</v>
      </c>
      <c r="I13">
        <v>42</v>
      </c>
      <c r="J13">
        <v>596</v>
      </c>
      <c r="K13">
        <v>425</v>
      </c>
      <c r="L13">
        <v>478</v>
      </c>
      <c r="M13">
        <v>320</v>
      </c>
      <c r="N13">
        <v>0</v>
      </c>
      <c r="O13">
        <v>2</v>
      </c>
      <c r="P13" t="s">
        <v>40</v>
      </c>
      <c r="Q13">
        <v>0</v>
      </c>
      <c r="R13">
        <v>0</v>
      </c>
      <c r="S13" t="s">
        <v>36</v>
      </c>
      <c r="T13">
        <v>14</v>
      </c>
      <c r="U13">
        <v>18</v>
      </c>
      <c r="V13">
        <v>2</v>
      </c>
      <c r="W13">
        <v>3</v>
      </c>
      <c r="X13">
        <v>9</v>
      </c>
      <c r="Y13">
        <v>17</v>
      </c>
      <c r="Z13">
        <v>3</v>
      </c>
      <c r="AA13">
        <v>3</v>
      </c>
      <c r="AB13">
        <v>1</v>
      </c>
      <c r="AC13">
        <v>1</v>
      </c>
      <c r="AD13">
        <v>0</v>
      </c>
      <c r="AE13">
        <v>0</v>
      </c>
    </row>
    <row r="14" spans="1:31" x14ac:dyDescent="0.25">
      <c r="A14" t="s">
        <v>31</v>
      </c>
      <c r="B14" s="2">
        <v>45528</v>
      </c>
      <c r="C14" t="s">
        <v>41</v>
      </c>
      <c r="D14" t="s">
        <v>34</v>
      </c>
      <c r="E14" t="s">
        <v>59</v>
      </c>
      <c r="F14">
        <v>1.8</v>
      </c>
      <c r="G14">
        <v>0.6</v>
      </c>
      <c r="H14">
        <v>54</v>
      </c>
      <c r="I14">
        <v>46</v>
      </c>
      <c r="J14">
        <v>582</v>
      </c>
      <c r="K14">
        <v>489</v>
      </c>
      <c r="L14">
        <v>489</v>
      </c>
      <c r="M14">
        <v>402</v>
      </c>
      <c r="N14">
        <v>2</v>
      </c>
      <c r="O14">
        <v>1</v>
      </c>
      <c r="P14" t="s">
        <v>35</v>
      </c>
      <c r="Q14">
        <v>1</v>
      </c>
      <c r="R14">
        <v>1</v>
      </c>
      <c r="S14" t="s">
        <v>36</v>
      </c>
      <c r="T14">
        <v>18</v>
      </c>
      <c r="U14">
        <v>10</v>
      </c>
      <c r="V14">
        <v>6</v>
      </c>
      <c r="W14">
        <v>4</v>
      </c>
      <c r="X14">
        <v>14</v>
      </c>
      <c r="Y14">
        <v>13</v>
      </c>
      <c r="Z14">
        <v>7</v>
      </c>
      <c r="AA14">
        <v>5</v>
      </c>
      <c r="AB14">
        <v>2</v>
      </c>
      <c r="AC14">
        <v>2</v>
      </c>
      <c r="AD14">
        <v>0</v>
      </c>
      <c r="AE14">
        <v>0</v>
      </c>
    </row>
    <row r="15" spans="1:31" x14ac:dyDescent="0.25">
      <c r="A15" t="s">
        <v>31</v>
      </c>
      <c r="B15" s="2">
        <v>45528</v>
      </c>
      <c r="C15" t="s">
        <v>41</v>
      </c>
      <c r="D15" t="s">
        <v>58</v>
      </c>
      <c r="E15" t="s">
        <v>38</v>
      </c>
      <c r="F15">
        <v>3.3</v>
      </c>
      <c r="G15">
        <v>0.3</v>
      </c>
      <c r="H15">
        <v>75</v>
      </c>
      <c r="I15">
        <v>25</v>
      </c>
      <c r="J15">
        <v>796</v>
      </c>
      <c r="K15">
        <v>266</v>
      </c>
      <c r="L15">
        <v>726</v>
      </c>
      <c r="M15">
        <v>211</v>
      </c>
      <c r="N15">
        <v>4</v>
      </c>
      <c r="O15">
        <v>1</v>
      </c>
      <c r="P15" t="s">
        <v>35</v>
      </c>
      <c r="Q15">
        <v>3</v>
      </c>
      <c r="R15">
        <v>1</v>
      </c>
      <c r="S15" t="s">
        <v>35</v>
      </c>
      <c r="T15">
        <v>14</v>
      </c>
      <c r="U15">
        <v>1</v>
      </c>
      <c r="V15">
        <v>5</v>
      </c>
      <c r="W15">
        <v>1</v>
      </c>
      <c r="X15">
        <v>4</v>
      </c>
      <c r="Y15">
        <v>15</v>
      </c>
      <c r="Z15">
        <v>10</v>
      </c>
      <c r="AA15">
        <v>1</v>
      </c>
      <c r="AB15">
        <v>2</v>
      </c>
      <c r="AC15">
        <v>3</v>
      </c>
      <c r="AD15">
        <v>0</v>
      </c>
      <c r="AE15">
        <v>0</v>
      </c>
    </row>
    <row r="16" spans="1:31" x14ac:dyDescent="0.25">
      <c r="A16" t="s">
        <v>31</v>
      </c>
      <c r="B16" s="2">
        <v>45528</v>
      </c>
      <c r="C16" t="s">
        <v>41</v>
      </c>
      <c r="D16" t="s">
        <v>47</v>
      </c>
      <c r="E16" t="s">
        <v>48</v>
      </c>
      <c r="F16">
        <v>0.1</v>
      </c>
      <c r="G16">
        <v>2.2000000000000002</v>
      </c>
      <c r="H16">
        <v>64</v>
      </c>
      <c r="I16">
        <v>36</v>
      </c>
      <c r="J16">
        <v>691</v>
      </c>
      <c r="K16">
        <v>383</v>
      </c>
      <c r="L16">
        <v>618</v>
      </c>
      <c r="M16">
        <v>306</v>
      </c>
      <c r="N16">
        <v>0</v>
      </c>
      <c r="O16">
        <v>1</v>
      </c>
      <c r="P16" t="s">
        <v>40</v>
      </c>
      <c r="Q16">
        <v>0</v>
      </c>
      <c r="R16">
        <v>0</v>
      </c>
      <c r="S16" t="s">
        <v>36</v>
      </c>
      <c r="T16">
        <v>5</v>
      </c>
      <c r="U16">
        <v>23</v>
      </c>
      <c r="V16">
        <v>1</v>
      </c>
      <c r="W16">
        <v>8</v>
      </c>
      <c r="X16">
        <v>14</v>
      </c>
      <c r="Y16">
        <v>14</v>
      </c>
      <c r="Z16">
        <v>4</v>
      </c>
      <c r="AA16">
        <v>10</v>
      </c>
      <c r="AB16">
        <v>3</v>
      </c>
      <c r="AC16">
        <v>3</v>
      </c>
      <c r="AD16">
        <v>0</v>
      </c>
      <c r="AE16">
        <v>0</v>
      </c>
    </row>
    <row r="17" spans="1:31" x14ac:dyDescent="0.25">
      <c r="A17" t="s">
        <v>31</v>
      </c>
      <c r="B17" s="2">
        <v>45528</v>
      </c>
      <c r="C17" t="s">
        <v>41</v>
      </c>
      <c r="D17" t="s">
        <v>60</v>
      </c>
      <c r="E17" t="s">
        <v>44</v>
      </c>
      <c r="F17">
        <v>2.4</v>
      </c>
      <c r="G17">
        <v>1</v>
      </c>
      <c r="H17">
        <v>70</v>
      </c>
      <c r="I17">
        <v>30</v>
      </c>
      <c r="J17">
        <v>658</v>
      </c>
      <c r="K17">
        <v>287</v>
      </c>
      <c r="L17">
        <v>574</v>
      </c>
      <c r="M17">
        <v>211</v>
      </c>
      <c r="N17">
        <v>4</v>
      </c>
      <c r="O17">
        <v>0</v>
      </c>
      <c r="P17" t="s">
        <v>35</v>
      </c>
      <c r="Q17">
        <v>2</v>
      </c>
      <c r="R17">
        <v>0</v>
      </c>
      <c r="S17" t="s">
        <v>35</v>
      </c>
      <c r="T17">
        <v>13</v>
      </c>
      <c r="U17">
        <v>10</v>
      </c>
      <c r="V17">
        <v>7</v>
      </c>
      <c r="W17">
        <v>1</v>
      </c>
      <c r="X17">
        <v>11</v>
      </c>
      <c r="Y17">
        <v>15</v>
      </c>
      <c r="Z17">
        <v>12</v>
      </c>
      <c r="AA17">
        <v>5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31</v>
      </c>
      <c r="B18" s="2">
        <v>45528</v>
      </c>
      <c r="C18" t="s">
        <v>50</v>
      </c>
      <c r="D18" t="s">
        <v>52</v>
      </c>
      <c r="E18" t="s">
        <v>42</v>
      </c>
      <c r="F18">
        <v>1.2</v>
      </c>
      <c r="G18">
        <v>0.9</v>
      </c>
      <c r="H18">
        <v>40</v>
      </c>
      <c r="I18">
        <v>60</v>
      </c>
      <c r="J18">
        <v>358</v>
      </c>
      <c r="K18">
        <v>544</v>
      </c>
      <c r="L18">
        <v>287</v>
      </c>
      <c r="M18">
        <v>483</v>
      </c>
      <c r="N18">
        <v>0</v>
      </c>
      <c r="O18">
        <v>2</v>
      </c>
      <c r="P18" t="s">
        <v>40</v>
      </c>
      <c r="Q18">
        <v>0</v>
      </c>
      <c r="R18">
        <v>0</v>
      </c>
      <c r="S18" t="s">
        <v>36</v>
      </c>
      <c r="T18">
        <v>11</v>
      </c>
      <c r="U18">
        <v>9</v>
      </c>
      <c r="V18">
        <v>3</v>
      </c>
      <c r="W18">
        <v>4</v>
      </c>
      <c r="X18">
        <v>8</v>
      </c>
      <c r="Y18">
        <v>15</v>
      </c>
      <c r="Z18">
        <v>4</v>
      </c>
      <c r="AA18">
        <v>1</v>
      </c>
      <c r="AB18">
        <v>1</v>
      </c>
      <c r="AC18">
        <v>3</v>
      </c>
      <c r="AD18">
        <v>0</v>
      </c>
      <c r="AE18">
        <v>0</v>
      </c>
    </row>
    <row r="19" spans="1:31" x14ac:dyDescent="0.25">
      <c r="A19" t="s">
        <v>31</v>
      </c>
      <c r="B19" s="2">
        <v>45529</v>
      </c>
      <c r="C19" t="s">
        <v>53</v>
      </c>
      <c r="D19" t="s">
        <v>49</v>
      </c>
      <c r="E19" t="s">
        <v>46</v>
      </c>
      <c r="F19">
        <v>2.2000000000000002</v>
      </c>
      <c r="G19">
        <v>1.6</v>
      </c>
      <c r="H19">
        <v>39</v>
      </c>
      <c r="I19">
        <v>61</v>
      </c>
      <c r="J19">
        <v>359</v>
      </c>
      <c r="K19">
        <v>552</v>
      </c>
      <c r="L19">
        <v>263</v>
      </c>
      <c r="M19">
        <v>428</v>
      </c>
      <c r="N19">
        <v>1</v>
      </c>
      <c r="O19">
        <v>1</v>
      </c>
      <c r="P19" t="s">
        <v>36</v>
      </c>
      <c r="Q19">
        <v>1</v>
      </c>
      <c r="R19">
        <v>0</v>
      </c>
      <c r="S19" t="s">
        <v>35</v>
      </c>
      <c r="T19">
        <v>16</v>
      </c>
      <c r="U19">
        <v>14</v>
      </c>
      <c r="V19">
        <v>4</v>
      </c>
      <c r="W19">
        <v>5</v>
      </c>
      <c r="X19">
        <v>19</v>
      </c>
      <c r="Y19">
        <v>8</v>
      </c>
      <c r="Z19">
        <v>8</v>
      </c>
      <c r="AA19">
        <v>9</v>
      </c>
      <c r="AB19">
        <v>2</v>
      </c>
      <c r="AC19">
        <v>2</v>
      </c>
      <c r="AD19">
        <v>0</v>
      </c>
      <c r="AE19">
        <v>0</v>
      </c>
    </row>
    <row r="20" spans="1:31" x14ac:dyDescent="0.25">
      <c r="A20" t="s">
        <v>31</v>
      </c>
      <c r="B20" s="2">
        <v>45529</v>
      </c>
      <c r="C20" t="s">
        <v>53</v>
      </c>
      <c r="D20" t="s">
        <v>43</v>
      </c>
      <c r="E20" t="s">
        <v>57</v>
      </c>
      <c r="F20">
        <v>1.9</v>
      </c>
      <c r="G20">
        <v>1.6</v>
      </c>
      <c r="H20">
        <v>40</v>
      </c>
      <c r="I20">
        <v>60</v>
      </c>
      <c r="J20">
        <v>357</v>
      </c>
      <c r="K20">
        <v>525</v>
      </c>
      <c r="L20">
        <v>272</v>
      </c>
      <c r="M20">
        <v>445</v>
      </c>
      <c r="N20">
        <v>2</v>
      </c>
      <c r="O20">
        <v>6</v>
      </c>
      <c r="P20" t="s">
        <v>40</v>
      </c>
      <c r="Q20">
        <v>2</v>
      </c>
      <c r="R20">
        <v>2</v>
      </c>
      <c r="S20" t="s">
        <v>36</v>
      </c>
      <c r="T20">
        <v>12</v>
      </c>
      <c r="U20">
        <v>14</v>
      </c>
      <c r="V20">
        <v>4</v>
      </c>
      <c r="W20">
        <v>8</v>
      </c>
      <c r="X20">
        <v>13</v>
      </c>
      <c r="Y20">
        <v>13</v>
      </c>
      <c r="Z20">
        <v>5</v>
      </c>
      <c r="AA20">
        <v>5</v>
      </c>
      <c r="AB20">
        <v>2</v>
      </c>
      <c r="AC20">
        <v>3</v>
      </c>
      <c r="AD20">
        <v>0</v>
      </c>
      <c r="AE20">
        <v>0</v>
      </c>
    </row>
    <row r="21" spans="1:31" x14ac:dyDescent="0.25">
      <c r="A21" t="s">
        <v>31</v>
      </c>
      <c r="B21" s="2">
        <v>45529</v>
      </c>
      <c r="C21" t="s">
        <v>56</v>
      </c>
      <c r="D21" t="s">
        <v>39</v>
      </c>
      <c r="E21" t="s">
        <v>54</v>
      </c>
      <c r="F21">
        <v>2.5</v>
      </c>
      <c r="G21">
        <v>0.5</v>
      </c>
      <c r="H21">
        <v>62</v>
      </c>
      <c r="I21">
        <v>38</v>
      </c>
      <c r="J21">
        <v>638</v>
      </c>
      <c r="K21">
        <v>399</v>
      </c>
      <c r="L21">
        <v>571</v>
      </c>
      <c r="M21">
        <v>322</v>
      </c>
      <c r="N21">
        <v>2</v>
      </c>
      <c r="O21">
        <v>0</v>
      </c>
      <c r="P21" t="s">
        <v>35</v>
      </c>
      <c r="Q21">
        <v>1</v>
      </c>
      <c r="R21">
        <v>0</v>
      </c>
      <c r="S21" t="s">
        <v>35</v>
      </c>
      <c r="T21">
        <v>19</v>
      </c>
      <c r="U21">
        <v>8</v>
      </c>
      <c r="V21">
        <v>8</v>
      </c>
      <c r="W21">
        <v>2</v>
      </c>
      <c r="X21">
        <v>10</v>
      </c>
      <c r="Y21">
        <v>7</v>
      </c>
      <c r="Z21">
        <v>9</v>
      </c>
      <c r="AA21">
        <v>4</v>
      </c>
      <c r="AB21">
        <v>2</v>
      </c>
      <c r="AC21">
        <v>3</v>
      </c>
      <c r="AD21">
        <v>0</v>
      </c>
      <c r="AE21">
        <v>0</v>
      </c>
    </row>
    <row r="22" spans="1:31" x14ac:dyDescent="0.25">
      <c r="A22" t="s">
        <v>31</v>
      </c>
      <c r="B22" s="2">
        <v>45535</v>
      </c>
      <c r="C22" t="s">
        <v>37</v>
      </c>
      <c r="D22" t="s">
        <v>42</v>
      </c>
      <c r="E22" t="s">
        <v>45</v>
      </c>
      <c r="F22">
        <v>2.1</v>
      </c>
      <c r="G22">
        <v>1.7</v>
      </c>
      <c r="H22">
        <v>36</v>
      </c>
      <c r="I22">
        <v>64</v>
      </c>
      <c r="J22">
        <v>296</v>
      </c>
      <c r="K22">
        <v>518</v>
      </c>
      <c r="L22">
        <v>215</v>
      </c>
      <c r="M22">
        <v>429</v>
      </c>
      <c r="N22">
        <v>1</v>
      </c>
      <c r="O22">
        <v>1</v>
      </c>
      <c r="P22" t="s">
        <v>36</v>
      </c>
      <c r="Q22">
        <v>1</v>
      </c>
      <c r="R22">
        <v>0</v>
      </c>
      <c r="S22" t="s">
        <v>35</v>
      </c>
      <c r="T22">
        <v>11</v>
      </c>
      <c r="U22">
        <v>22</v>
      </c>
      <c r="V22">
        <v>7</v>
      </c>
      <c r="W22">
        <v>4</v>
      </c>
      <c r="X22">
        <v>12</v>
      </c>
      <c r="Y22">
        <v>7</v>
      </c>
      <c r="Z22">
        <v>3</v>
      </c>
      <c r="AA22">
        <v>7</v>
      </c>
      <c r="AB22">
        <v>3</v>
      </c>
      <c r="AC22">
        <v>2</v>
      </c>
      <c r="AD22">
        <v>1</v>
      </c>
      <c r="AE22">
        <v>0</v>
      </c>
    </row>
    <row r="23" spans="1:31" x14ac:dyDescent="0.25">
      <c r="A23" t="s">
        <v>31</v>
      </c>
      <c r="B23" s="2">
        <v>45535</v>
      </c>
      <c r="C23" t="s">
        <v>41</v>
      </c>
      <c r="D23" t="s">
        <v>54</v>
      </c>
      <c r="E23" t="s">
        <v>47</v>
      </c>
      <c r="F23">
        <v>2.8</v>
      </c>
      <c r="G23">
        <v>1.5</v>
      </c>
      <c r="H23">
        <v>37</v>
      </c>
      <c r="I23">
        <v>63</v>
      </c>
      <c r="J23">
        <v>398</v>
      </c>
      <c r="K23">
        <v>664</v>
      </c>
      <c r="L23">
        <v>331</v>
      </c>
      <c r="M23">
        <v>573</v>
      </c>
      <c r="N23">
        <v>3</v>
      </c>
      <c r="O23">
        <v>1</v>
      </c>
      <c r="P23" t="s">
        <v>35</v>
      </c>
      <c r="Q23">
        <v>1</v>
      </c>
      <c r="R23">
        <v>0</v>
      </c>
      <c r="S23" t="s">
        <v>35</v>
      </c>
      <c r="T23">
        <v>20</v>
      </c>
      <c r="U23">
        <v>18</v>
      </c>
      <c r="V23">
        <v>7</v>
      </c>
      <c r="W23">
        <v>6</v>
      </c>
      <c r="X23">
        <v>10</v>
      </c>
      <c r="Y23">
        <v>7</v>
      </c>
      <c r="Z23">
        <v>2</v>
      </c>
      <c r="AA23">
        <v>8</v>
      </c>
      <c r="AB23">
        <v>2</v>
      </c>
      <c r="AC23">
        <v>1</v>
      </c>
      <c r="AD23">
        <v>0</v>
      </c>
      <c r="AE23">
        <v>0</v>
      </c>
    </row>
    <row r="24" spans="1:31" x14ac:dyDescent="0.25">
      <c r="A24" t="s">
        <v>31</v>
      </c>
      <c r="B24" s="2">
        <v>45535</v>
      </c>
      <c r="C24" t="s">
        <v>41</v>
      </c>
      <c r="D24" t="s">
        <v>44</v>
      </c>
      <c r="E24" t="s">
        <v>49</v>
      </c>
      <c r="F24">
        <v>1.8</v>
      </c>
      <c r="G24">
        <v>2.4</v>
      </c>
      <c r="H24">
        <v>47</v>
      </c>
      <c r="I24">
        <v>53</v>
      </c>
      <c r="J24">
        <v>393</v>
      </c>
      <c r="K24">
        <v>441</v>
      </c>
      <c r="L24">
        <v>280</v>
      </c>
      <c r="M24">
        <v>327</v>
      </c>
      <c r="N24">
        <v>2</v>
      </c>
      <c r="O24">
        <v>3</v>
      </c>
      <c r="P24" t="s">
        <v>40</v>
      </c>
      <c r="Q24">
        <v>0</v>
      </c>
      <c r="R24">
        <v>0</v>
      </c>
      <c r="S24" t="s">
        <v>36</v>
      </c>
      <c r="T24">
        <v>18</v>
      </c>
      <c r="U24">
        <v>17</v>
      </c>
      <c r="V24">
        <v>8</v>
      </c>
      <c r="W24">
        <v>7</v>
      </c>
      <c r="X24">
        <v>6</v>
      </c>
      <c r="Y24">
        <v>1</v>
      </c>
      <c r="Z24">
        <v>8</v>
      </c>
      <c r="AA24">
        <v>4</v>
      </c>
      <c r="AB24">
        <v>2</v>
      </c>
      <c r="AC24">
        <v>1</v>
      </c>
      <c r="AD24">
        <v>0</v>
      </c>
      <c r="AE24">
        <v>0</v>
      </c>
    </row>
    <row r="25" spans="1:31" x14ac:dyDescent="0.25">
      <c r="A25" t="s">
        <v>31</v>
      </c>
      <c r="B25" s="2">
        <v>45535</v>
      </c>
      <c r="C25" t="s">
        <v>41</v>
      </c>
      <c r="D25" t="s">
        <v>38</v>
      </c>
      <c r="E25" t="s">
        <v>34</v>
      </c>
      <c r="F25">
        <v>0.4</v>
      </c>
      <c r="G25">
        <v>0.9</v>
      </c>
      <c r="H25">
        <v>48</v>
      </c>
      <c r="I25">
        <v>52</v>
      </c>
      <c r="J25">
        <v>434</v>
      </c>
      <c r="K25">
        <v>469</v>
      </c>
      <c r="L25">
        <v>360</v>
      </c>
      <c r="M25">
        <v>383</v>
      </c>
      <c r="N25">
        <v>1</v>
      </c>
      <c r="O25">
        <v>1</v>
      </c>
      <c r="P25" t="s">
        <v>36</v>
      </c>
      <c r="Q25">
        <v>1</v>
      </c>
      <c r="R25">
        <v>1</v>
      </c>
      <c r="S25" t="s">
        <v>36</v>
      </c>
      <c r="T25">
        <v>11</v>
      </c>
      <c r="U25">
        <v>9</v>
      </c>
      <c r="V25">
        <v>4</v>
      </c>
      <c r="W25">
        <v>4</v>
      </c>
      <c r="X25">
        <v>15</v>
      </c>
      <c r="Y25">
        <v>15</v>
      </c>
      <c r="Z25">
        <v>8</v>
      </c>
      <c r="AA25">
        <v>6</v>
      </c>
      <c r="AB25">
        <v>2</v>
      </c>
      <c r="AC25">
        <v>3</v>
      </c>
      <c r="AD25">
        <v>0</v>
      </c>
      <c r="AE25">
        <v>0</v>
      </c>
    </row>
    <row r="26" spans="1:31" x14ac:dyDescent="0.25">
      <c r="A26" t="s">
        <v>31</v>
      </c>
      <c r="B26" s="2">
        <v>45535</v>
      </c>
      <c r="C26" t="s">
        <v>41</v>
      </c>
      <c r="D26" t="s">
        <v>59</v>
      </c>
      <c r="E26" t="s">
        <v>52</v>
      </c>
      <c r="F26">
        <v>0.4</v>
      </c>
      <c r="G26">
        <v>1.4</v>
      </c>
      <c r="H26">
        <v>57</v>
      </c>
      <c r="I26">
        <v>43</v>
      </c>
      <c r="J26">
        <v>545</v>
      </c>
      <c r="K26">
        <v>411</v>
      </c>
      <c r="L26">
        <v>471</v>
      </c>
      <c r="M26">
        <v>333</v>
      </c>
      <c r="N26">
        <v>1</v>
      </c>
      <c r="O26">
        <v>2</v>
      </c>
      <c r="P26" t="s">
        <v>40</v>
      </c>
      <c r="Q26">
        <v>0</v>
      </c>
      <c r="R26">
        <v>1</v>
      </c>
      <c r="S26" t="s">
        <v>40</v>
      </c>
      <c r="T26">
        <v>9</v>
      </c>
      <c r="U26">
        <v>10</v>
      </c>
      <c r="V26">
        <v>3</v>
      </c>
      <c r="W26">
        <v>5</v>
      </c>
      <c r="X26">
        <v>13</v>
      </c>
      <c r="Y26">
        <v>21</v>
      </c>
      <c r="Z26">
        <v>1</v>
      </c>
      <c r="AA26">
        <v>4</v>
      </c>
      <c r="AB26">
        <v>4</v>
      </c>
      <c r="AC26">
        <v>5</v>
      </c>
      <c r="AD26">
        <v>0</v>
      </c>
      <c r="AE26">
        <v>0</v>
      </c>
    </row>
    <row r="27" spans="1:31" x14ac:dyDescent="0.25">
      <c r="A27" t="s">
        <v>31</v>
      </c>
      <c r="B27" s="2">
        <v>45535</v>
      </c>
      <c r="C27" t="s">
        <v>41</v>
      </c>
      <c r="D27" t="s">
        <v>48</v>
      </c>
      <c r="E27" t="s">
        <v>43</v>
      </c>
      <c r="F27">
        <v>1</v>
      </c>
      <c r="G27">
        <v>0.7</v>
      </c>
      <c r="H27">
        <v>52</v>
      </c>
      <c r="I27">
        <v>48</v>
      </c>
      <c r="J27">
        <v>412</v>
      </c>
      <c r="K27">
        <v>383</v>
      </c>
      <c r="L27">
        <v>312</v>
      </c>
      <c r="M27">
        <v>292</v>
      </c>
      <c r="N27">
        <v>1</v>
      </c>
      <c r="O27">
        <v>1</v>
      </c>
      <c r="P27" t="s">
        <v>36</v>
      </c>
      <c r="Q27">
        <v>1</v>
      </c>
      <c r="R27">
        <v>1</v>
      </c>
      <c r="S27" t="s">
        <v>36</v>
      </c>
      <c r="T27">
        <v>16</v>
      </c>
      <c r="U27">
        <v>11</v>
      </c>
      <c r="V27">
        <v>5</v>
      </c>
      <c r="W27">
        <v>3</v>
      </c>
      <c r="X27">
        <v>15</v>
      </c>
      <c r="Y27">
        <v>18</v>
      </c>
      <c r="Z27">
        <v>7</v>
      </c>
      <c r="AA27">
        <v>3</v>
      </c>
      <c r="AB27">
        <v>3</v>
      </c>
      <c r="AC27">
        <v>4</v>
      </c>
      <c r="AD27">
        <v>0</v>
      </c>
      <c r="AE27">
        <v>0</v>
      </c>
    </row>
    <row r="28" spans="1:31" x14ac:dyDescent="0.25">
      <c r="A28" t="s">
        <v>31</v>
      </c>
      <c r="B28" s="2">
        <v>45535</v>
      </c>
      <c r="C28" t="s">
        <v>50</v>
      </c>
      <c r="D28" t="s">
        <v>51</v>
      </c>
      <c r="E28" t="s">
        <v>58</v>
      </c>
      <c r="F28">
        <v>0.7</v>
      </c>
      <c r="G28">
        <v>3</v>
      </c>
      <c r="H28">
        <v>33</v>
      </c>
      <c r="I28">
        <v>67</v>
      </c>
      <c r="J28">
        <v>379</v>
      </c>
      <c r="K28">
        <v>762</v>
      </c>
      <c r="L28">
        <v>310</v>
      </c>
      <c r="M28">
        <v>691</v>
      </c>
      <c r="N28">
        <v>1</v>
      </c>
      <c r="O28">
        <v>3</v>
      </c>
      <c r="P28" t="s">
        <v>40</v>
      </c>
      <c r="Q28">
        <v>1</v>
      </c>
      <c r="R28">
        <v>2</v>
      </c>
      <c r="S28" t="s">
        <v>40</v>
      </c>
      <c r="T28">
        <v>10</v>
      </c>
      <c r="U28">
        <v>23</v>
      </c>
      <c r="V28">
        <v>2</v>
      </c>
      <c r="W28">
        <v>8</v>
      </c>
      <c r="X28">
        <v>10</v>
      </c>
      <c r="Y28">
        <v>3</v>
      </c>
      <c r="Z28">
        <v>3</v>
      </c>
      <c r="AA28">
        <v>11</v>
      </c>
      <c r="AB28">
        <v>3</v>
      </c>
      <c r="AC28">
        <v>2</v>
      </c>
      <c r="AD28">
        <v>0</v>
      </c>
      <c r="AE28">
        <v>0</v>
      </c>
    </row>
    <row r="29" spans="1:31" x14ac:dyDescent="0.25">
      <c r="A29" t="s">
        <v>31</v>
      </c>
      <c r="B29" s="2">
        <v>45536</v>
      </c>
      <c r="C29" t="s">
        <v>61</v>
      </c>
      <c r="D29" t="s">
        <v>57</v>
      </c>
      <c r="E29" t="s">
        <v>55</v>
      </c>
      <c r="F29">
        <v>2.4</v>
      </c>
      <c r="G29">
        <v>0.5</v>
      </c>
      <c r="H29">
        <v>62</v>
      </c>
      <c r="I29">
        <v>38</v>
      </c>
      <c r="J29">
        <v>628</v>
      </c>
      <c r="K29">
        <v>382</v>
      </c>
      <c r="L29">
        <v>553</v>
      </c>
      <c r="M29">
        <v>300</v>
      </c>
      <c r="N29">
        <v>1</v>
      </c>
      <c r="O29">
        <v>1</v>
      </c>
      <c r="P29" t="s">
        <v>36</v>
      </c>
      <c r="Q29">
        <v>1</v>
      </c>
      <c r="R29">
        <v>0</v>
      </c>
      <c r="S29" t="s">
        <v>35</v>
      </c>
      <c r="T29">
        <v>13</v>
      </c>
      <c r="U29">
        <v>9</v>
      </c>
      <c r="V29">
        <v>7</v>
      </c>
      <c r="W29">
        <v>3</v>
      </c>
      <c r="X29">
        <v>9</v>
      </c>
      <c r="Y29">
        <v>13</v>
      </c>
      <c r="Z29">
        <v>4</v>
      </c>
      <c r="AA29">
        <v>5</v>
      </c>
      <c r="AB29">
        <v>4</v>
      </c>
      <c r="AC29">
        <v>2</v>
      </c>
      <c r="AD29">
        <v>0</v>
      </c>
      <c r="AE29">
        <v>0</v>
      </c>
    </row>
    <row r="30" spans="1:31" x14ac:dyDescent="0.25">
      <c r="A30" t="s">
        <v>31</v>
      </c>
      <c r="B30" s="2">
        <v>45536</v>
      </c>
      <c r="C30" t="s">
        <v>61</v>
      </c>
      <c r="D30" t="s">
        <v>46</v>
      </c>
      <c r="E30" t="s">
        <v>60</v>
      </c>
      <c r="F30">
        <v>1.8</v>
      </c>
      <c r="G30">
        <v>1.2</v>
      </c>
      <c r="H30">
        <v>35</v>
      </c>
      <c r="I30">
        <v>65</v>
      </c>
      <c r="J30">
        <v>296</v>
      </c>
      <c r="K30">
        <v>557</v>
      </c>
      <c r="L30">
        <v>207</v>
      </c>
      <c r="M30">
        <v>450</v>
      </c>
      <c r="N30">
        <v>2</v>
      </c>
      <c r="O30">
        <v>1</v>
      </c>
      <c r="P30" t="s">
        <v>35</v>
      </c>
      <c r="Q30">
        <v>1</v>
      </c>
      <c r="R30">
        <v>0</v>
      </c>
      <c r="S30" t="s">
        <v>35</v>
      </c>
      <c r="T30">
        <v>9</v>
      </c>
      <c r="U30">
        <v>20</v>
      </c>
      <c r="V30">
        <v>3</v>
      </c>
      <c r="W30">
        <v>6</v>
      </c>
      <c r="X30">
        <v>16</v>
      </c>
      <c r="Y30">
        <v>13</v>
      </c>
      <c r="Z30">
        <v>7</v>
      </c>
      <c r="AA30">
        <v>12</v>
      </c>
      <c r="AB30">
        <v>4</v>
      </c>
      <c r="AC30">
        <v>4</v>
      </c>
      <c r="AD30">
        <v>0</v>
      </c>
      <c r="AE30">
        <v>0</v>
      </c>
    </row>
    <row r="31" spans="1:31" x14ac:dyDescent="0.25">
      <c r="A31" t="s">
        <v>31</v>
      </c>
      <c r="B31" s="2">
        <v>45536</v>
      </c>
      <c r="C31" t="s">
        <v>62</v>
      </c>
      <c r="D31" t="s">
        <v>33</v>
      </c>
      <c r="E31" t="s">
        <v>39</v>
      </c>
      <c r="F31">
        <v>1.4</v>
      </c>
      <c r="G31">
        <v>1.8</v>
      </c>
      <c r="H31">
        <v>53</v>
      </c>
      <c r="I31">
        <v>47</v>
      </c>
      <c r="J31">
        <v>556</v>
      </c>
      <c r="K31">
        <v>497</v>
      </c>
      <c r="L31">
        <v>453</v>
      </c>
      <c r="M31">
        <v>414</v>
      </c>
      <c r="N31">
        <v>0</v>
      </c>
      <c r="O31">
        <v>3</v>
      </c>
      <c r="P31" t="s">
        <v>40</v>
      </c>
      <c r="Q31">
        <v>0</v>
      </c>
      <c r="R31">
        <v>2</v>
      </c>
      <c r="S31" t="s">
        <v>40</v>
      </c>
      <c r="T31">
        <v>8</v>
      </c>
      <c r="U31">
        <v>11</v>
      </c>
      <c r="V31">
        <v>3</v>
      </c>
      <c r="W31">
        <v>3</v>
      </c>
      <c r="X31">
        <v>7</v>
      </c>
      <c r="Y31">
        <v>7</v>
      </c>
      <c r="Z31">
        <v>5</v>
      </c>
      <c r="AA31">
        <v>2</v>
      </c>
      <c r="AB31">
        <v>4</v>
      </c>
      <c r="AC31">
        <v>1</v>
      </c>
      <c r="AD31">
        <v>0</v>
      </c>
      <c r="AE31">
        <v>0</v>
      </c>
    </row>
    <row r="32" spans="1:31" x14ac:dyDescent="0.25">
      <c r="A32" t="s">
        <v>31</v>
      </c>
      <c r="B32" s="2">
        <v>45549</v>
      </c>
      <c r="C32" t="s">
        <v>37</v>
      </c>
      <c r="D32" t="s">
        <v>47</v>
      </c>
      <c r="E32" t="s">
        <v>33</v>
      </c>
      <c r="F32">
        <v>1.1000000000000001</v>
      </c>
      <c r="G32">
        <v>2.6</v>
      </c>
      <c r="H32">
        <v>44</v>
      </c>
      <c r="I32">
        <v>56</v>
      </c>
      <c r="J32">
        <v>505</v>
      </c>
      <c r="K32">
        <v>640</v>
      </c>
      <c r="L32">
        <v>439</v>
      </c>
      <c r="M32">
        <v>576</v>
      </c>
      <c r="N32">
        <v>0</v>
      </c>
      <c r="O32">
        <v>3</v>
      </c>
      <c r="P32" t="s">
        <v>40</v>
      </c>
      <c r="Q32">
        <v>0</v>
      </c>
      <c r="R32">
        <v>2</v>
      </c>
      <c r="S32" t="s">
        <v>40</v>
      </c>
      <c r="T32">
        <v>6</v>
      </c>
      <c r="U32">
        <v>20</v>
      </c>
      <c r="V32">
        <v>4</v>
      </c>
      <c r="W32">
        <v>10</v>
      </c>
      <c r="X32">
        <v>11</v>
      </c>
      <c r="Y32">
        <v>14</v>
      </c>
      <c r="Z32">
        <v>0</v>
      </c>
      <c r="AA32">
        <v>7</v>
      </c>
      <c r="AB32">
        <v>1</v>
      </c>
      <c r="AC32">
        <v>4</v>
      </c>
      <c r="AD32">
        <v>1</v>
      </c>
      <c r="AE32">
        <v>0</v>
      </c>
    </row>
    <row r="33" spans="1:31" x14ac:dyDescent="0.25">
      <c r="A33" t="s">
        <v>31</v>
      </c>
      <c r="B33" s="2">
        <v>45549</v>
      </c>
      <c r="C33" t="s">
        <v>41</v>
      </c>
      <c r="D33" t="s">
        <v>45</v>
      </c>
      <c r="E33" t="s">
        <v>38</v>
      </c>
      <c r="F33">
        <v>1.6</v>
      </c>
      <c r="G33">
        <v>0.3</v>
      </c>
      <c r="H33">
        <v>68</v>
      </c>
      <c r="I33">
        <v>32</v>
      </c>
      <c r="J33">
        <v>617</v>
      </c>
      <c r="K33">
        <v>293</v>
      </c>
      <c r="L33">
        <v>512</v>
      </c>
      <c r="M33">
        <v>205</v>
      </c>
      <c r="N33">
        <v>0</v>
      </c>
      <c r="O33">
        <v>0</v>
      </c>
      <c r="P33" t="s">
        <v>36</v>
      </c>
      <c r="Q33">
        <v>0</v>
      </c>
      <c r="R33">
        <v>0</v>
      </c>
      <c r="S33" t="s">
        <v>36</v>
      </c>
      <c r="T33">
        <v>21</v>
      </c>
      <c r="U33">
        <v>6</v>
      </c>
      <c r="V33">
        <v>6</v>
      </c>
      <c r="W33">
        <v>1</v>
      </c>
      <c r="X33">
        <v>14</v>
      </c>
      <c r="Y33">
        <v>16</v>
      </c>
      <c r="Z33">
        <v>9</v>
      </c>
      <c r="AA33">
        <v>2</v>
      </c>
      <c r="AB33">
        <v>4</v>
      </c>
      <c r="AC33">
        <v>3</v>
      </c>
      <c r="AD33">
        <v>0</v>
      </c>
      <c r="AE33">
        <v>0</v>
      </c>
    </row>
    <row r="34" spans="1:31" x14ac:dyDescent="0.25">
      <c r="A34" t="s">
        <v>31</v>
      </c>
      <c r="B34" s="2">
        <v>45549</v>
      </c>
      <c r="C34" t="s">
        <v>41</v>
      </c>
      <c r="D34" t="s">
        <v>55</v>
      </c>
      <c r="E34" t="s">
        <v>59</v>
      </c>
      <c r="F34">
        <v>2.5</v>
      </c>
      <c r="G34">
        <v>1.2</v>
      </c>
      <c r="H34">
        <v>66</v>
      </c>
      <c r="I34">
        <v>34</v>
      </c>
      <c r="J34">
        <v>652</v>
      </c>
      <c r="K34">
        <v>333</v>
      </c>
      <c r="L34">
        <v>533</v>
      </c>
      <c r="M34">
        <v>229</v>
      </c>
      <c r="N34">
        <v>2</v>
      </c>
      <c r="O34">
        <v>2</v>
      </c>
      <c r="P34" t="s">
        <v>36</v>
      </c>
      <c r="Q34">
        <v>0</v>
      </c>
      <c r="R34">
        <v>1</v>
      </c>
      <c r="S34" t="s">
        <v>40</v>
      </c>
      <c r="T34">
        <v>20</v>
      </c>
      <c r="U34">
        <v>9</v>
      </c>
      <c r="V34">
        <v>4</v>
      </c>
      <c r="W34">
        <v>4</v>
      </c>
      <c r="X34">
        <v>11</v>
      </c>
      <c r="Y34">
        <v>15</v>
      </c>
      <c r="Z34">
        <v>5</v>
      </c>
      <c r="AA34">
        <v>2</v>
      </c>
      <c r="AB34">
        <v>0</v>
      </c>
      <c r="AC34">
        <v>3</v>
      </c>
      <c r="AD34">
        <v>0</v>
      </c>
      <c r="AE34">
        <v>0</v>
      </c>
    </row>
    <row r="35" spans="1:31" x14ac:dyDescent="0.25">
      <c r="A35" t="s">
        <v>31</v>
      </c>
      <c r="B35" s="2">
        <v>45549</v>
      </c>
      <c r="C35" t="s">
        <v>41</v>
      </c>
      <c r="D35" t="s">
        <v>34</v>
      </c>
      <c r="E35" t="s">
        <v>51</v>
      </c>
      <c r="F35">
        <v>1.5</v>
      </c>
      <c r="G35">
        <v>0.8</v>
      </c>
      <c r="H35">
        <v>54</v>
      </c>
      <c r="I35">
        <v>46</v>
      </c>
      <c r="J35">
        <v>451</v>
      </c>
      <c r="K35">
        <v>379</v>
      </c>
      <c r="L35">
        <v>351</v>
      </c>
      <c r="M35">
        <v>283</v>
      </c>
      <c r="N35">
        <v>1</v>
      </c>
      <c r="O35">
        <v>1</v>
      </c>
      <c r="P35" t="s">
        <v>36</v>
      </c>
      <c r="Q35">
        <v>1</v>
      </c>
      <c r="R35">
        <v>0</v>
      </c>
      <c r="S35" t="s">
        <v>35</v>
      </c>
      <c r="T35">
        <v>21</v>
      </c>
      <c r="U35">
        <v>11</v>
      </c>
      <c r="V35">
        <v>5</v>
      </c>
      <c r="W35">
        <v>3</v>
      </c>
      <c r="X35">
        <v>15</v>
      </c>
      <c r="Y35">
        <v>18</v>
      </c>
      <c r="Z35">
        <v>3</v>
      </c>
      <c r="AA35">
        <v>2</v>
      </c>
      <c r="AB35">
        <v>2</v>
      </c>
      <c r="AC35">
        <v>3</v>
      </c>
      <c r="AD35">
        <v>0</v>
      </c>
      <c r="AE35">
        <v>0</v>
      </c>
    </row>
    <row r="36" spans="1:31" x14ac:dyDescent="0.25">
      <c r="A36" t="s">
        <v>31</v>
      </c>
      <c r="B36" s="2">
        <v>45549</v>
      </c>
      <c r="C36" t="s">
        <v>41</v>
      </c>
      <c r="D36" t="s">
        <v>39</v>
      </c>
      <c r="E36" t="s">
        <v>48</v>
      </c>
      <c r="F36">
        <v>0.9</v>
      </c>
      <c r="G36">
        <v>0.4</v>
      </c>
      <c r="H36">
        <v>68</v>
      </c>
      <c r="I36">
        <v>32</v>
      </c>
      <c r="J36">
        <v>654</v>
      </c>
      <c r="K36">
        <v>304</v>
      </c>
      <c r="L36">
        <v>542</v>
      </c>
      <c r="M36">
        <v>197</v>
      </c>
      <c r="N36">
        <v>0</v>
      </c>
      <c r="O36">
        <v>1</v>
      </c>
      <c r="P36" t="s">
        <v>40</v>
      </c>
      <c r="Q36">
        <v>0</v>
      </c>
      <c r="R36">
        <v>0</v>
      </c>
      <c r="S36" t="s">
        <v>36</v>
      </c>
      <c r="T36">
        <v>14</v>
      </c>
      <c r="U36">
        <v>5</v>
      </c>
      <c r="V36">
        <v>5</v>
      </c>
      <c r="W36">
        <v>3</v>
      </c>
      <c r="X36">
        <v>15</v>
      </c>
      <c r="Y36">
        <v>6</v>
      </c>
      <c r="Z36">
        <v>7</v>
      </c>
      <c r="AA36">
        <v>2</v>
      </c>
      <c r="AB36">
        <v>4</v>
      </c>
      <c r="AC36">
        <v>4</v>
      </c>
      <c r="AD36">
        <v>0</v>
      </c>
      <c r="AE36">
        <v>0</v>
      </c>
    </row>
    <row r="37" spans="1:31" x14ac:dyDescent="0.25">
      <c r="A37" t="s">
        <v>31</v>
      </c>
      <c r="B37" s="2">
        <v>45549</v>
      </c>
      <c r="C37" t="s">
        <v>41</v>
      </c>
      <c r="D37" t="s">
        <v>58</v>
      </c>
      <c r="E37" t="s">
        <v>54</v>
      </c>
      <c r="F37">
        <v>2.1</v>
      </c>
      <c r="G37">
        <v>1</v>
      </c>
      <c r="H37">
        <v>54</v>
      </c>
      <c r="I37">
        <v>46</v>
      </c>
      <c r="J37">
        <v>581</v>
      </c>
      <c r="K37">
        <v>492</v>
      </c>
      <c r="L37">
        <v>507</v>
      </c>
      <c r="M37">
        <v>414</v>
      </c>
      <c r="N37">
        <v>2</v>
      </c>
      <c r="O37">
        <v>1</v>
      </c>
      <c r="P37" t="s">
        <v>35</v>
      </c>
      <c r="Q37">
        <v>2</v>
      </c>
      <c r="R37">
        <v>1</v>
      </c>
      <c r="S37" t="s">
        <v>35</v>
      </c>
      <c r="T37">
        <v>18</v>
      </c>
      <c r="U37">
        <v>8</v>
      </c>
      <c r="V37">
        <v>7</v>
      </c>
      <c r="W37">
        <v>5</v>
      </c>
      <c r="X37">
        <v>9</v>
      </c>
      <c r="Y37">
        <v>3</v>
      </c>
      <c r="Z37">
        <v>12</v>
      </c>
      <c r="AA37">
        <v>3</v>
      </c>
      <c r="AB37">
        <v>3</v>
      </c>
      <c r="AC37">
        <v>1</v>
      </c>
      <c r="AD37">
        <v>0</v>
      </c>
      <c r="AE37">
        <v>0</v>
      </c>
    </row>
    <row r="38" spans="1:31" x14ac:dyDescent="0.25">
      <c r="A38" t="s">
        <v>31</v>
      </c>
      <c r="B38" s="2">
        <v>45549</v>
      </c>
      <c r="C38" t="s">
        <v>50</v>
      </c>
      <c r="D38" t="s">
        <v>52</v>
      </c>
      <c r="E38" t="s">
        <v>44</v>
      </c>
      <c r="F38">
        <v>2.1</v>
      </c>
      <c r="G38">
        <v>0.9</v>
      </c>
      <c r="H38">
        <v>72</v>
      </c>
      <c r="I38">
        <v>28</v>
      </c>
      <c r="J38">
        <v>709</v>
      </c>
      <c r="K38">
        <v>272</v>
      </c>
      <c r="L38">
        <v>628</v>
      </c>
      <c r="M38">
        <v>203</v>
      </c>
      <c r="N38">
        <v>3</v>
      </c>
      <c r="O38">
        <v>2</v>
      </c>
      <c r="P38" t="s">
        <v>35</v>
      </c>
      <c r="Q38">
        <v>1</v>
      </c>
      <c r="R38">
        <v>2</v>
      </c>
      <c r="S38" t="s">
        <v>40</v>
      </c>
      <c r="T38">
        <v>17</v>
      </c>
      <c r="U38">
        <v>6</v>
      </c>
      <c r="V38">
        <v>8</v>
      </c>
      <c r="W38">
        <v>2</v>
      </c>
      <c r="X38">
        <v>10</v>
      </c>
      <c r="Y38">
        <v>12</v>
      </c>
      <c r="Z38">
        <v>6</v>
      </c>
      <c r="AA38">
        <v>2</v>
      </c>
      <c r="AB38">
        <v>1</v>
      </c>
      <c r="AC38">
        <v>4</v>
      </c>
      <c r="AD38">
        <v>0</v>
      </c>
      <c r="AE38">
        <v>0</v>
      </c>
    </row>
    <row r="39" spans="1:31" x14ac:dyDescent="0.25">
      <c r="A39" t="s">
        <v>31</v>
      </c>
      <c r="B39" s="2">
        <v>45549</v>
      </c>
      <c r="C39" t="s">
        <v>32</v>
      </c>
      <c r="D39" t="s">
        <v>49</v>
      </c>
      <c r="E39" t="s">
        <v>57</v>
      </c>
      <c r="F39">
        <v>1.7</v>
      </c>
      <c r="G39">
        <v>0.8</v>
      </c>
      <c r="H39">
        <v>34</v>
      </c>
      <c r="I39">
        <v>66</v>
      </c>
      <c r="J39">
        <v>317</v>
      </c>
      <c r="K39">
        <v>619</v>
      </c>
      <c r="L39">
        <v>214</v>
      </c>
      <c r="M39">
        <v>522</v>
      </c>
      <c r="N39">
        <v>0</v>
      </c>
      <c r="O39">
        <v>1</v>
      </c>
      <c r="P39" t="s">
        <v>40</v>
      </c>
      <c r="Q39">
        <v>0</v>
      </c>
      <c r="R39">
        <v>0</v>
      </c>
      <c r="S39" t="s">
        <v>36</v>
      </c>
      <c r="T39">
        <v>19</v>
      </c>
      <c r="U39">
        <v>10</v>
      </c>
      <c r="V39">
        <v>7</v>
      </c>
      <c r="W39">
        <v>3</v>
      </c>
      <c r="X39">
        <v>16</v>
      </c>
      <c r="Y39">
        <v>9</v>
      </c>
      <c r="Z39">
        <v>6</v>
      </c>
      <c r="AA39">
        <v>3</v>
      </c>
      <c r="AB39">
        <v>6</v>
      </c>
      <c r="AC39">
        <v>8</v>
      </c>
      <c r="AD39">
        <v>0</v>
      </c>
      <c r="AE39">
        <v>0</v>
      </c>
    </row>
    <row r="40" spans="1:31" x14ac:dyDescent="0.25">
      <c r="A40" t="s">
        <v>31</v>
      </c>
      <c r="B40" s="2">
        <v>45550</v>
      </c>
      <c r="C40" t="s">
        <v>53</v>
      </c>
      <c r="D40" t="s">
        <v>60</v>
      </c>
      <c r="E40" t="s">
        <v>42</v>
      </c>
      <c r="F40">
        <v>0.7</v>
      </c>
      <c r="G40">
        <v>0.7</v>
      </c>
      <c r="H40">
        <v>63</v>
      </c>
      <c r="I40">
        <v>37</v>
      </c>
      <c r="J40">
        <v>553</v>
      </c>
      <c r="K40">
        <v>320</v>
      </c>
      <c r="L40">
        <v>470</v>
      </c>
      <c r="M40">
        <v>235</v>
      </c>
      <c r="N40">
        <v>0</v>
      </c>
      <c r="O40">
        <v>1</v>
      </c>
      <c r="P40" t="s">
        <v>40</v>
      </c>
      <c r="Q40">
        <v>0</v>
      </c>
      <c r="R40">
        <v>0</v>
      </c>
      <c r="S40" t="s">
        <v>36</v>
      </c>
      <c r="T40">
        <v>15</v>
      </c>
      <c r="U40">
        <v>7</v>
      </c>
      <c r="V40">
        <v>5</v>
      </c>
      <c r="W40">
        <v>4</v>
      </c>
      <c r="X40">
        <v>13</v>
      </c>
      <c r="Y40">
        <v>10</v>
      </c>
      <c r="Z40">
        <v>7</v>
      </c>
      <c r="AA40">
        <v>6</v>
      </c>
      <c r="AB40">
        <v>5</v>
      </c>
      <c r="AC40">
        <v>3</v>
      </c>
      <c r="AD40">
        <v>0</v>
      </c>
      <c r="AE40">
        <v>0</v>
      </c>
    </row>
    <row r="41" spans="1:31" x14ac:dyDescent="0.25">
      <c r="A41" t="s">
        <v>31</v>
      </c>
      <c r="B41" s="2">
        <v>45550</v>
      </c>
      <c r="C41" t="s">
        <v>56</v>
      </c>
      <c r="D41" t="s">
        <v>43</v>
      </c>
      <c r="E41" t="s">
        <v>46</v>
      </c>
      <c r="F41">
        <v>1.2</v>
      </c>
      <c r="G41">
        <v>1.5</v>
      </c>
      <c r="H41">
        <v>49</v>
      </c>
      <c r="I41">
        <v>51</v>
      </c>
      <c r="J41">
        <v>483</v>
      </c>
      <c r="K41">
        <v>505</v>
      </c>
      <c r="L41">
        <v>389</v>
      </c>
      <c r="M41">
        <v>434</v>
      </c>
      <c r="N41">
        <v>1</v>
      </c>
      <c r="O41">
        <v>2</v>
      </c>
      <c r="P41" t="s">
        <v>40</v>
      </c>
      <c r="Q41">
        <v>1</v>
      </c>
      <c r="R41">
        <v>0</v>
      </c>
      <c r="S41" t="s">
        <v>35</v>
      </c>
      <c r="T41">
        <v>12</v>
      </c>
      <c r="U41">
        <v>14</v>
      </c>
      <c r="V41">
        <v>5</v>
      </c>
      <c r="W41">
        <v>6</v>
      </c>
      <c r="X41">
        <v>17</v>
      </c>
      <c r="Y41">
        <v>6</v>
      </c>
      <c r="Z41">
        <v>4</v>
      </c>
      <c r="AA41">
        <v>7</v>
      </c>
      <c r="AB41">
        <v>3</v>
      </c>
      <c r="AC41">
        <v>3</v>
      </c>
      <c r="AD41">
        <v>0</v>
      </c>
      <c r="AE41">
        <v>0</v>
      </c>
    </row>
    <row r="42" spans="1:31" x14ac:dyDescent="0.25">
      <c r="A42" t="s">
        <v>31</v>
      </c>
      <c r="B42" s="2">
        <v>45556</v>
      </c>
      <c r="C42" t="s">
        <v>37</v>
      </c>
      <c r="D42" t="s">
        <v>51</v>
      </c>
      <c r="E42" t="s">
        <v>57</v>
      </c>
      <c r="F42">
        <v>0.9</v>
      </c>
      <c r="G42">
        <v>2.2000000000000002</v>
      </c>
      <c r="H42">
        <v>53</v>
      </c>
      <c r="I42">
        <v>47</v>
      </c>
      <c r="J42">
        <v>542</v>
      </c>
      <c r="K42">
        <v>479</v>
      </c>
      <c r="L42">
        <v>463</v>
      </c>
      <c r="M42">
        <v>410</v>
      </c>
      <c r="N42">
        <v>0</v>
      </c>
      <c r="O42">
        <v>3</v>
      </c>
      <c r="P42" t="s">
        <v>40</v>
      </c>
      <c r="Q42">
        <v>0</v>
      </c>
      <c r="R42">
        <v>2</v>
      </c>
      <c r="S42" t="s">
        <v>40</v>
      </c>
      <c r="T42">
        <v>15</v>
      </c>
      <c r="U42">
        <v>12</v>
      </c>
      <c r="V42">
        <v>7</v>
      </c>
      <c r="W42">
        <v>5</v>
      </c>
      <c r="X42">
        <v>17</v>
      </c>
      <c r="Y42">
        <v>9</v>
      </c>
      <c r="Z42">
        <v>6</v>
      </c>
      <c r="AA42">
        <v>5</v>
      </c>
      <c r="AB42">
        <v>5</v>
      </c>
      <c r="AC42">
        <v>2</v>
      </c>
      <c r="AD42">
        <v>0</v>
      </c>
      <c r="AE42">
        <v>0</v>
      </c>
    </row>
    <row r="43" spans="1:31" x14ac:dyDescent="0.25">
      <c r="A43" t="s">
        <v>31</v>
      </c>
      <c r="B43" s="2">
        <v>45556</v>
      </c>
      <c r="C43" t="s">
        <v>41</v>
      </c>
      <c r="D43" t="s">
        <v>52</v>
      </c>
      <c r="E43" t="s">
        <v>43</v>
      </c>
      <c r="F43">
        <v>1.7</v>
      </c>
      <c r="G43">
        <v>0.5</v>
      </c>
      <c r="H43">
        <v>53</v>
      </c>
      <c r="I43">
        <v>47</v>
      </c>
      <c r="J43">
        <v>480</v>
      </c>
      <c r="K43">
        <v>432</v>
      </c>
      <c r="L43">
        <v>412</v>
      </c>
      <c r="M43">
        <v>364</v>
      </c>
      <c r="N43">
        <v>3</v>
      </c>
      <c r="O43">
        <v>1</v>
      </c>
      <c r="P43" t="s">
        <v>35</v>
      </c>
      <c r="Q43">
        <v>0</v>
      </c>
      <c r="R43">
        <v>1</v>
      </c>
      <c r="S43" t="s">
        <v>40</v>
      </c>
      <c r="T43">
        <v>9</v>
      </c>
      <c r="U43">
        <v>10</v>
      </c>
      <c r="V43">
        <v>4</v>
      </c>
      <c r="W43">
        <v>4</v>
      </c>
      <c r="X43">
        <v>11</v>
      </c>
      <c r="Y43">
        <v>16</v>
      </c>
      <c r="Z43">
        <v>6</v>
      </c>
      <c r="AA43">
        <v>5</v>
      </c>
      <c r="AB43">
        <v>3</v>
      </c>
      <c r="AC43">
        <v>6</v>
      </c>
      <c r="AD43">
        <v>0</v>
      </c>
      <c r="AE43">
        <v>0</v>
      </c>
    </row>
    <row r="44" spans="1:31" x14ac:dyDescent="0.25">
      <c r="A44" t="s">
        <v>31</v>
      </c>
      <c r="B44" s="2">
        <v>45556</v>
      </c>
      <c r="C44" t="s">
        <v>41</v>
      </c>
      <c r="D44" t="s">
        <v>34</v>
      </c>
      <c r="E44" t="s">
        <v>46</v>
      </c>
      <c r="F44">
        <v>2.2000000000000002</v>
      </c>
      <c r="G44">
        <v>1.5</v>
      </c>
      <c r="H44">
        <v>39</v>
      </c>
      <c r="I44">
        <v>61</v>
      </c>
      <c r="J44">
        <v>379</v>
      </c>
      <c r="K44">
        <v>605</v>
      </c>
      <c r="L44">
        <v>305</v>
      </c>
      <c r="M44">
        <v>537</v>
      </c>
      <c r="N44">
        <v>3</v>
      </c>
      <c r="O44">
        <v>1</v>
      </c>
      <c r="P44" t="s">
        <v>35</v>
      </c>
      <c r="Q44">
        <v>2</v>
      </c>
      <c r="R44">
        <v>0</v>
      </c>
      <c r="S44" t="s">
        <v>35</v>
      </c>
      <c r="T44">
        <v>22</v>
      </c>
      <c r="U44">
        <v>15</v>
      </c>
      <c r="V44">
        <v>11</v>
      </c>
      <c r="W44">
        <v>4</v>
      </c>
      <c r="X44">
        <v>16</v>
      </c>
      <c r="Y44">
        <v>8</v>
      </c>
      <c r="Z44">
        <v>6</v>
      </c>
      <c r="AA44">
        <v>0</v>
      </c>
      <c r="AB44">
        <v>6</v>
      </c>
      <c r="AC44">
        <v>0</v>
      </c>
      <c r="AD44">
        <v>0</v>
      </c>
      <c r="AE44">
        <v>0</v>
      </c>
    </row>
    <row r="45" spans="1:31" x14ac:dyDescent="0.25">
      <c r="A45" t="s">
        <v>31</v>
      </c>
      <c r="B45" s="2">
        <v>45556</v>
      </c>
      <c r="C45" t="s">
        <v>41</v>
      </c>
      <c r="D45" t="s">
        <v>59</v>
      </c>
      <c r="E45" t="s">
        <v>44</v>
      </c>
      <c r="F45">
        <v>0.7</v>
      </c>
      <c r="G45">
        <v>1.1000000000000001</v>
      </c>
      <c r="H45">
        <v>58</v>
      </c>
      <c r="I45">
        <v>42</v>
      </c>
      <c r="J45">
        <v>522</v>
      </c>
      <c r="K45">
        <v>380</v>
      </c>
      <c r="L45">
        <v>426</v>
      </c>
      <c r="M45">
        <v>295</v>
      </c>
      <c r="N45">
        <v>1</v>
      </c>
      <c r="O45">
        <v>1</v>
      </c>
      <c r="P45" t="s">
        <v>36</v>
      </c>
      <c r="Q45">
        <v>0</v>
      </c>
      <c r="R45">
        <v>1</v>
      </c>
      <c r="S45" t="s">
        <v>40</v>
      </c>
      <c r="T45">
        <v>12</v>
      </c>
      <c r="U45">
        <v>16</v>
      </c>
      <c r="V45">
        <v>2</v>
      </c>
      <c r="W45">
        <v>5</v>
      </c>
      <c r="X45">
        <v>11</v>
      </c>
      <c r="Y45">
        <v>12</v>
      </c>
      <c r="Z45">
        <v>6</v>
      </c>
      <c r="AA45">
        <v>1</v>
      </c>
      <c r="AB45">
        <v>1</v>
      </c>
      <c r="AC45">
        <v>2</v>
      </c>
      <c r="AD45">
        <v>0</v>
      </c>
      <c r="AE45">
        <v>0</v>
      </c>
    </row>
    <row r="46" spans="1:31" x14ac:dyDescent="0.25">
      <c r="A46" t="s">
        <v>31</v>
      </c>
      <c r="B46" s="2">
        <v>45556</v>
      </c>
      <c r="C46" t="s">
        <v>41</v>
      </c>
      <c r="D46" t="s">
        <v>39</v>
      </c>
      <c r="E46" t="s">
        <v>49</v>
      </c>
      <c r="F46">
        <v>2</v>
      </c>
      <c r="G46">
        <v>1.1000000000000001</v>
      </c>
      <c r="H46">
        <v>58</v>
      </c>
      <c r="I46">
        <v>42</v>
      </c>
      <c r="J46">
        <v>619</v>
      </c>
      <c r="K46">
        <v>442</v>
      </c>
      <c r="L46">
        <v>546</v>
      </c>
      <c r="M46">
        <v>360</v>
      </c>
      <c r="N46">
        <v>3</v>
      </c>
      <c r="O46">
        <v>0</v>
      </c>
      <c r="P46" t="s">
        <v>35</v>
      </c>
      <c r="Q46">
        <v>3</v>
      </c>
      <c r="R46">
        <v>0</v>
      </c>
      <c r="S46" t="s">
        <v>35</v>
      </c>
      <c r="T46">
        <v>19</v>
      </c>
      <c r="U46">
        <v>19</v>
      </c>
      <c r="V46">
        <v>13</v>
      </c>
      <c r="W46">
        <v>6</v>
      </c>
      <c r="X46">
        <v>10</v>
      </c>
      <c r="Y46">
        <v>12</v>
      </c>
      <c r="Z46">
        <v>3</v>
      </c>
      <c r="AA46">
        <v>9</v>
      </c>
      <c r="AB46">
        <v>1</v>
      </c>
      <c r="AC46">
        <v>4</v>
      </c>
      <c r="AD46">
        <v>0</v>
      </c>
      <c r="AE46">
        <v>0</v>
      </c>
    </row>
    <row r="47" spans="1:31" x14ac:dyDescent="0.25">
      <c r="A47" t="s">
        <v>31</v>
      </c>
      <c r="B47" s="2">
        <v>45556</v>
      </c>
      <c r="C47" t="s">
        <v>41</v>
      </c>
      <c r="D47" t="s">
        <v>47</v>
      </c>
      <c r="E47" t="s">
        <v>38</v>
      </c>
      <c r="F47">
        <v>2.4</v>
      </c>
      <c r="G47">
        <v>1.6</v>
      </c>
      <c r="H47">
        <v>53</v>
      </c>
      <c r="I47">
        <v>47</v>
      </c>
      <c r="J47">
        <v>517</v>
      </c>
      <c r="K47">
        <v>452</v>
      </c>
      <c r="L47">
        <v>439</v>
      </c>
      <c r="M47">
        <v>371</v>
      </c>
      <c r="N47">
        <v>1</v>
      </c>
      <c r="O47">
        <v>1</v>
      </c>
      <c r="P47" t="s">
        <v>36</v>
      </c>
      <c r="Q47">
        <v>1</v>
      </c>
      <c r="R47">
        <v>0</v>
      </c>
      <c r="S47" t="s">
        <v>35</v>
      </c>
      <c r="T47">
        <v>11</v>
      </c>
      <c r="U47">
        <v>13</v>
      </c>
      <c r="V47">
        <v>3</v>
      </c>
      <c r="W47">
        <v>6</v>
      </c>
      <c r="X47">
        <v>16</v>
      </c>
      <c r="Y47">
        <v>16</v>
      </c>
      <c r="Z47">
        <v>2</v>
      </c>
      <c r="AA47">
        <v>10</v>
      </c>
      <c r="AB47">
        <v>4</v>
      </c>
      <c r="AC47">
        <v>4</v>
      </c>
      <c r="AD47">
        <v>0</v>
      </c>
      <c r="AE47">
        <v>0</v>
      </c>
    </row>
    <row r="48" spans="1:31" x14ac:dyDescent="0.25">
      <c r="A48" t="s">
        <v>31</v>
      </c>
      <c r="B48" s="2">
        <v>45556</v>
      </c>
      <c r="C48" t="s">
        <v>41</v>
      </c>
      <c r="D48" t="s">
        <v>60</v>
      </c>
      <c r="E48" t="s">
        <v>54</v>
      </c>
      <c r="F48">
        <v>3.5</v>
      </c>
      <c r="G48">
        <v>0.8</v>
      </c>
      <c r="H48">
        <v>48</v>
      </c>
      <c r="I48">
        <v>52</v>
      </c>
      <c r="J48">
        <v>485</v>
      </c>
      <c r="K48">
        <v>523</v>
      </c>
      <c r="L48">
        <v>381</v>
      </c>
      <c r="M48">
        <v>411</v>
      </c>
      <c r="N48">
        <v>3</v>
      </c>
      <c r="O48">
        <v>1</v>
      </c>
      <c r="P48" t="s">
        <v>35</v>
      </c>
      <c r="Q48">
        <v>2</v>
      </c>
      <c r="R48">
        <v>1</v>
      </c>
      <c r="S48" t="s">
        <v>35</v>
      </c>
      <c r="T48">
        <v>23</v>
      </c>
      <c r="U48">
        <v>6</v>
      </c>
      <c r="V48">
        <v>10</v>
      </c>
      <c r="W48">
        <v>6</v>
      </c>
      <c r="X48">
        <v>11</v>
      </c>
      <c r="Y48">
        <v>9</v>
      </c>
      <c r="Z48">
        <v>9</v>
      </c>
      <c r="AA48">
        <v>4</v>
      </c>
      <c r="AB48">
        <v>3</v>
      </c>
      <c r="AC48">
        <v>1</v>
      </c>
      <c r="AD48">
        <v>0</v>
      </c>
      <c r="AE48">
        <v>0</v>
      </c>
    </row>
    <row r="49" spans="1:31" x14ac:dyDescent="0.25">
      <c r="A49" t="s">
        <v>31</v>
      </c>
      <c r="B49" s="2">
        <v>45556</v>
      </c>
      <c r="C49" t="s">
        <v>50</v>
      </c>
      <c r="D49" t="s">
        <v>55</v>
      </c>
      <c r="E49" t="s">
        <v>33</v>
      </c>
      <c r="F49">
        <v>1</v>
      </c>
      <c r="G49">
        <v>1.6</v>
      </c>
      <c r="H49">
        <v>33</v>
      </c>
      <c r="I49">
        <v>67</v>
      </c>
      <c r="J49">
        <v>342</v>
      </c>
      <c r="K49">
        <v>698</v>
      </c>
      <c r="L49">
        <v>239</v>
      </c>
      <c r="M49">
        <v>586</v>
      </c>
      <c r="N49">
        <v>0</v>
      </c>
      <c r="O49">
        <v>0</v>
      </c>
      <c r="P49" t="s">
        <v>36</v>
      </c>
      <c r="Q49">
        <v>0</v>
      </c>
      <c r="R49">
        <v>0</v>
      </c>
      <c r="S49" t="s">
        <v>36</v>
      </c>
      <c r="T49">
        <v>9</v>
      </c>
      <c r="U49">
        <v>15</v>
      </c>
      <c r="V49">
        <v>4</v>
      </c>
      <c r="W49">
        <v>6</v>
      </c>
      <c r="X49">
        <v>7</v>
      </c>
      <c r="Y49">
        <v>12</v>
      </c>
      <c r="Z49">
        <v>4</v>
      </c>
      <c r="AA49">
        <v>11</v>
      </c>
      <c r="AB49">
        <v>3</v>
      </c>
      <c r="AC49">
        <v>1</v>
      </c>
      <c r="AD49">
        <v>0</v>
      </c>
      <c r="AE49">
        <v>0</v>
      </c>
    </row>
    <row r="50" spans="1:31" x14ac:dyDescent="0.25">
      <c r="A50" t="s">
        <v>31</v>
      </c>
      <c r="B50" s="2">
        <v>45557</v>
      </c>
      <c r="C50" t="s">
        <v>53</v>
      </c>
      <c r="D50" t="s">
        <v>45</v>
      </c>
      <c r="E50" t="s">
        <v>48</v>
      </c>
      <c r="F50">
        <v>1</v>
      </c>
      <c r="G50">
        <v>1.4</v>
      </c>
      <c r="H50">
        <v>70</v>
      </c>
      <c r="I50">
        <v>30</v>
      </c>
      <c r="J50">
        <v>619</v>
      </c>
      <c r="K50">
        <v>270</v>
      </c>
      <c r="L50">
        <v>510</v>
      </c>
      <c r="M50">
        <v>182</v>
      </c>
      <c r="N50">
        <v>2</v>
      </c>
      <c r="O50">
        <v>2</v>
      </c>
      <c r="P50" t="s">
        <v>36</v>
      </c>
      <c r="Q50">
        <v>2</v>
      </c>
      <c r="R50">
        <v>1</v>
      </c>
      <c r="S50" t="s">
        <v>35</v>
      </c>
      <c r="T50">
        <v>14</v>
      </c>
      <c r="U50">
        <v>4</v>
      </c>
      <c r="V50">
        <v>3</v>
      </c>
      <c r="W50">
        <v>3</v>
      </c>
      <c r="X50">
        <v>12</v>
      </c>
      <c r="Y50">
        <v>11</v>
      </c>
      <c r="Z50">
        <v>9</v>
      </c>
      <c r="AA50">
        <v>1</v>
      </c>
      <c r="AB50">
        <v>3</v>
      </c>
      <c r="AC50">
        <v>4</v>
      </c>
      <c r="AD50">
        <v>0</v>
      </c>
      <c r="AE50">
        <v>1</v>
      </c>
    </row>
    <row r="51" spans="1:31" x14ac:dyDescent="0.25">
      <c r="A51" t="s">
        <v>31</v>
      </c>
      <c r="B51" s="2">
        <v>45557</v>
      </c>
      <c r="C51" t="s">
        <v>56</v>
      </c>
      <c r="D51" t="s">
        <v>58</v>
      </c>
      <c r="E51" t="s">
        <v>42</v>
      </c>
      <c r="F51">
        <v>2.1</v>
      </c>
      <c r="G51">
        <v>0.7</v>
      </c>
      <c r="H51">
        <v>77</v>
      </c>
      <c r="I51">
        <v>23</v>
      </c>
      <c r="J51">
        <v>749</v>
      </c>
      <c r="K51">
        <v>221</v>
      </c>
      <c r="L51">
        <v>669</v>
      </c>
      <c r="M51">
        <v>154</v>
      </c>
      <c r="N51">
        <v>2</v>
      </c>
      <c r="O51">
        <v>2</v>
      </c>
      <c r="P51" t="s">
        <v>36</v>
      </c>
      <c r="Q51">
        <v>1</v>
      </c>
      <c r="R51">
        <v>2</v>
      </c>
      <c r="S51" t="s">
        <v>40</v>
      </c>
      <c r="T51">
        <v>33</v>
      </c>
      <c r="U51">
        <v>5</v>
      </c>
      <c r="V51">
        <v>11</v>
      </c>
      <c r="W51">
        <v>3</v>
      </c>
      <c r="X51">
        <v>7</v>
      </c>
      <c r="Y51">
        <v>10</v>
      </c>
      <c r="Z51">
        <v>8</v>
      </c>
      <c r="AA51">
        <v>2</v>
      </c>
      <c r="AB51">
        <v>3</v>
      </c>
      <c r="AC51">
        <v>4</v>
      </c>
      <c r="AD51">
        <v>0</v>
      </c>
      <c r="AE51">
        <v>1</v>
      </c>
    </row>
    <row r="52" spans="1:31" x14ac:dyDescent="0.25">
      <c r="A52" t="s">
        <v>31</v>
      </c>
      <c r="B52" s="2">
        <v>45563</v>
      </c>
      <c r="C52" t="s">
        <v>37</v>
      </c>
      <c r="D52" t="s">
        <v>46</v>
      </c>
      <c r="E52" t="s">
        <v>58</v>
      </c>
      <c r="F52">
        <v>1.6</v>
      </c>
      <c r="G52">
        <v>0.9</v>
      </c>
      <c r="H52">
        <v>38</v>
      </c>
      <c r="I52">
        <v>62</v>
      </c>
      <c r="J52">
        <v>368</v>
      </c>
      <c r="K52">
        <v>598</v>
      </c>
      <c r="L52">
        <v>285</v>
      </c>
      <c r="M52">
        <v>511</v>
      </c>
      <c r="N52">
        <v>1</v>
      </c>
      <c r="O52">
        <v>1</v>
      </c>
      <c r="P52" t="s">
        <v>36</v>
      </c>
      <c r="Q52">
        <v>0</v>
      </c>
      <c r="R52">
        <v>1</v>
      </c>
      <c r="S52" t="s">
        <v>40</v>
      </c>
      <c r="T52">
        <v>11</v>
      </c>
      <c r="U52">
        <v>16</v>
      </c>
      <c r="V52">
        <v>4</v>
      </c>
      <c r="W52">
        <v>6</v>
      </c>
      <c r="X52">
        <v>14</v>
      </c>
      <c r="Y52">
        <v>10</v>
      </c>
      <c r="Z52">
        <v>5</v>
      </c>
      <c r="AA52">
        <v>6</v>
      </c>
      <c r="AB52">
        <v>4</v>
      </c>
      <c r="AC52">
        <v>4</v>
      </c>
      <c r="AD52">
        <v>0</v>
      </c>
      <c r="AE52">
        <v>0</v>
      </c>
    </row>
    <row r="53" spans="1:31" x14ac:dyDescent="0.25">
      <c r="A53" t="s">
        <v>31</v>
      </c>
      <c r="B53" s="2">
        <v>45563</v>
      </c>
      <c r="C53" t="s">
        <v>41</v>
      </c>
      <c r="D53" t="s">
        <v>42</v>
      </c>
      <c r="E53" t="s">
        <v>59</v>
      </c>
      <c r="F53">
        <v>4.4000000000000004</v>
      </c>
      <c r="G53">
        <v>0.3</v>
      </c>
      <c r="H53">
        <v>74</v>
      </c>
      <c r="I53">
        <v>26</v>
      </c>
      <c r="J53">
        <v>723</v>
      </c>
      <c r="K53">
        <v>257</v>
      </c>
      <c r="L53">
        <v>620</v>
      </c>
      <c r="M53">
        <v>192</v>
      </c>
      <c r="N53">
        <v>4</v>
      </c>
      <c r="O53">
        <v>2</v>
      </c>
      <c r="P53" t="s">
        <v>35</v>
      </c>
      <c r="Q53">
        <v>2</v>
      </c>
      <c r="R53">
        <v>0</v>
      </c>
      <c r="S53" t="s">
        <v>35</v>
      </c>
      <c r="T53">
        <v>36</v>
      </c>
      <c r="U53">
        <v>5</v>
      </c>
      <c r="V53">
        <v>16</v>
      </c>
      <c r="W53">
        <v>3</v>
      </c>
      <c r="X53">
        <v>11</v>
      </c>
      <c r="Y53">
        <v>6</v>
      </c>
      <c r="Z53">
        <v>17</v>
      </c>
      <c r="AA53">
        <v>0</v>
      </c>
      <c r="AB53">
        <v>2</v>
      </c>
      <c r="AC53">
        <v>4</v>
      </c>
      <c r="AD53">
        <v>0</v>
      </c>
      <c r="AE53">
        <v>0</v>
      </c>
    </row>
    <row r="54" spans="1:31" x14ac:dyDescent="0.25">
      <c r="A54" t="s">
        <v>31</v>
      </c>
      <c r="B54" s="2">
        <v>45563</v>
      </c>
      <c r="C54" t="s">
        <v>41</v>
      </c>
      <c r="D54" t="s">
        <v>54</v>
      </c>
      <c r="E54" t="s">
        <v>51</v>
      </c>
      <c r="F54">
        <v>0.4</v>
      </c>
      <c r="G54">
        <v>1</v>
      </c>
      <c r="H54">
        <v>57</v>
      </c>
      <c r="I54">
        <v>43</v>
      </c>
      <c r="J54">
        <v>578</v>
      </c>
      <c r="K54">
        <v>439</v>
      </c>
      <c r="L54">
        <v>448</v>
      </c>
      <c r="M54">
        <v>338</v>
      </c>
      <c r="N54">
        <v>1</v>
      </c>
      <c r="O54">
        <v>1</v>
      </c>
      <c r="P54" t="s">
        <v>36</v>
      </c>
      <c r="Q54">
        <v>1</v>
      </c>
      <c r="R54">
        <v>0</v>
      </c>
      <c r="S54" t="s">
        <v>35</v>
      </c>
      <c r="T54">
        <v>8</v>
      </c>
      <c r="U54">
        <v>19</v>
      </c>
      <c r="V54">
        <v>3</v>
      </c>
      <c r="W54">
        <v>3</v>
      </c>
      <c r="X54">
        <v>2</v>
      </c>
      <c r="Y54">
        <v>11</v>
      </c>
      <c r="Z54">
        <v>7</v>
      </c>
      <c r="AA54">
        <v>7</v>
      </c>
      <c r="AB54">
        <v>2</v>
      </c>
      <c r="AC54">
        <v>3</v>
      </c>
      <c r="AD54">
        <v>0</v>
      </c>
      <c r="AE54">
        <v>0</v>
      </c>
    </row>
    <row r="55" spans="1:31" x14ac:dyDescent="0.25">
      <c r="A55" t="s">
        <v>31</v>
      </c>
      <c r="B55" s="2">
        <v>45563</v>
      </c>
      <c r="C55" t="s">
        <v>41</v>
      </c>
      <c r="D55" t="s">
        <v>57</v>
      </c>
      <c r="E55" t="s">
        <v>45</v>
      </c>
      <c r="F55">
        <v>4.2</v>
      </c>
      <c r="G55">
        <v>1.1000000000000001</v>
      </c>
      <c r="H55">
        <v>41</v>
      </c>
      <c r="I55">
        <v>59</v>
      </c>
      <c r="J55">
        <v>414</v>
      </c>
      <c r="K55">
        <v>593</v>
      </c>
      <c r="L55">
        <v>312</v>
      </c>
      <c r="M55">
        <v>501</v>
      </c>
      <c r="N55">
        <v>4</v>
      </c>
      <c r="O55">
        <v>2</v>
      </c>
      <c r="P55" t="s">
        <v>35</v>
      </c>
      <c r="Q55">
        <v>4</v>
      </c>
      <c r="R55">
        <v>2</v>
      </c>
      <c r="S55" t="s">
        <v>35</v>
      </c>
      <c r="T55">
        <v>15</v>
      </c>
      <c r="U55">
        <v>15</v>
      </c>
      <c r="V55">
        <v>7</v>
      </c>
      <c r="W55">
        <v>5</v>
      </c>
      <c r="X55">
        <v>11</v>
      </c>
      <c r="Y55">
        <v>8</v>
      </c>
      <c r="Z55">
        <v>8</v>
      </c>
      <c r="AA55">
        <v>2</v>
      </c>
      <c r="AB55">
        <v>3</v>
      </c>
      <c r="AC55">
        <v>2</v>
      </c>
      <c r="AD55">
        <v>0</v>
      </c>
      <c r="AE55">
        <v>0</v>
      </c>
    </row>
    <row r="56" spans="1:31" x14ac:dyDescent="0.25">
      <c r="A56" t="s">
        <v>31</v>
      </c>
      <c r="B56" s="2">
        <v>45563</v>
      </c>
      <c r="C56" t="s">
        <v>41</v>
      </c>
      <c r="D56" t="s">
        <v>44</v>
      </c>
      <c r="E56" t="s">
        <v>55</v>
      </c>
      <c r="F56">
        <v>0.9</v>
      </c>
      <c r="G56">
        <v>0.9</v>
      </c>
      <c r="H56">
        <v>41</v>
      </c>
      <c r="I56">
        <v>59</v>
      </c>
      <c r="J56">
        <v>399</v>
      </c>
      <c r="K56">
        <v>581</v>
      </c>
      <c r="L56">
        <v>287</v>
      </c>
      <c r="M56">
        <v>458</v>
      </c>
      <c r="N56">
        <v>2</v>
      </c>
      <c r="O56">
        <v>1</v>
      </c>
      <c r="P56" t="s">
        <v>35</v>
      </c>
      <c r="Q56">
        <v>0</v>
      </c>
      <c r="R56">
        <v>1</v>
      </c>
      <c r="S56" t="s">
        <v>40</v>
      </c>
      <c r="T56">
        <v>8</v>
      </c>
      <c r="U56">
        <v>17</v>
      </c>
      <c r="V56">
        <v>2</v>
      </c>
      <c r="W56">
        <v>5</v>
      </c>
      <c r="X56">
        <v>13</v>
      </c>
      <c r="Y56">
        <v>11</v>
      </c>
      <c r="Z56">
        <v>5</v>
      </c>
      <c r="AA56">
        <v>8</v>
      </c>
      <c r="AB56">
        <v>2</v>
      </c>
      <c r="AC56">
        <v>1</v>
      </c>
      <c r="AD56">
        <v>0</v>
      </c>
      <c r="AE56">
        <v>0</v>
      </c>
    </row>
    <row r="57" spans="1:31" x14ac:dyDescent="0.25">
      <c r="A57" t="s">
        <v>31</v>
      </c>
      <c r="B57" s="2">
        <v>45563</v>
      </c>
      <c r="C57" t="s">
        <v>41</v>
      </c>
      <c r="D57" t="s">
        <v>48</v>
      </c>
      <c r="E57" t="s">
        <v>34</v>
      </c>
      <c r="F57">
        <v>0.8</v>
      </c>
      <c r="G57">
        <v>1.3</v>
      </c>
      <c r="H57">
        <v>41</v>
      </c>
      <c r="I57">
        <v>59</v>
      </c>
      <c r="J57">
        <v>398</v>
      </c>
      <c r="K57">
        <v>563</v>
      </c>
      <c r="L57">
        <v>291</v>
      </c>
      <c r="M57">
        <v>473</v>
      </c>
      <c r="N57">
        <v>0</v>
      </c>
      <c r="O57">
        <v>1</v>
      </c>
      <c r="P57" t="s">
        <v>40</v>
      </c>
      <c r="Q57">
        <v>0</v>
      </c>
      <c r="R57">
        <v>0</v>
      </c>
      <c r="S57" t="s">
        <v>36</v>
      </c>
      <c r="T57">
        <v>11</v>
      </c>
      <c r="U57">
        <v>14</v>
      </c>
      <c r="V57">
        <v>1</v>
      </c>
      <c r="W57">
        <v>2</v>
      </c>
      <c r="X57">
        <v>11</v>
      </c>
      <c r="Y57">
        <v>15</v>
      </c>
      <c r="Z57">
        <v>6</v>
      </c>
      <c r="AA57">
        <v>5</v>
      </c>
      <c r="AB57">
        <v>2</v>
      </c>
      <c r="AC57">
        <v>4</v>
      </c>
      <c r="AD57">
        <v>0</v>
      </c>
      <c r="AE57">
        <v>0</v>
      </c>
    </row>
    <row r="58" spans="1:31" x14ac:dyDescent="0.25">
      <c r="A58" t="s">
        <v>31</v>
      </c>
      <c r="B58" s="2">
        <v>45563</v>
      </c>
      <c r="C58" t="s">
        <v>50</v>
      </c>
      <c r="D58" t="s">
        <v>43</v>
      </c>
      <c r="E58" t="s">
        <v>39</v>
      </c>
      <c r="F58">
        <v>0.6</v>
      </c>
      <c r="G58">
        <v>2.5</v>
      </c>
      <c r="H58">
        <v>45</v>
      </c>
      <c r="I58">
        <v>55</v>
      </c>
      <c r="J58">
        <v>465</v>
      </c>
      <c r="K58">
        <v>574</v>
      </c>
      <c r="L58">
        <v>382</v>
      </c>
      <c r="M58">
        <v>476</v>
      </c>
      <c r="N58">
        <v>1</v>
      </c>
      <c r="O58">
        <v>2</v>
      </c>
      <c r="P58" t="s">
        <v>40</v>
      </c>
      <c r="Q58">
        <v>0</v>
      </c>
      <c r="R58">
        <v>1</v>
      </c>
      <c r="S58" t="s">
        <v>40</v>
      </c>
      <c r="T58">
        <v>8</v>
      </c>
      <c r="U58">
        <v>10</v>
      </c>
      <c r="V58">
        <v>3</v>
      </c>
      <c r="W58">
        <v>6</v>
      </c>
      <c r="X58">
        <v>16</v>
      </c>
      <c r="Y58">
        <v>8</v>
      </c>
      <c r="Z58">
        <v>2</v>
      </c>
      <c r="AA58">
        <v>10</v>
      </c>
      <c r="AB58">
        <v>2</v>
      </c>
      <c r="AC58">
        <v>3</v>
      </c>
      <c r="AD58">
        <v>0</v>
      </c>
      <c r="AE58">
        <v>0</v>
      </c>
    </row>
    <row r="59" spans="1:31" x14ac:dyDescent="0.25">
      <c r="A59" t="s">
        <v>31</v>
      </c>
      <c r="B59" s="2">
        <v>45564</v>
      </c>
      <c r="C59" t="s">
        <v>53</v>
      </c>
      <c r="D59" t="s">
        <v>38</v>
      </c>
      <c r="E59" t="s">
        <v>52</v>
      </c>
      <c r="F59">
        <v>1.2</v>
      </c>
      <c r="G59">
        <v>0.8</v>
      </c>
      <c r="H59">
        <v>44</v>
      </c>
      <c r="I59">
        <v>56</v>
      </c>
      <c r="J59">
        <v>441</v>
      </c>
      <c r="K59">
        <v>561</v>
      </c>
      <c r="L59">
        <v>361</v>
      </c>
      <c r="M59">
        <v>493</v>
      </c>
      <c r="N59">
        <v>2</v>
      </c>
      <c r="O59">
        <v>2</v>
      </c>
      <c r="P59" t="s">
        <v>36</v>
      </c>
      <c r="Q59">
        <v>1</v>
      </c>
      <c r="R59">
        <v>2</v>
      </c>
      <c r="S59" t="s">
        <v>40</v>
      </c>
      <c r="T59">
        <v>15</v>
      </c>
      <c r="U59">
        <v>7</v>
      </c>
      <c r="V59">
        <v>5</v>
      </c>
      <c r="W59">
        <v>3</v>
      </c>
      <c r="X59">
        <v>10</v>
      </c>
      <c r="Y59">
        <v>14</v>
      </c>
      <c r="Z59">
        <v>10</v>
      </c>
      <c r="AA59">
        <v>0</v>
      </c>
      <c r="AB59">
        <v>4</v>
      </c>
      <c r="AC59">
        <v>1</v>
      </c>
      <c r="AD59">
        <v>0</v>
      </c>
      <c r="AE59">
        <v>0</v>
      </c>
    </row>
    <row r="60" spans="1:31" x14ac:dyDescent="0.25">
      <c r="A60" t="s">
        <v>31</v>
      </c>
      <c r="B60" s="2">
        <v>45564</v>
      </c>
      <c r="C60" t="s">
        <v>56</v>
      </c>
      <c r="D60" t="s">
        <v>33</v>
      </c>
      <c r="E60" t="s">
        <v>60</v>
      </c>
      <c r="F60">
        <v>1</v>
      </c>
      <c r="G60">
        <v>4.4000000000000004</v>
      </c>
      <c r="H60">
        <v>39</v>
      </c>
      <c r="I60">
        <v>61</v>
      </c>
      <c r="J60">
        <v>436</v>
      </c>
      <c r="K60">
        <v>675</v>
      </c>
      <c r="L60">
        <v>336</v>
      </c>
      <c r="M60">
        <v>591</v>
      </c>
      <c r="N60">
        <v>0</v>
      </c>
      <c r="O60">
        <v>3</v>
      </c>
      <c r="P60" t="s">
        <v>40</v>
      </c>
      <c r="Q60">
        <v>0</v>
      </c>
      <c r="R60">
        <v>1</v>
      </c>
      <c r="S60" t="s">
        <v>40</v>
      </c>
      <c r="T60">
        <v>11</v>
      </c>
      <c r="U60">
        <v>24</v>
      </c>
      <c r="V60">
        <v>2</v>
      </c>
      <c r="W60">
        <v>10</v>
      </c>
      <c r="X60">
        <v>16</v>
      </c>
      <c r="Y60">
        <v>14</v>
      </c>
      <c r="Z60">
        <v>5</v>
      </c>
      <c r="AA60">
        <v>3</v>
      </c>
      <c r="AB60">
        <v>5</v>
      </c>
      <c r="AC60">
        <v>3</v>
      </c>
      <c r="AD60">
        <v>1</v>
      </c>
      <c r="AE60">
        <v>0</v>
      </c>
    </row>
    <row r="61" spans="1:31" x14ac:dyDescent="0.25">
      <c r="A61" t="s">
        <v>31</v>
      </c>
      <c r="B61" s="2">
        <v>45565</v>
      </c>
      <c r="C61" t="s">
        <v>32</v>
      </c>
      <c r="D61" t="s">
        <v>49</v>
      </c>
      <c r="E61" t="s">
        <v>47</v>
      </c>
      <c r="F61">
        <v>1.3</v>
      </c>
      <c r="G61">
        <v>0.6</v>
      </c>
      <c r="H61">
        <v>40</v>
      </c>
      <c r="I61">
        <v>60</v>
      </c>
      <c r="J61">
        <v>420</v>
      </c>
      <c r="K61">
        <v>620</v>
      </c>
      <c r="L61">
        <v>321</v>
      </c>
      <c r="M61">
        <v>530</v>
      </c>
      <c r="N61">
        <v>3</v>
      </c>
      <c r="O61">
        <v>1</v>
      </c>
      <c r="P61" t="s">
        <v>35</v>
      </c>
      <c r="Q61">
        <v>3</v>
      </c>
      <c r="R61">
        <v>0</v>
      </c>
      <c r="S61" t="s">
        <v>35</v>
      </c>
      <c r="T61">
        <v>14</v>
      </c>
      <c r="U61">
        <v>9</v>
      </c>
      <c r="V61">
        <v>6</v>
      </c>
      <c r="W61">
        <v>3</v>
      </c>
      <c r="X61">
        <v>19</v>
      </c>
      <c r="Y61">
        <v>12</v>
      </c>
      <c r="Z61">
        <v>7</v>
      </c>
      <c r="AA61">
        <v>4</v>
      </c>
      <c r="AB61">
        <v>2</v>
      </c>
      <c r="AC61">
        <v>5</v>
      </c>
      <c r="AD61">
        <v>0</v>
      </c>
      <c r="AE61">
        <v>0</v>
      </c>
    </row>
    <row r="62" spans="1:31" x14ac:dyDescent="0.25">
      <c r="A62" t="s">
        <v>31</v>
      </c>
      <c r="B62" s="2">
        <v>45570</v>
      </c>
      <c r="C62" t="s">
        <v>37</v>
      </c>
      <c r="D62" t="s">
        <v>55</v>
      </c>
      <c r="E62" t="s">
        <v>39</v>
      </c>
      <c r="F62">
        <v>0.6</v>
      </c>
      <c r="G62">
        <v>1.4</v>
      </c>
      <c r="H62">
        <v>32</v>
      </c>
      <c r="I62">
        <v>68</v>
      </c>
      <c r="J62">
        <v>325</v>
      </c>
      <c r="K62">
        <v>691</v>
      </c>
      <c r="L62">
        <v>221</v>
      </c>
      <c r="M62">
        <v>584</v>
      </c>
      <c r="N62">
        <v>0</v>
      </c>
      <c r="O62">
        <v>1</v>
      </c>
      <c r="P62" t="s">
        <v>40</v>
      </c>
      <c r="Q62">
        <v>0</v>
      </c>
      <c r="R62">
        <v>1</v>
      </c>
      <c r="S62" t="s">
        <v>40</v>
      </c>
      <c r="T62">
        <v>9</v>
      </c>
      <c r="U62">
        <v>16</v>
      </c>
      <c r="V62">
        <v>5</v>
      </c>
      <c r="W62">
        <v>4</v>
      </c>
      <c r="X62">
        <v>7</v>
      </c>
      <c r="Y62">
        <v>15</v>
      </c>
      <c r="Z62">
        <v>3</v>
      </c>
      <c r="AA62">
        <v>8</v>
      </c>
      <c r="AB62">
        <v>4</v>
      </c>
      <c r="AC62">
        <v>2</v>
      </c>
      <c r="AD62">
        <v>0</v>
      </c>
      <c r="AE62">
        <v>0</v>
      </c>
    </row>
    <row r="63" spans="1:31" x14ac:dyDescent="0.25">
      <c r="A63" t="s">
        <v>31</v>
      </c>
      <c r="B63" s="2">
        <v>45570</v>
      </c>
      <c r="C63" t="s">
        <v>41</v>
      </c>
      <c r="D63" t="s">
        <v>42</v>
      </c>
      <c r="E63" t="s">
        <v>47</v>
      </c>
      <c r="F63">
        <v>2.8</v>
      </c>
      <c r="G63">
        <v>0.6</v>
      </c>
      <c r="H63">
        <v>59</v>
      </c>
      <c r="I63">
        <v>41</v>
      </c>
      <c r="J63">
        <v>590</v>
      </c>
      <c r="K63">
        <v>411</v>
      </c>
      <c r="L63">
        <v>505</v>
      </c>
      <c r="M63">
        <v>345</v>
      </c>
      <c r="N63">
        <v>3</v>
      </c>
      <c r="O63">
        <v>1</v>
      </c>
      <c r="P63" t="s">
        <v>35</v>
      </c>
      <c r="Q63">
        <v>0</v>
      </c>
      <c r="R63">
        <v>0</v>
      </c>
      <c r="S63" t="s">
        <v>36</v>
      </c>
      <c r="T63">
        <v>29</v>
      </c>
      <c r="U63">
        <v>8</v>
      </c>
      <c r="V63">
        <v>6</v>
      </c>
      <c r="W63">
        <v>2</v>
      </c>
      <c r="X63">
        <v>10</v>
      </c>
      <c r="Y63">
        <v>9</v>
      </c>
      <c r="Z63">
        <v>13</v>
      </c>
      <c r="AA63">
        <v>1</v>
      </c>
      <c r="AB63">
        <v>0</v>
      </c>
      <c r="AC63">
        <v>3</v>
      </c>
      <c r="AD63">
        <v>0</v>
      </c>
      <c r="AE63">
        <v>0</v>
      </c>
    </row>
    <row r="64" spans="1:31" x14ac:dyDescent="0.25">
      <c r="A64" t="s">
        <v>31</v>
      </c>
      <c r="B64" s="2">
        <v>45570</v>
      </c>
      <c r="C64" t="s">
        <v>41</v>
      </c>
      <c r="D64" t="s">
        <v>54</v>
      </c>
      <c r="E64" t="s">
        <v>43</v>
      </c>
      <c r="F64">
        <v>4.2</v>
      </c>
      <c r="G64">
        <v>1</v>
      </c>
      <c r="H64">
        <v>44</v>
      </c>
      <c r="I64">
        <v>56</v>
      </c>
      <c r="J64">
        <v>410</v>
      </c>
      <c r="K64">
        <v>514</v>
      </c>
      <c r="L64">
        <v>308</v>
      </c>
      <c r="M64">
        <v>394</v>
      </c>
      <c r="N64">
        <v>5</v>
      </c>
      <c r="O64">
        <v>3</v>
      </c>
      <c r="P64" t="s">
        <v>35</v>
      </c>
      <c r="Q64">
        <v>4</v>
      </c>
      <c r="R64">
        <v>2</v>
      </c>
      <c r="S64" t="s">
        <v>35</v>
      </c>
      <c r="T64">
        <v>19</v>
      </c>
      <c r="U64">
        <v>17</v>
      </c>
      <c r="V64">
        <v>12</v>
      </c>
      <c r="W64">
        <v>6</v>
      </c>
      <c r="X64">
        <v>9</v>
      </c>
      <c r="Y64">
        <v>10</v>
      </c>
      <c r="Z64">
        <v>10</v>
      </c>
      <c r="AA64">
        <v>3</v>
      </c>
      <c r="AB64">
        <v>2</v>
      </c>
      <c r="AC64">
        <v>3</v>
      </c>
      <c r="AD64">
        <v>0</v>
      </c>
      <c r="AE64">
        <v>0</v>
      </c>
    </row>
    <row r="65" spans="1:31" x14ac:dyDescent="0.25">
      <c r="A65" t="s">
        <v>31</v>
      </c>
      <c r="B65" s="2">
        <v>45570</v>
      </c>
      <c r="C65" t="s">
        <v>41</v>
      </c>
      <c r="D65" t="s">
        <v>59</v>
      </c>
      <c r="E65" t="s">
        <v>49</v>
      </c>
      <c r="F65">
        <v>0.8</v>
      </c>
      <c r="G65">
        <v>2.1</v>
      </c>
      <c r="H65">
        <v>45</v>
      </c>
      <c r="I65">
        <v>55</v>
      </c>
      <c r="J65">
        <v>404</v>
      </c>
      <c r="K65">
        <v>494</v>
      </c>
      <c r="L65">
        <v>306</v>
      </c>
      <c r="M65">
        <v>385</v>
      </c>
      <c r="N65">
        <v>1</v>
      </c>
      <c r="O65">
        <v>0</v>
      </c>
      <c r="P65" t="s">
        <v>35</v>
      </c>
      <c r="Q65">
        <v>1</v>
      </c>
      <c r="R65">
        <v>0</v>
      </c>
      <c r="S65" t="s">
        <v>35</v>
      </c>
      <c r="T65">
        <v>6</v>
      </c>
      <c r="U65">
        <v>17</v>
      </c>
      <c r="V65">
        <v>2</v>
      </c>
      <c r="W65">
        <v>2</v>
      </c>
      <c r="X65">
        <v>12</v>
      </c>
      <c r="Y65">
        <v>14</v>
      </c>
      <c r="Z65">
        <v>0</v>
      </c>
      <c r="AA65">
        <v>9</v>
      </c>
      <c r="AB65">
        <v>4</v>
      </c>
      <c r="AC65">
        <v>1</v>
      </c>
      <c r="AD65">
        <v>0</v>
      </c>
      <c r="AE65">
        <v>0</v>
      </c>
    </row>
    <row r="66" spans="1:31" x14ac:dyDescent="0.25">
      <c r="A66" t="s">
        <v>31</v>
      </c>
      <c r="B66" s="2">
        <v>45570</v>
      </c>
      <c r="C66" t="s">
        <v>41</v>
      </c>
      <c r="D66" t="s">
        <v>58</v>
      </c>
      <c r="E66" t="s">
        <v>34</v>
      </c>
      <c r="F66">
        <v>1.6</v>
      </c>
      <c r="G66">
        <v>2.6</v>
      </c>
      <c r="H66">
        <v>58</v>
      </c>
      <c r="I66">
        <v>42</v>
      </c>
      <c r="J66">
        <v>663</v>
      </c>
      <c r="K66">
        <v>486</v>
      </c>
      <c r="L66">
        <v>592</v>
      </c>
      <c r="M66">
        <v>410</v>
      </c>
      <c r="N66">
        <v>3</v>
      </c>
      <c r="O66">
        <v>2</v>
      </c>
      <c r="P66" t="s">
        <v>35</v>
      </c>
      <c r="Q66">
        <v>1</v>
      </c>
      <c r="R66">
        <v>1</v>
      </c>
      <c r="S66" t="s">
        <v>36</v>
      </c>
      <c r="T66">
        <v>20</v>
      </c>
      <c r="U66">
        <v>11</v>
      </c>
      <c r="V66">
        <v>7</v>
      </c>
      <c r="W66">
        <v>4</v>
      </c>
      <c r="X66">
        <v>4</v>
      </c>
      <c r="Y66">
        <v>10</v>
      </c>
      <c r="Z66">
        <v>8</v>
      </c>
      <c r="AA66">
        <v>3</v>
      </c>
      <c r="AB66">
        <v>2</v>
      </c>
      <c r="AC66">
        <v>1</v>
      </c>
      <c r="AD66">
        <v>0</v>
      </c>
      <c r="AE66">
        <v>0</v>
      </c>
    </row>
    <row r="67" spans="1:31" x14ac:dyDescent="0.25">
      <c r="A67" t="s">
        <v>31</v>
      </c>
      <c r="B67" s="2">
        <v>45570</v>
      </c>
      <c r="C67" t="s">
        <v>41</v>
      </c>
      <c r="D67" t="s">
        <v>51</v>
      </c>
      <c r="E67" t="s">
        <v>38</v>
      </c>
      <c r="F67">
        <v>3.6</v>
      </c>
      <c r="G67">
        <v>0.6</v>
      </c>
      <c r="H67">
        <v>52</v>
      </c>
      <c r="I67">
        <v>48</v>
      </c>
      <c r="J67">
        <v>528</v>
      </c>
      <c r="K67">
        <v>479</v>
      </c>
      <c r="L67">
        <v>452</v>
      </c>
      <c r="M67">
        <v>393</v>
      </c>
      <c r="N67">
        <v>4</v>
      </c>
      <c r="O67">
        <v>1</v>
      </c>
      <c r="P67" t="s">
        <v>35</v>
      </c>
      <c r="Q67">
        <v>2</v>
      </c>
      <c r="R67">
        <v>1</v>
      </c>
      <c r="S67" t="s">
        <v>35</v>
      </c>
      <c r="T67">
        <v>23</v>
      </c>
      <c r="U67">
        <v>9</v>
      </c>
      <c r="V67">
        <v>13</v>
      </c>
      <c r="W67">
        <v>2</v>
      </c>
      <c r="X67">
        <v>12</v>
      </c>
      <c r="Y67">
        <v>6</v>
      </c>
      <c r="Z67">
        <v>5</v>
      </c>
      <c r="AA67">
        <v>5</v>
      </c>
      <c r="AB67">
        <v>0</v>
      </c>
      <c r="AC67">
        <v>1</v>
      </c>
      <c r="AD67">
        <v>0</v>
      </c>
      <c r="AE67">
        <v>0</v>
      </c>
    </row>
    <row r="68" spans="1:31" x14ac:dyDescent="0.25">
      <c r="A68" t="s">
        <v>31</v>
      </c>
      <c r="B68" s="2">
        <v>45570</v>
      </c>
      <c r="C68" t="s">
        <v>50</v>
      </c>
      <c r="D68" t="s">
        <v>44</v>
      </c>
      <c r="E68" t="s">
        <v>46</v>
      </c>
      <c r="F68">
        <v>0.7</v>
      </c>
      <c r="G68">
        <v>2.1</v>
      </c>
      <c r="H68">
        <v>33</v>
      </c>
      <c r="I68">
        <v>67</v>
      </c>
      <c r="J68">
        <v>340</v>
      </c>
      <c r="K68">
        <v>703</v>
      </c>
      <c r="L68">
        <v>246</v>
      </c>
      <c r="M68">
        <v>594</v>
      </c>
      <c r="N68">
        <v>0</v>
      </c>
      <c r="O68">
        <v>0</v>
      </c>
      <c r="P68" t="s">
        <v>36</v>
      </c>
      <c r="Q68">
        <v>0</v>
      </c>
      <c r="R68">
        <v>0</v>
      </c>
      <c r="S68" t="s">
        <v>36</v>
      </c>
      <c r="T68">
        <v>8</v>
      </c>
      <c r="U68">
        <v>14</v>
      </c>
      <c r="V68">
        <v>2</v>
      </c>
      <c r="W68">
        <v>3</v>
      </c>
      <c r="X68">
        <v>12</v>
      </c>
      <c r="Y68">
        <v>8</v>
      </c>
      <c r="Z68">
        <v>0</v>
      </c>
      <c r="AA68">
        <v>10</v>
      </c>
      <c r="AB68">
        <v>1</v>
      </c>
      <c r="AC68">
        <v>2</v>
      </c>
      <c r="AD68">
        <v>0</v>
      </c>
      <c r="AE68">
        <v>0</v>
      </c>
    </row>
    <row r="69" spans="1:31" x14ac:dyDescent="0.25">
      <c r="A69" t="s">
        <v>31</v>
      </c>
      <c r="B69" s="2">
        <v>45571</v>
      </c>
      <c r="C69" t="s">
        <v>53</v>
      </c>
      <c r="D69" t="s">
        <v>52</v>
      </c>
      <c r="E69" t="s">
        <v>33</v>
      </c>
      <c r="F69">
        <v>0.5</v>
      </c>
      <c r="G69">
        <v>0.6</v>
      </c>
      <c r="H69">
        <v>53</v>
      </c>
      <c r="I69">
        <v>47</v>
      </c>
      <c r="J69">
        <v>454</v>
      </c>
      <c r="K69">
        <v>396</v>
      </c>
      <c r="L69">
        <v>359</v>
      </c>
      <c r="M69">
        <v>320</v>
      </c>
      <c r="N69">
        <v>0</v>
      </c>
      <c r="O69">
        <v>0</v>
      </c>
      <c r="P69" t="s">
        <v>36</v>
      </c>
      <c r="Q69">
        <v>0</v>
      </c>
      <c r="R69">
        <v>0</v>
      </c>
      <c r="S69" t="s">
        <v>36</v>
      </c>
      <c r="T69">
        <v>11</v>
      </c>
      <c r="U69">
        <v>10</v>
      </c>
      <c r="V69">
        <v>1</v>
      </c>
      <c r="W69">
        <v>4</v>
      </c>
      <c r="X69">
        <v>12</v>
      </c>
      <c r="Y69">
        <v>11</v>
      </c>
      <c r="Z69">
        <v>6</v>
      </c>
      <c r="AA69">
        <v>3</v>
      </c>
      <c r="AB69">
        <v>1</v>
      </c>
      <c r="AC69">
        <v>5</v>
      </c>
      <c r="AD69">
        <v>0</v>
      </c>
      <c r="AE69">
        <v>0</v>
      </c>
    </row>
    <row r="70" spans="1:31" x14ac:dyDescent="0.25">
      <c r="A70" t="s">
        <v>31</v>
      </c>
      <c r="B70" s="2">
        <v>45571</v>
      </c>
      <c r="C70" t="s">
        <v>53</v>
      </c>
      <c r="D70" t="s">
        <v>57</v>
      </c>
      <c r="E70" t="s">
        <v>48</v>
      </c>
      <c r="F70">
        <v>2.2999999999999998</v>
      </c>
      <c r="G70">
        <v>0.9</v>
      </c>
      <c r="H70">
        <v>65</v>
      </c>
      <c r="I70">
        <v>35</v>
      </c>
      <c r="J70">
        <v>641</v>
      </c>
      <c r="K70">
        <v>339</v>
      </c>
      <c r="L70">
        <v>543</v>
      </c>
      <c r="M70">
        <v>249</v>
      </c>
      <c r="N70">
        <v>1</v>
      </c>
      <c r="O70">
        <v>1</v>
      </c>
      <c r="P70" t="s">
        <v>36</v>
      </c>
      <c r="Q70">
        <v>0</v>
      </c>
      <c r="R70">
        <v>0</v>
      </c>
      <c r="S70" t="s">
        <v>36</v>
      </c>
      <c r="T70">
        <v>22</v>
      </c>
      <c r="U70">
        <v>16</v>
      </c>
      <c r="V70">
        <v>8</v>
      </c>
      <c r="W70">
        <v>9</v>
      </c>
      <c r="X70">
        <v>12</v>
      </c>
      <c r="Y70">
        <v>11</v>
      </c>
      <c r="Z70">
        <v>11</v>
      </c>
      <c r="AA70">
        <v>3</v>
      </c>
      <c r="AB70">
        <v>6</v>
      </c>
      <c r="AC70">
        <v>2</v>
      </c>
      <c r="AD70">
        <v>0</v>
      </c>
      <c r="AE70">
        <v>1</v>
      </c>
    </row>
    <row r="71" spans="1:31" x14ac:dyDescent="0.25">
      <c r="A71" t="s">
        <v>31</v>
      </c>
      <c r="B71" s="2">
        <v>45571</v>
      </c>
      <c r="C71" t="s">
        <v>56</v>
      </c>
      <c r="D71" t="s">
        <v>45</v>
      </c>
      <c r="E71" t="s">
        <v>60</v>
      </c>
      <c r="F71">
        <v>1.8</v>
      </c>
      <c r="G71">
        <v>1.3</v>
      </c>
      <c r="H71">
        <v>41</v>
      </c>
      <c r="I71">
        <v>59</v>
      </c>
      <c r="J71">
        <v>397</v>
      </c>
      <c r="K71">
        <v>571</v>
      </c>
      <c r="L71">
        <v>319</v>
      </c>
      <c r="M71">
        <v>485</v>
      </c>
      <c r="N71">
        <v>3</v>
      </c>
      <c r="O71">
        <v>2</v>
      </c>
      <c r="P71" t="s">
        <v>35</v>
      </c>
      <c r="Q71">
        <v>0</v>
      </c>
      <c r="R71">
        <v>2</v>
      </c>
      <c r="S71" t="s">
        <v>40</v>
      </c>
      <c r="T71">
        <v>11</v>
      </c>
      <c r="U71">
        <v>13</v>
      </c>
      <c r="V71">
        <v>4</v>
      </c>
      <c r="W71">
        <v>3</v>
      </c>
      <c r="X71">
        <v>14</v>
      </c>
      <c r="Y71">
        <v>10</v>
      </c>
      <c r="Z71">
        <v>4</v>
      </c>
      <c r="AA71">
        <v>7</v>
      </c>
      <c r="AB71">
        <v>2</v>
      </c>
      <c r="AC71">
        <v>2</v>
      </c>
      <c r="AD71">
        <v>0</v>
      </c>
      <c r="AE71">
        <v>0</v>
      </c>
    </row>
    <row r="72" spans="1:31" x14ac:dyDescent="0.25">
      <c r="A72" t="s">
        <v>31</v>
      </c>
      <c r="B72" s="2">
        <v>45584</v>
      </c>
      <c r="C72" t="s">
        <v>37</v>
      </c>
      <c r="D72" t="s">
        <v>60</v>
      </c>
      <c r="E72" t="s">
        <v>51</v>
      </c>
      <c r="F72">
        <v>1.9</v>
      </c>
      <c r="G72">
        <v>0.8</v>
      </c>
      <c r="H72">
        <v>57</v>
      </c>
      <c r="I72">
        <v>43</v>
      </c>
      <c r="J72">
        <v>527</v>
      </c>
      <c r="K72">
        <v>400</v>
      </c>
      <c r="L72">
        <v>443</v>
      </c>
      <c r="M72">
        <v>317</v>
      </c>
      <c r="N72">
        <v>4</v>
      </c>
      <c r="O72">
        <v>1</v>
      </c>
      <c r="P72" t="s">
        <v>35</v>
      </c>
      <c r="Q72">
        <v>1</v>
      </c>
      <c r="R72">
        <v>1</v>
      </c>
      <c r="S72" t="s">
        <v>36</v>
      </c>
      <c r="T72">
        <v>22</v>
      </c>
      <c r="U72">
        <v>11</v>
      </c>
      <c r="V72">
        <v>7</v>
      </c>
      <c r="W72">
        <v>4</v>
      </c>
      <c r="X72">
        <v>10</v>
      </c>
      <c r="Y72">
        <v>15</v>
      </c>
      <c r="Z72">
        <v>13</v>
      </c>
      <c r="AA72">
        <v>5</v>
      </c>
      <c r="AB72">
        <v>1</v>
      </c>
      <c r="AC72">
        <v>3</v>
      </c>
      <c r="AD72">
        <v>0</v>
      </c>
      <c r="AE72">
        <v>1</v>
      </c>
    </row>
    <row r="73" spans="1:31" x14ac:dyDescent="0.25">
      <c r="A73" t="s">
        <v>31</v>
      </c>
      <c r="B73" s="2">
        <v>45584</v>
      </c>
      <c r="C73" t="s">
        <v>41</v>
      </c>
      <c r="D73" t="s">
        <v>34</v>
      </c>
      <c r="E73" t="s">
        <v>52</v>
      </c>
      <c r="F73">
        <v>1.8</v>
      </c>
      <c r="G73">
        <v>1.6</v>
      </c>
      <c r="H73">
        <v>52</v>
      </c>
      <c r="I73">
        <v>48</v>
      </c>
      <c r="J73">
        <v>483</v>
      </c>
      <c r="K73">
        <v>444</v>
      </c>
      <c r="L73">
        <v>398</v>
      </c>
      <c r="M73">
        <v>374</v>
      </c>
      <c r="N73">
        <v>1</v>
      </c>
      <c r="O73">
        <v>3</v>
      </c>
      <c r="P73" t="s">
        <v>40</v>
      </c>
      <c r="Q73">
        <v>1</v>
      </c>
      <c r="R73">
        <v>1</v>
      </c>
      <c r="S73" t="s">
        <v>36</v>
      </c>
      <c r="T73">
        <v>10</v>
      </c>
      <c r="U73">
        <v>14</v>
      </c>
      <c r="V73">
        <v>4</v>
      </c>
      <c r="W73">
        <v>5</v>
      </c>
      <c r="X73">
        <v>8</v>
      </c>
      <c r="Y73">
        <v>11</v>
      </c>
      <c r="Z73">
        <v>6</v>
      </c>
      <c r="AA73">
        <v>11</v>
      </c>
      <c r="AB73">
        <v>3</v>
      </c>
      <c r="AC73">
        <v>3</v>
      </c>
      <c r="AD73">
        <v>1</v>
      </c>
      <c r="AE73">
        <v>1</v>
      </c>
    </row>
    <row r="74" spans="1:31" x14ac:dyDescent="0.25">
      <c r="A74" t="s">
        <v>31</v>
      </c>
      <c r="B74" s="2">
        <v>45584</v>
      </c>
      <c r="C74" t="s">
        <v>41</v>
      </c>
      <c r="D74" t="s">
        <v>38</v>
      </c>
      <c r="E74" t="s">
        <v>44</v>
      </c>
      <c r="F74">
        <v>1.3</v>
      </c>
      <c r="G74">
        <v>1.7</v>
      </c>
      <c r="H74">
        <v>55</v>
      </c>
      <c r="I74">
        <v>45</v>
      </c>
      <c r="J74">
        <v>539</v>
      </c>
      <c r="K74">
        <v>435</v>
      </c>
      <c r="L74">
        <v>449</v>
      </c>
      <c r="M74">
        <v>336</v>
      </c>
      <c r="N74">
        <v>0</v>
      </c>
      <c r="O74">
        <v>2</v>
      </c>
      <c r="P74" t="s">
        <v>40</v>
      </c>
      <c r="Q74">
        <v>0</v>
      </c>
      <c r="R74">
        <v>2</v>
      </c>
      <c r="S74" t="s">
        <v>40</v>
      </c>
      <c r="T74">
        <v>13</v>
      </c>
      <c r="U74">
        <v>11</v>
      </c>
      <c r="V74">
        <v>2</v>
      </c>
      <c r="W74">
        <v>8</v>
      </c>
      <c r="X74">
        <v>12</v>
      </c>
      <c r="Y74">
        <v>10</v>
      </c>
      <c r="Z74">
        <v>5</v>
      </c>
      <c r="AA74">
        <v>8</v>
      </c>
      <c r="AB74">
        <v>1</v>
      </c>
      <c r="AC74">
        <v>1</v>
      </c>
      <c r="AD74">
        <v>0</v>
      </c>
      <c r="AE74">
        <v>0</v>
      </c>
    </row>
    <row r="75" spans="1:31" x14ac:dyDescent="0.25">
      <c r="A75" t="s">
        <v>31</v>
      </c>
      <c r="B75" s="2">
        <v>45584</v>
      </c>
      <c r="C75" t="s">
        <v>41</v>
      </c>
      <c r="D75" t="s">
        <v>33</v>
      </c>
      <c r="E75" t="s">
        <v>54</v>
      </c>
      <c r="F75">
        <v>1.3</v>
      </c>
      <c r="G75">
        <v>0.9</v>
      </c>
      <c r="H75">
        <v>50</v>
      </c>
      <c r="I75">
        <v>50</v>
      </c>
      <c r="J75">
        <v>530</v>
      </c>
      <c r="K75">
        <v>522</v>
      </c>
      <c r="L75">
        <v>435</v>
      </c>
      <c r="M75">
        <v>435</v>
      </c>
      <c r="N75">
        <v>2</v>
      </c>
      <c r="O75">
        <v>1</v>
      </c>
      <c r="P75" t="s">
        <v>35</v>
      </c>
      <c r="Q75">
        <v>0</v>
      </c>
      <c r="R75">
        <v>1</v>
      </c>
      <c r="S75" t="s">
        <v>40</v>
      </c>
      <c r="T75">
        <v>23</v>
      </c>
      <c r="U75">
        <v>8</v>
      </c>
      <c r="V75">
        <v>11</v>
      </c>
      <c r="W75">
        <v>2</v>
      </c>
      <c r="X75">
        <v>14</v>
      </c>
      <c r="Y75">
        <v>5</v>
      </c>
      <c r="Z75">
        <v>9</v>
      </c>
      <c r="AA75">
        <v>2</v>
      </c>
      <c r="AB75">
        <v>2</v>
      </c>
      <c r="AC75">
        <v>2</v>
      </c>
      <c r="AD75">
        <v>0</v>
      </c>
      <c r="AE75">
        <v>0</v>
      </c>
    </row>
    <row r="76" spans="1:31" x14ac:dyDescent="0.25">
      <c r="A76" t="s">
        <v>31</v>
      </c>
      <c r="B76" s="2">
        <v>45584</v>
      </c>
      <c r="C76" t="s">
        <v>41</v>
      </c>
      <c r="D76" t="s">
        <v>46</v>
      </c>
      <c r="E76" t="s">
        <v>45</v>
      </c>
      <c r="F76">
        <v>2</v>
      </c>
      <c r="G76">
        <v>1.1000000000000001</v>
      </c>
      <c r="H76">
        <v>60</v>
      </c>
      <c r="I76">
        <v>40</v>
      </c>
      <c r="J76">
        <v>599</v>
      </c>
      <c r="K76">
        <v>399</v>
      </c>
      <c r="L76">
        <v>479</v>
      </c>
      <c r="M76">
        <v>313</v>
      </c>
      <c r="N76">
        <v>0</v>
      </c>
      <c r="O76">
        <v>1</v>
      </c>
      <c r="P76" t="s">
        <v>40</v>
      </c>
      <c r="Q76">
        <v>0</v>
      </c>
      <c r="R76">
        <v>1</v>
      </c>
      <c r="S76" t="s">
        <v>40</v>
      </c>
      <c r="T76">
        <v>21</v>
      </c>
      <c r="U76">
        <v>10</v>
      </c>
      <c r="V76">
        <v>6</v>
      </c>
      <c r="W76">
        <v>5</v>
      </c>
      <c r="X76">
        <v>11</v>
      </c>
      <c r="Y76">
        <v>9</v>
      </c>
      <c r="Z76">
        <v>9</v>
      </c>
      <c r="AA76">
        <v>4</v>
      </c>
      <c r="AB76">
        <v>2</v>
      </c>
      <c r="AC76">
        <v>2</v>
      </c>
      <c r="AD76">
        <v>0</v>
      </c>
      <c r="AE76">
        <v>0</v>
      </c>
    </row>
    <row r="77" spans="1:31" x14ac:dyDescent="0.25">
      <c r="A77" t="s">
        <v>31</v>
      </c>
      <c r="B77" s="2">
        <v>45584</v>
      </c>
      <c r="C77" t="s">
        <v>41</v>
      </c>
      <c r="D77" t="s">
        <v>47</v>
      </c>
      <c r="E77" t="s">
        <v>59</v>
      </c>
      <c r="F77">
        <v>2.1</v>
      </c>
      <c r="G77">
        <v>3.1</v>
      </c>
      <c r="H77">
        <v>42</v>
      </c>
      <c r="I77">
        <v>58</v>
      </c>
      <c r="J77">
        <v>398</v>
      </c>
      <c r="K77">
        <v>546</v>
      </c>
      <c r="L77">
        <v>317</v>
      </c>
      <c r="M77">
        <v>452</v>
      </c>
      <c r="N77">
        <v>2</v>
      </c>
      <c r="O77">
        <v>3</v>
      </c>
      <c r="P77" t="s">
        <v>40</v>
      </c>
      <c r="Q77">
        <v>2</v>
      </c>
      <c r="R77">
        <v>0</v>
      </c>
      <c r="S77" t="s">
        <v>35</v>
      </c>
      <c r="T77">
        <v>14</v>
      </c>
      <c r="U77">
        <v>18</v>
      </c>
      <c r="V77">
        <v>7</v>
      </c>
      <c r="W77">
        <v>4</v>
      </c>
      <c r="X77">
        <v>10</v>
      </c>
      <c r="Y77">
        <v>10</v>
      </c>
      <c r="Z77">
        <v>10</v>
      </c>
      <c r="AA77">
        <v>6</v>
      </c>
      <c r="AB77">
        <v>5</v>
      </c>
      <c r="AC77">
        <v>3</v>
      </c>
      <c r="AD77">
        <v>1</v>
      </c>
      <c r="AE77">
        <v>0</v>
      </c>
    </row>
    <row r="78" spans="1:31" x14ac:dyDescent="0.25">
      <c r="A78" t="s">
        <v>31</v>
      </c>
      <c r="B78" s="2">
        <v>45584</v>
      </c>
      <c r="C78" t="s">
        <v>50</v>
      </c>
      <c r="D78" t="s">
        <v>49</v>
      </c>
      <c r="E78" t="s">
        <v>42</v>
      </c>
      <c r="F78">
        <v>1.8</v>
      </c>
      <c r="G78">
        <v>0.7</v>
      </c>
      <c r="H78">
        <v>49</v>
      </c>
      <c r="I78">
        <v>51</v>
      </c>
      <c r="J78">
        <v>453</v>
      </c>
      <c r="K78">
        <v>470</v>
      </c>
      <c r="L78">
        <v>346</v>
      </c>
      <c r="M78">
        <v>361</v>
      </c>
      <c r="N78">
        <v>2</v>
      </c>
      <c r="O78">
        <v>0</v>
      </c>
      <c r="P78" t="s">
        <v>35</v>
      </c>
      <c r="Q78">
        <v>0</v>
      </c>
      <c r="R78">
        <v>0</v>
      </c>
      <c r="S78" t="s">
        <v>36</v>
      </c>
      <c r="T78">
        <v>13</v>
      </c>
      <c r="U78">
        <v>6</v>
      </c>
      <c r="V78">
        <v>4</v>
      </c>
      <c r="W78">
        <v>1</v>
      </c>
      <c r="X78">
        <v>12</v>
      </c>
      <c r="Y78">
        <v>11</v>
      </c>
      <c r="Z78">
        <v>7</v>
      </c>
      <c r="AA78">
        <v>4</v>
      </c>
      <c r="AB78">
        <v>1</v>
      </c>
      <c r="AC78">
        <v>1</v>
      </c>
      <c r="AD78">
        <v>0</v>
      </c>
      <c r="AE78">
        <v>1</v>
      </c>
    </row>
    <row r="79" spans="1:31" x14ac:dyDescent="0.25">
      <c r="A79" t="s">
        <v>31</v>
      </c>
      <c r="B79" s="2">
        <v>45585</v>
      </c>
      <c r="C79" t="s">
        <v>53</v>
      </c>
      <c r="D79" t="s">
        <v>43</v>
      </c>
      <c r="E79" t="s">
        <v>58</v>
      </c>
      <c r="F79">
        <v>0.8</v>
      </c>
      <c r="G79">
        <v>1.6</v>
      </c>
      <c r="H79">
        <v>23</v>
      </c>
      <c r="I79">
        <v>77</v>
      </c>
      <c r="J79">
        <v>237</v>
      </c>
      <c r="K79">
        <v>795</v>
      </c>
      <c r="L79">
        <v>158</v>
      </c>
      <c r="M79">
        <v>686</v>
      </c>
      <c r="N79">
        <v>1</v>
      </c>
      <c r="O79">
        <v>2</v>
      </c>
      <c r="P79" t="s">
        <v>40</v>
      </c>
      <c r="Q79">
        <v>1</v>
      </c>
      <c r="R79">
        <v>1</v>
      </c>
      <c r="S79" t="s">
        <v>36</v>
      </c>
      <c r="T79">
        <v>3</v>
      </c>
      <c r="U79">
        <v>22</v>
      </c>
      <c r="V79">
        <v>2</v>
      </c>
      <c r="W79">
        <v>7</v>
      </c>
      <c r="X79">
        <v>8</v>
      </c>
      <c r="Y79">
        <v>5</v>
      </c>
      <c r="Z79">
        <v>1</v>
      </c>
      <c r="AA79">
        <v>18</v>
      </c>
      <c r="AB79">
        <v>4</v>
      </c>
      <c r="AC79">
        <v>1</v>
      </c>
      <c r="AD79">
        <v>0</v>
      </c>
      <c r="AE79">
        <v>0</v>
      </c>
    </row>
    <row r="80" spans="1:31" x14ac:dyDescent="0.25">
      <c r="A80" t="s">
        <v>31</v>
      </c>
      <c r="B80" s="2">
        <v>45585</v>
      </c>
      <c r="C80" t="s">
        <v>56</v>
      </c>
      <c r="D80" t="s">
        <v>39</v>
      </c>
      <c r="E80" t="s">
        <v>57</v>
      </c>
      <c r="F80">
        <v>1.9</v>
      </c>
      <c r="G80">
        <v>1</v>
      </c>
      <c r="H80">
        <v>43</v>
      </c>
      <c r="I80">
        <v>57</v>
      </c>
      <c r="J80">
        <v>439</v>
      </c>
      <c r="K80">
        <v>579</v>
      </c>
      <c r="L80">
        <v>345</v>
      </c>
      <c r="M80">
        <v>499</v>
      </c>
      <c r="N80">
        <v>2</v>
      </c>
      <c r="O80">
        <v>1</v>
      </c>
      <c r="P80" t="s">
        <v>35</v>
      </c>
      <c r="Q80">
        <v>1</v>
      </c>
      <c r="R80">
        <v>0</v>
      </c>
      <c r="S80" t="s">
        <v>35</v>
      </c>
      <c r="T80">
        <v>9</v>
      </c>
      <c r="U80">
        <v>12</v>
      </c>
      <c r="V80">
        <v>5</v>
      </c>
      <c r="W80">
        <v>2</v>
      </c>
      <c r="X80">
        <v>12</v>
      </c>
      <c r="Y80">
        <v>13</v>
      </c>
      <c r="Z80">
        <v>1</v>
      </c>
      <c r="AA80">
        <v>6</v>
      </c>
      <c r="AB80">
        <v>4</v>
      </c>
      <c r="AC80">
        <v>3</v>
      </c>
      <c r="AD80">
        <v>0</v>
      </c>
      <c r="AE80">
        <v>0</v>
      </c>
    </row>
    <row r="81" spans="1:31" x14ac:dyDescent="0.25">
      <c r="A81" t="s">
        <v>31</v>
      </c>
      <c r="B81" s="2">
        <v>45586</v>
      </c>
      <c r="C81" t="s">
        <v>32</v>
      </c>
      <c r="D81" t="s">
        <v>48</v>
      </c>
      <c r="E81" t="s">
        <v>55</v>
      </c>
      <c r="F81">
        <v>1.7</v>
      </c>
      <c r="G81">
        <v>1</v>
      </c>
      <c r="H81">
        <v>51</v>
      </c>
      <c r="I81">
        <v>49</v>
      </c>
      <c r="J81">
        <v>493</v>
      </c>
      <c r="K81">
        <v>482</v>
      </c>
      <c r="L81">
        <v>391</v>
      </c>
      <c r="M81">
        <v>375</v>
      </c>
      <c r="N81">
        <v>1</v>
      </c>
      <c r="O81">
        <v>0</v>
      </c>
      <c r="P81" t="s">
        <v>35</v>
      </c>
      <c r="Q81">
        <v>0</v>
      </c>
      <c r="R81">
        <v>0</v>
      </c>
      <c r="S81" t="s">
        <v>36</v>
      </c>
      <c r="T81">
        <v>20</v>
      </c>
      <c r="U81">
        <v>20</v>
      </c>
      <c r="V81">
        <v>6</v>
      </c>
      <c r="W81">
        <v>7</v>
      </c>
      <c r="X81">
        <v>9</v>
      </c>
      <c r="Y81">
        <v>12</v>
      </c>
      <c r="Z81">
        <v>6</v>
      </c>
      <c r="AA81">
        <v>6</v>
      </c>
      <c r="AB81">
        <v>2</v>
      </c>
      <c r="AC81">
        <v>3</v>
      </c>
      <c r="AD81">
        <v>0</v>
      </c>
      <c r="AE81">
        <v>0</v>
      </c>
    </row>
    <row r="82" spans="1:31" x14ac:dyDescent="0.25">
      <c r="A82" t="s">
        <v>31</v>
      </c>
      <c r="B82" s="2">
        <v>45590</v>
      </c>
      <c r="C82" t="s">
        <v>32</v>
      </c>
      <c r="D82" t="s">
        <v>59</v>
      </c>
      <c r="E82" t="s">
        <v>48</v>
      </c>
      <c r="F82">
        <v>0.8</v>
      </c>
      <c r="G82">
        <v>1.7</v>
      </c>
      <c r="H82">
        <v>65</v>
      </c>
      <c r="I82">
        <v>35</v>
      </c>
      <c r="J82">
        <v>615</v>
      </c>
      <c r="K82">
        <v>338</v>
      </c>
      <c r="L82">
        <v>518</v>
      </c>
      <c r="M82">
        <v>240</v>
      </c>
      <c r="N82">
        <v>1</v>
      </c>
      <c r="O82">
        <v>3</v>
      </c>
      <c r="P82" t="s">
        <v>40</v>
      </c>
      <c r="Q82">
        <v>1</v>
      </c>
      <c r="R82">
        <v>1</v>
      </c>
      <c r="S82" t="s">
        <v>36</v>
      </c>
      <c r="T82">
        <v>11</v>
      </c>
      <c r="U82">
        <v>20</v>
      </c>
      <c r="V82">
        <v>1</v>
      </c>
      <c r="W82">
        <v>5</v>
      </c>
      <c r="X82">
        <v>16</v>
      </c>
      <c r="Y82">
        <v>9</v>
      </c>
      <c r="Z82">
        <v>6</v>
      </c>
      <c r="AA82">
        <v>7</v>
      </c>
      <c r="AB82">
        <v>5</v>
      </c>
      <c r="AC82">
        <v>2</v>
      </c>
      <c r="AD82">
        <v>0</v>
      </c>
      <c r="AE82">
        <v>0</v>
      </c>
    </row>
    <row r="83" spans="1:31" x14ac:dyDescent="0.25">
      <c r="A83" t="s">
        <v>31</v>
      </c>
      <c r="B83" s="2">
        <v>45591</v>
      </c>
      <c r="C83" t="s">
        <v>41</v>
      </c>
      <c r="D83" t="s">
        <v>52</v>
      </c>
      <c r="E83" t="s">
        <v>49</v>
      </c>
      <c r="F83">
        <v>1.8</v>
      </c>
      <c r="G83">
        <v>0.3</v>
      </c>
      <c r="H83">
        <v>57</v>
      </c>
      <c r="I83">
        <v>43</v>
      </c>
      <c r="J83">
        <v>475</v>
      </c>
      <c r="K83">
        <v>365</v>
      </c>
      <c r="L83">
        <v>383</v>
      </c>
      <c r="M83">
        <v>288</v>
      </c>
      <c r="N83">
        <v>1</v>
      </c>
      <c r="O83">
        <v>1</v>
      </c>
      <c r="P83" t="s">
        <v>36</v>
      </c>
      <c r="Q83">
        <v>0</v>
      </c>
      <c r="R83">
        <v>0</v>
      </c>
      <c r="S83" t="s">
        <v>36</v>
      </c>
      <c r="T83">
        <v>18</v>
      </c>
      <c r="U83">
        <v>11</v>
      </c>
      <c r="V83">
        <v>8</v>
      </c>
      <c r="W83">
        <v>3</v>
      </c>
      <c r="X83">
        <v>12</v>
      </c>
      <c r="Y83">
        <v>14</v>
      </c>
      <c r="Z83">
        <v>9</v>
      </c>
      <c r="AA83">
        <v>7</v>
      </c>
      <c r="AB83">
        <v>7</v>
      </c>
      <c r="AC83">
        <v>6</v>
      </c>
      <c r="AD83">
        <v>0</v>
      </c>
      <c r="AE83">
        <v>0</v>
      </c>
    </row>
    <row r="84" spans="1:31" x14ac:dyDescent="0.25">
      <c r="A84" t="s">
        <v>31</v>
      </c>
      <c r="B84" s="2">
        <v>45591</v>
      </c>
      <c r="C84" t="s">
        <v>41</v>
      </c>
      <c r="D84" t="s">
        <v>54</v>
      </c>
      <c r="E84" t="s">
        <v>38</v>
      </c>
      <c r="F84">
        <v>4</v>
      </c>
      <c r="G84">
        <v>1.3</v>
      </c>
      <c r="H84">
        <v>65</v>
      </c>
      <c r="I84">
        <v>35</v>
      </c>
      <c r="J84">
        <v>612</v>
      </c>
      <c r="K84">
        <v>328</v>
      </c>
      <c r="L84">
        <v>499</v>
      </c>
      <c r="M84">
        <v>220</v>
      </c>
      <c r="N84">
        <v>4</v>
      </c>
      <c r="O84">
        <v>3</v>
      </c>
      <c r="P84" t="s">
        <v>35</v>
      </c>
      <c r="Q84">
        <v>2</v>
      </c>
      <c r="R84">
        <v>2</v>
      </c>
      <c r="S84" t="s">
        <v>36</v>
      </c>
      <c r="T84">
        <v>20</v>
      </c>
      <c r="U84">
        <v>11</v>
      </c>
      <c r="V84">
        <v>9</v>
      </c>
      <c r="W84">
        <v>5</v>
      </c>
      <c r="X84">
        <v>7</v>
      </c>
      <c r="Y84">
        <v>10</v>
      </c>
      <c r="Z84">
        <v>5</v>
      </c>
      <c r="AA84">
        <v>5</v>
      </c>
      <c r="AB84">
        <v>0</v>
      </c>
      <c r="AC84">
        <v>1</v>
      </c>
      <c r="AD84">
        <v>0</v>
      </c>
      <c r="AE84">
        <v>1</v>
      </c>
    </row>
    <row r="85" spans="1:31" x14ac:dyDescent="0.25">
      <c r="A85" t="s">
        <v>31</v>
      </c>
      <c r="B85" s="2">
        <v>45591</v>
      </c>
      <c r="C85" t="s">
        <v>41</v>
      </c>
      <c r="D85" t="s">
        <v>45</v>
      </c>
      <c r="E85" t="s">
        <v>43</v>
      </c>
      <c r="F85">
        <v>1.3</v>
      </c>
      <c r="G85">
        <v>1.3</v>
      </c>
      <c r="H85">
        <v>51</v>
      </c>
      <c r="I85">
        <v>49</v>
      </c>
      <c r="J85">
        <v>500</v>
      </c>
      <c r="K85">
        <v>480</v>
      </c>
      <c r="L85">
        <v>417</v>
      </c>
      <c r="M85">
        <v>388</v>
      </c>
      <c r="N85">
        <v>2</v>
      </c>
      <c r="O85">
        <v>2</v>
      </c>
      <c r="P85" t="s">
        <v>36</v>
      </c>
      <c r="Q85">
        <v>1</v>
      </c>
      <c r="R85">
        <v>0</v>
      </c>
      <c r="S85" t="s">
        <v>35</v>
      </c>
      <c r="T85">
        <v>19</v>
      </c>
      <c r="U85">
        <v>14</v>
      </c>
      <c r="V85">
        <v>6</v>
      </c>
      <c r="W85">
        <v>7</v>
      </c>
      <c r="X85">
        <v>12</v>
      </c>
      <c r="Y85">
        <v>10</v>
      </c>
      <c r="Z85">
        <v>9</v>
      </c>
      <c r="AA85">
        <v>6</v>
      </c>
      <c r="AB85">
        <v>3</v>
      </c>
      <c r="AC85">
        <v>3</v>
      </c>
      <c r="AD85">
        <v>0</v>
      </c>
      <c r="AE85">
        <v>0</v>
      </c>
    </row>
    <row r="86" spans="1:31" x14ac:dyDescent="0.25">
      <c r="A86" t="s">
        <v>31</v>
      </c>
      <c r="B86" s="2">
        <v>45591</v>
      </c>
      <c r="C86" t="s">
        <v>41</v>
      </c>
      <c r="D86" t="s">
        <v>58</v>
      </c>
      <c r="E86" t="s">
        <v>47</v>
      </c>
      <c r="F86">
        <v>2.9</v>
      </c>
      <c r="G86">
        <v>0.2</v>
      </c>
      <c r="H86">
        <v>57</v>
      </c>
      <c r="I86">
        <v>43</v>
      </c>
      <c r="J86">
        <v>660</v>
      </c>
      <c r="K86">
        <v>503</v>
      </c>
      <c r="L86">
        <v>595</v>
      </c>
      <c r="M86">
        <v>454</v>
      </c>
      <c r="N86">
        <v>1</v>
      </c>
      <c r="O86">
        <v>0</v>
      </c>
      <c r="P86" t="s">
        <v>35</v>
      </c>
      <c r="Q86">
        <v>1</v>
      </c>
      <c r="R86">
        <v>0</v>
      </c>
      <c r="S86" t="s">
        <v>35</v>
      </c>
      <c r="T86">
        <v>22</v>
      </c>
      <c r="U86">
        <v>5</v>
      </c>
      <c r="V86">
        <v>8</v>
      </c>
      <c r="W86">
        <v>2</v>
      </c>
      <c r="X86">
        <v>9</v>
      </c>
      <c r="Y86">
        <v>9</v>
      </c>
      <c r="Z86">
        <v>12</v>
      </c>
      <c r="AA86">
        <v>1</v>
      </c>
      <c r="AB86">
        <v>1</v>
      </c>
      <c r="AC86">
        <v>3</v>
      </c>
      <c r="AD86">
        <v>0</v>
      </c>
      <c r="AE86">
        <v>0</v>
      </c>
    </row>
    <row r="87" spans="1:31" x14ac:dyDescent="0.25">
      <c r="A87" t="s">
        <v>31</v>
      </c>
      <c r="B87" s="2">
        <v>45591</v>
      </c>
      <c r="C87" t="s">
        <v>50</v>
      </c>
      <c r="D87" t="s">
        <v>44</v>
      </c>
      <c r="E87" t="s">
        <v>34</v>
      </c>
      <c r="F87">
        <v>0.8</v>
      </c>
      <c r="G87">
        <v>1.2</v>
      </c>
      <c r="H87">
        <v>40</v>
      </c>
      <c r="I87">
        <v>60</v>
      </c>
      <c r="J87">
        <v>429</v>
      </c>
      <c r="K87">
        <v>638</v>
      </c>
      <c r="L87">
        <v>331</v>
      </c>
      <c r="M87">
        <v>539</v>
      </c>
      <c r="N87">
        <v>1</v>
      </c>
      <c r="O87">
        <v>1</v>
      </c>
      <c r="P87" t="s">
        <v>36</v>
      </c>
      <c r="Q87">
        <v>0</v>
      </c>
      <c r="R87">
        <v>0</v>
      </c>
      <c r="S87" t="s">
        <v>36</v>
      </c>
      <c r="T87">
        <v>10</v>
      </c>
      <c r="U87">
        <v>14</v>
      </c>
      <c r="V87">
        <v>5</v>
      </c>
      <c r="W87">
        <v>3</v>
      </c>
      <c r="X87">
        <v>8</v>
      </c>
      <c r="Y87">
        <v>8</v>
      </c>
      <c r="Z87">
        <v>4</v>
      </c>
      <c r="AA87">
        <v>2</v>
      </c>
      <c r="AB87">
        <v>1</v>
      </c>
      <c r="AC87">
        <v>0</v>
      </c>
      <c r="AD87">
        <v>0</v>
      </c>
      <c r="AE87">
        <v>0</v>
      </c>
    </row>
    <row r="88" spans="1:31" x14ac:dyDescent="0.25">
      <c r="A88" t="s">
        <v>31</v>
      </c>
      <c r="B88" s="2">
        <v>45592</v>
      </c>
      <c r="C88" t="s">
        <v>53</v>
      </c>
      <c r="D88" t="s">
        <v>57</v>
      </c>
      <c r="E88" t="s">
        <v>46</v>
      </c>
      <c r="F88">
        <v>1.6</v>
      </c>
      <c r="G88">
        <v>1.8</v>
      </c>
      <c r="H88">
        <v>50</v>
      </c>
      <c r="I88">
        <v>50</v>
      </c>
      <c r="J88">
        <v>495</v>
      </c>
      <c r="K88">
        <v>495</v>
      </c>
      <c r="L88">
        <v>404</v>
      </c>
      <c r="M88">
        <v>400</v>
      </c>
      <c r="N88">
        <v>2</v>
      </c>
      <c r="O88">
        <v>1</v>
      </c>
      <c r="P88" t="s">
        <v>35</v>
      </c>
      <c r="Q88">
        <v>1</v>
      </c>
      <c r="R88">
        <v>1</v>
      </c>
      <c r="S88" t="s">
        <v>36</v>
      </c>
      <c r="T88">
        <v>17</v>
      </c>
      <c r="U88">
        <v>11</v>
      </c>
      <c r="V88">
        <v>7</v>
      </c>
      <c r="W88">
        <v>3</v>
      </c>
      <c r="X88">
        <v>13</v>
      </c>
      <c r="Y88">
        <v>16</v>
      </c>
      <c r="Z88">
        <v>7</v>
      </c>
      <c r="AA88">
        <v>4</v>
      </c>
      <c r="AB88">
        <v>6</v>
      </c>
      <c r="AC88">
        <v>3</v>
      </c>
      <c r="AD88">
        <v>0</v>
      </c>
      <c r="AE88">
        <v>0</v>
      </c>
    </row>
    <row r="89" spans="1:31" x14ac:dyDescent="0.25">
      <c r="A89" t="s">
        <v>31</v>
      </c>
      <c r="B89" s="2">
        <v>45592</v>
      </c>
      <c r="C89" t="s">
        <v>53</v>
      </c>
      <c r="D89" t="s">
        <v>55</v>
      </c>
      <c r="E89" t="s">
        <v>60</v>
      </c>
      <c r="F89">
        <v>0.8</v>
      </c>
      <c r="G89">
        <v>0.7</v>
      </c>
      <c r="H89">
        <v>34</v>
      </c>
      <c r="I89">
        <v>66</v>
      </c>
      <c r="J89">
        <v>296</v>
      </c>
      <c r="K89">
        <v>571</v>
      </c>
      <c r="L89">
        <v>181</v>
      </c>
      <c r="M89">
        <v>445</v>
      </c>
      <c r="N89">
        <v>1</v>
      </c>
      <c r="O89">
        <v>0</v>
      </c>
      <c r="P89" t="s">
        <v>35</v>
      </c>
      <c r="Q89">
        <v>1</v>
      </c>
      <c r="R89">
        <v>0</v>
      </c>
      <c r="S89" t="s">
        <v>35</v>
      </c>
      <c r="T89">
        <v>14</v>
      </c>
      <c r="U89">
        <v>11</v>
      </c>
      <c r="V89">
        <v>6</v>
      </c>
      <c r="W89">
        <v>3</v>
      </c>
      <c r="X89">
        <v>16</v>
      </c>
      <c r="Y89">
        <v>12</v>
      </c>
      <c r="Z89">
        <v>8</v>
      </c>
      <c r="AA89">
        <v>8</v>
      </c>
      <c r="AB89">
        <v>4</v>
      </c>
      <c r="AC89">
        <v>4</v>
      </c>
      <c r="AD89">
        <v>0</v>
      </c>
      <c r="AE89">
        <v>0</v>
      </c>
    </row>
    <row r="90" spans="1:31" x14ac:dyDescent="0.25">
      <c r="A90" t="s">
        <v>31</v>
      </c>
      <c r="B90" s="2">
        <v>45592</v>
      </c>
      <c r="C90" t="s">
        <v>53</v>
      </c>
      <c r="D90" t="s">
        <v>51</v>
      </c>
      <c r="E90" t="s">
        <v>33</v>
      </c>
      <c r="F90">
        <v>2.8</v>
      </c>
      <c r="G90">
        <v>2.2999999999999998</v>
      </c>
      <c r="H90">
        <v>42</v>
      </c>
      <c r="I90">
        <v>58</v>
      </c>
      <c r="J90">
        <v>436</v>
      </c>
      <c r="K90">
        <v>595</v>
      </c>
      <c r="L90">
        <v>338</v>
      </c>
      <c r="M90">
        <v>486</v>
      </c>
      <c r="N90">
        <v>2</v>
      </c>
      <c r="O90">
        <v>1</v>
      </c>
      <c r="P90" t="s">
        <v>35</v>
      </c>
      <c r="Q90">
        <v>0</v>
      </c>
      <c r="R90">
        <v>0</v>
      </c>
      <c r="S90" t="s">
        <v>36</v>
      </c>
      <c r="T90">
        <v>12</v>
      </c>
      <c r="U90">
        <v>18</v>
      </c>
      <c r="V90">
        <v>3</v>
      </c>
      <c r="W90">
        <v>5</v>
      </c>
      <c r="X90">
        <v>6</v>
      </c>
      <c r="Y90">
        <v>7</v>
      </c>
      <c r="Z90">
        <v>6</v>
      </c>
      <c r="AA90">
        <v>5</v>
      </c>
      <c r="AB90">
        <v>5</v>
      </c>
      <c r="AC90">
        <v>1</v>
      </c>
      <c r="AD90">
        <v>0</v>
      </c>
      <c r="AE90">
        <v>0</v>
      </c>
    </row>
    <row r="91" spans="1:31" x14ac:dyDescent="0.25">
      <c r="A91" t="s">
        <v>31</v>
      </c>
      <c r="B91" s="2">
        <v>45592</v>
      </c>
      <c r="C91" t="s">
        <v>56</v>
      </c>
      <c r="D91" t="s">
        <v>42</v>
      </c>
      <c r="E91" t="s">
        <v>39</v>
      </c>
      <c r="F91">
        <v>0.9</v>
      </c>
      <c r="G91">
        <v>0.8</v>
      </c>
      <c r="H91">
        <v>45</v>
      </c>
      <c r="I91">
        <v>55</v>
      </c>
      <c r="J91">
        <v>415</v>
      </c>
      <c r="K91">
        <v>514</v>
      </c>
      <c r="L91">
        <v>320</v>
      </c>
      <c r="M91">
        <v>411</v>
      </c>
      <c r="N91">
        <v>2</v>
      </c>
      <c r="O91">
        <v>2</v>
      </c>
      <c r="P91" t="s">
        <v>36</v>
      </c>
      <c r="Q91">
        <v>2</v>
      </c>
      <c r="R91">
        <v>1</v>
      </c>
      <c r="S91" t="s">
        <v>35</v>
      </c>
      <c r="T91">
        <v>9</v>
      </c>
      <c r="U91">
        <v>9</v>
      </c>
      <c r="V91">
        <v>3</v>
      </c>
      <c r="W91">
        <v>4</v>
      </c>
      <c r="X91">
        <v>14</v>
      </c>
      <c r="Y91">
        <v>14</v>
      </c>
      <c r="Z91">
        <v>1</v>
      </c>
      <c r="AA91">
        <v>3</v>
      </c>
      <c r="AB91">
        <v>2</v>
      </c>
      <c r="AC91">
        <v>2</v>
      </c>
      <c r="AD91">
        <v>0</v>
      </c>
      <c r="AE91">
        <v>0</v>
      </c>
    </row>
    <row r="92" spans="1:31" x14ac:dyDescent="0.25">
      <c r="A92" t="s">
        <v>31</v>
      </c>
      <c r="B92" s="2">
        <v>45598</v>
      </c>
      <c r="C92" t="s">
        <v>37</v>
      </c>
      <c r="D92" t="s">
        <v>46</v>
      </c>
      <c r="E92" t="s">
        <v>42</v>
      </c>
      <c r="F92">
        <v>0.5</v>
      </c>
      <c r="G92">
        <v>1.1000000000000001</v>
      </c>
      <c r="H92">
        <v>37</v>
      </c>
      <c r="I92">
        <v>63</v>
      </c>
      <c r="J92">
        <v>321</v>
      </c>
      <c r="K92">
        <v>554</v>
      </c>
      <c r="L92">
        <v>218</v>
      </c>
      <c r="M92">
        <v>463</v>
      </c>
      <c r="N92">
        <v>1</v>
      </c>
      <c r="O92">
        <v>0</v>
      </c>
      <c r="P92" t="s">
        <v>35</v>
      </c>
      <c r="Q92">
        <v>1</v>
      </c>
      <c r="R92">
        <v>0</v>
      </c>
      <c r="S92" t="s">
        <v>35</v>
      </c>
      <c r="T92">
        <v>9</v>
      </c>
      <c r="U92">
        <v>10</v>
      </c>
      <c r="V92">
        <v>4</v>
      </c>
      <c r="W92">
        <v>1</v>
      </c>
      <c r="X92">
        <v>16</v>
      </c>
      <c r="Y92">
        <v>18</v>
      </c>
      <c r="Z92">
        <v>4</v>
      </c>
      <c r="AA92">
        <v>6</v>
      </c>
      <c r="AB92">
        <v>4</v>
      </c>
      <c r="AC92">
        <v>4</v>
      </c>
      <c r="AD92">
        <v>0</v>
      </c>
      <c r="AE92">
        <v>0</v>
      </c>
    </row>
    <row r="93" spans="1:31" x14ac:dyDescent="0.25">
      <c r="A93" t="s">
        <v>31</v>
      </c>
      <c r="B93" s="2">
        <v>45598</v>
      </c>
      <c r="C93" t="s">
        <v>41</v>
      </c>
      <c r="D93" t="s">
        <v>49</v>
      </c>
      <c r="E93" t="s">
        <v>58</v>
      </c>
      <c r="F93">
        <v>2</v>
      </c>
      <c r="G93">
        <v>1.6</v>
      </c>
      <c r="H93">
        <v>36</v>
      </c>
      <c r="I93">
        <v>64</v>
      </c>
      <c r="J93">
        <v>362</v>
      </c>
      <c r="K93">
        <v>652</v>
      </c>
      <c r="L93">
        <v>297</v>
      </c>
      <c r="M93">
        <v>570</v>
      </c>
      <c r="N93">
        <v>2</v>
      </c>
      <c r="O93">
        <v>1</v>
      </c>
      <c r="P93" t="s">
        <v>35</v>
      </c>
      <c r="Q93">
        <v>1</v>
      </c>
      <c r="R93">
        <v>0</v>
      </c>
      <c r="S93" t="s">
        <v>35</v>
      </c>
      <c r="T93">
        <v>12</v>
      </c>
      <c r="U93">
        <v>18</v>
      </c>
      <c r="V93">
        <v>6</v>
      </c>
      <c r="W93">
        <v>4</v>
      </c>
      <c r="X93">
        <v>11</v>
      </c>
      <c r="Y93">
        <v>6</v>
      </c>
      <c r="Z93">
        <v>3</v>
      </c>
      <c r="AA93">
        <v>10</v>
      </c>
      <c r="AB93">
        <v>2</v>
      </c>
      <c r="AC93">
        <v>1</v>
      </c>
      <c r="AD93">
        <v>0</v>
      </c>
      <c r="AE93">
        <v>0</v>
      </c>
    </row>
    <row r="94" spans="1:31" x14ac:dyDescent="0.25">
      <c r="A94" t="s">
        <v>31</v>
      </c>
      <c r="B94" s="2">
        <v>45598</v>
      </c>
      <c r="C94" t="s">
        <v>41</v>
      </c>
      <c r="D94" t="s">
        <v>38</v>
      </c>
      <c r="E94" t="s">
        <v>59</v>
      </c>
      <c r="F94">
        <v>1</v>
      </c>
      <c r="G94">
        <v>1.5</v>
      </c>
      <c r="H94">
        <v>43</v>
      </c>
      <c r="I94">
        <v>57</v>
      </c>
      <c r="J94">
        <v>359</v>
      </c>
      <c r="K94">
        <v>475</v>
      </c>
      <c r="L94">
        <v>266</v>
      </c>
      <c r="M94">
        <v>372</v>
      </c>
      <c r="N94">
        <v>1</v>
      </c>
      <c r="O94">
        <v>1</v>
      </c>
      <c r="P94" t="s">
        <v>36</v>
      </c>
      <c r="Q94">
        <v>0</v>
      </c>
      <c r="R94">
        <v>0</v>
      </c>
      <c r="S94" t="s">
        <v>36</v>
      </c>
      <c r="T94">
        <v>14</v>
      </c>
      <c r="U94">
        <v>20</v>
      </c>
      <c r="V94">
        <v>2</v>
      </c>
      <c r="W94">
        <v>6</v>
      </c>
      <c r="X94">
        <v>11</v>
      </c>
      <c r="Y94">
        <v>10</v>
      </c>
      <c r="Z94">
        <v>4</v>
      </c>
      <c r="AA94">
        <v>6</v>
      </c>
      <c r="AB94">
        <v>4</v>
      </c>
      <c r="AC94">
        <v>2</v>
      </c>
      <c r="AD94">
        <v>1</v>
      </c>
      <c r="AE94">
        <v>0</v>
      </c>
    </row>
    <row r="95" spans="1:31" x14ac:dyDescent="0.25">
      <c r="A95" t="s">
        <v>31</v>
      </c>
      <c r="B95" s="2">
        <v>45598</v>
      </c>
      <c r="C95" t="s">
        <v>41</v>
      </c>
      <c r="D95" t="s">
        <v>39</v>
      </c>
      <c r="E95" t="s">
        <v>45</v>
      </c>
      <c r="F95">
        <v>1.6</v>
      </c>
      <c r="G95">
        <v>1</v>
      </c>
      <c r="H95">
        <v>49</v>
      </c>
      <c r="I95">
        <v>51</v>
      </c>
      <c r="J95">
        <v>483</v>
      </c>
      <c r="K95">
        <v>505</v>
      </c>
      <c r="L95">
        <v>389</v>
      </c>
      <c r="M95">
        <v>429</v>
      </c>
      <c r="N95">
        <v>2</v>
      </c>
      <c r="O95">
        <v>1</v>
      </c>
      <c r="P95" t="s">
        <v>35</v>
      </c>
      <c r="Q95">
        <v>0</v>
      </c>
      <c r="R95">
        <v>1</v>
      </c>
      <c r="S95" t="s">
        <v>40</v>
      </c>
      <c r="T95">
        <v>16</v>
      </c>
      <c r="U95">
        <v>13</v>
      </c>
      <c r="V95">
        <v>8</v>
      </c>
      <c r="W95">
        <v>5</v>
      </c>
      <c r="X95">
        <v>10</v>
      </c>
      <c r="Y95">
        <v>18</v>
      </c>
      <c r="Z95">
        <v>10</v>
      </c>
      <c r="AA95">
        <v>7</v>
      </c>
      <c r="AB95">
        <v>1</v>
      </c>
      <c r="AC95">
        <v>1</v>
      </c>
      <c r="AD95">
        <v>0</v>
      </c>
      <c r="AE95">
        <v>0</v>
      </c>
    </row>
    <row r="96" spans="1:31" x14ac:dyDescent="0.25">
      <c r="A96" t="s">
        <v>31</v>
      </c>
      <c r="B96" s="2">
        <v>45598</v>
      </c>
      <c r="C96" t="s">
        <v>41</v>
      </c>
      <c r="D96" t="s">
        <v>48</v>
      </c>
      <c r="E96" t="s">
        <v>51</v>
      </c>
      <c r="F96">
        <v>2.2000000000000002</v>
      </c>
      <c r="G96">
        <v>0.1</v>
      </c>
      <c r="H96">
        <v>54</v>
      </c>
      <c r="I96">
        <v>46</v>
      </c>
      <c r="J96">
        <v>489</v>
      </c>
      <c r="K96">
        <v>423</v>
      </c>
      <c r="L96">
        <v>397</v>
      </c>
      <c r="M96">
        <v>326</v>
      </c>
      <c r="N96">
        <v>3</v>
      </c>
      <c r="O96">
        <v>0</v>
      </c>
      <c r="P96" t="s">
        <v>35</v>
      </c>
      <c r="Q96">
        <v>1</v>
      </c>
      <c r="R96">
        <v>0</v>
      </c>
      <c r="S96" t="s">
        <v>35</v>
      </c>
      <c r="T96">
        <v>19</v>
      </c>
      <c r="U96">
        <v>4</v>
      </c>
      <c r="V96">
        <v>6</v>
      </c>
      <c r="W96">
        <v>2</v>
      </c>
      <c r="X96">
        <v>7</v>
      </c>
      <c r="Y96">
        <v>9</v>
      </c>
      <c r="Z96">
        <v>11</v>
      </c>
      <c r="AA96">
        <v>6</v>
      </c>
      <c r="AB96">
        <v>1</v>
      </c>
      <c r="AC96">
        <v>2</v>
      </c>
      <c r="AD96">
        <v>0</v>
      </c>
      <c r="AE96">
        <v>1</v>
      </c>
    </row>
    <row r="97" spans="1:31" x14ac:dyDescent="0.25">
      <c r="A97" t="s">
        <v>31</v>
      </c>
      <c r="B97" s="2">
        <v>45598</v>
      </c>
      <c r="C97" t="s">
        <v>41</v>
      </c>
      <c r="D97" t="s">
        <v>47</v>
      </c>
      <c r="E97" t="s">
        <v>44</v>
      </c>
      <c r="F97">
        <v>0.7</v>
      </c>
      <c r="G97">
        <v>1.6</v>
      </c>
      <c r="H97">
        <v>65</v>
      </c>
      <c r="I97">
        <v>35</v>
      </c>
      <c r="J97">
        <v>626</v>
      </c>
      <c r="K97">
        <v>340</v>
      </c>
      <c r="L97">
        <v>559</v>
      </c>
      <c r="M97">
        <v>263</v>
      </c>
      <c r="N97">
        <v>1</v>
      </c>
      <c r="O97">
        <v>0</v>
      </c>
      <c r="P97" t="s">
        <v>35</v>
      </c>
      <c r="Q97">
        <v>0</v>
      </c>
      <c r="R97">
        <v>0</v>
      </c>
      <c r="S97" t="s">
        <v>36</v>
      </c>
      <c r="T97">
        <v>9</v>
      </c>
      <c r="U97">
        <v>16</v>
      </c>
      <c r="V97">
        <v>2</v>
      </c>
      <c r="W97">
        <v>5</v>
      </c>
      <c r="X97">
        <v>14</v>
      </c>
      <c r="Y97">
        <v>18</v>
      </c>
      <c r="Z97">
        <v>3</v>
      </c>
      <c r="AA97">
        <v>6</v>
      </c>
      <c r="AB97">
        <v>4</v>
      </c>
      <c r="AC97">
        <v>2</v>
      </c>
      <c r="AD97">
        <v>0</v>
      </c>
      <c r="AE97">
        <v>0</v>
      </c>
    </row>
    <row r="98" spans="1:31" x14ac:dyDescent="0.25">
      <c r="A98" t="s">
        <v>31</v>
      </c>
      <c r="B98" s="2">
        <v>45598</v>
      </c>
      <c r="C98" t="s">
        <v>50</v>
      </c>
      <c r="D98" t="s">
        <v>43</v>
      </c>
      <c r="E98" t="s">
        <v>55</v>
      </c>
      <c r="F98">
        <v>1.5</v>
      </c>
      <c r="G98">
        <v>2.4</v>
      </c>
      <c r="H98">
        <v>57</v>
      </c>
      <c r="I98">
        <v>43</v>
      </c>
      <c r="J98">
        <v>534</v>
      </c>
      <c r="K98">
        <v>403</v>
      </c>
      <c r="L98">
        <v>423</v>
      </c>
      <c r="M98">
        <v>299</v>
      </c>
      <c r="N98">
        <v>2</v>
      </c>
      <c r="O98">
        <v>2</v>
      </c>
      <c r="P98" t="s">
        <v>36</v>
      </c>
      <c r="Q98">
        <v>0</v>
      </c>
      <c r="R98">
        <v>0</v>
      </c>
      <c r="S98" t="s">
        <v>36</v>
      </c>
      <c r="T98">
        <v>11</v>
      </c>
      <c r="U98">
        <v>19</v>
      </c>
      <c r="V98">
        <v>6</v>
      </c>
      <c r="W98">
        <v>7</v>
      </c>
      <c r="X98">
        <v>7</v>
      </c>
      <c r="Y98">
        <v>9</v>
      </c>
      <c r="Z98">
        <v>3</v>
      </c>
      <c r="AA98">
        <v>6</v>
      </c>
      <c r="AB98">
        <v>1</v>
      </c>
      <c r="AC98">
        <v>2</v>
      </c>
      <c r="AD98">
        <v>0</v>
      </c>
      <c r="AE98">
        <v>0</v>
      </c>
    </row>
    <row r="99" spans="1:31" x14ac:dyDescent="0.25">
      <c r="A99" t="s">
        <v>31</v>
      </c>
      <c r="B99" s="2">
        <v>45599</v>
      </c>
      <c r="C99" t="s">
        <v>53</v>
      </c>
      <c r="D99" t="s">
        <v>60</v>
      </c>
      <c r="E99" t="s">
        <v>52</v>
      </c>
      <c r="F99">
        <v>2.4</v>
      </c>
      <c r="G99">
        <v>1.8</v>
      </c>
      <c r="H99">
        <v>51</v>
      </c>
      <c r="I99">
        <v>49</v>
      </c>
      <c r="J99">
        <v>435</v>
      </c>
      <c r="K99">
        <v>420</v>
      </c>
      <c r="L99">
        <v>369</v>
      </c>
      <c r="M99">
        <v>342</v>
      </c>
      <c r="N99">
        <v>4</v>
      </c>
      <c r="O99">
        <v>1</v>
      </c>
      <c r="P99" t="s">
        <v>35</v>
      </c>
      <c r="Q99">
        <v>0</v>
      </c>
      <c r="R99">
        <v>1</v>
      </c>
      <c r="S99" t="s">
        <v>40</v>
      </c>
      <c r="T99">
        <v>16</v>
      </c>
      <c r="U99">
        <v>12</v>
      </c>
      <c r="V99">
        <v>6</v>
      </c>
      <c r="W99">
        <v>1</v>
      </c>
      <c r="X99">
        <v>14</v>
      </c>
      <c r="Y99">
        <v>14</v>
      </c>
      <c r="Z99">
        <v>6</v>
      </c>
      <c r="AA99">
        <v>4</v>
      </c>
      <c r="AB99">
        <v>2</v>
      </c>
      <c r="AC99">
        <v>0</v>
      </c>
      <c r="AD99">
        <v>0</v>
      </c>
      <c r="AE99">
        <v>0</v>
      </c>
    </row>
    <row r="100" spans="1:31" x14ac:dyDescent="0.25">
      <c r="A100" t="s">
        <v>31</v>
      </c>
      <c r="B100" s="2">
        <v>45599</v>
      </c>
      <c r="C100" t="s">
        <v>56</v>
      </c>
      <c r="D100" t="s">
        <v>33</v>
      </c>
      <c r="E100" t="s">
        <v>57</v>
      </c>
      <c r="F100">
        <v>2</v>
      </c>
      <c r="G100">
        <v>1.1000000000000001</v>
      </c>
      <c r="H100">
        <v>46</v>
      </c>
      <c r="I100">
        <v>54</v>
      </c>
      <c r="J100">
        <v>441</v>
      </c>
      <c r="K100">
        <v>512</v>
      </c>
      <c r="L100">
        <v>344</v>
      </c>
      <c r="M100">
        <v>414</v>
      </c>
      <c r="N100">
        <v>1</v>
      </c>
      <c r="O100">
        <v>1</v>
      </c>
      <c r="P100" t="s">
        <v>36</v>
      </c>
      <c r="Q100">
        <v>0</v>
      </c>
      <c r="R100">
        <v>0</v>
      </c>
      <c r="S100" t="s">
        <v>36</v>
      </c>
      <c r="T100">
        <v>11</v>
      </c>
      <c r="U100">
        <v>12</v>
      </c>
      <c r="V100">
        <v>4</v>
      </c>
      <c r="W100">
        <v>3</v>
      </c>
      <c r="X100">
        <v>19</v>
      </c>
      <c r="Y100">
        <v>14</v>
      </c>
      <c r="Z100">
        <v>4</v>
      </c>
      <c r="AA100">
        <v>8</v>
      </c>
      <c r="AB100">
        <v>6</v>
      </c>
      <c r="AC100">
        <v>2</v>
      </c>
      <c r="AD100">
        <v>0</v>
      </c>
      <c r="AE100">
        <v>0</v>
      </c>
    </row>
    <row r="101" spans="1:31" x14ac:dyDescent="0.25">
      <c r="A101" t="s">
        <v>31</v>
      </c>
      <c r="B101" s="2">
        <v>45600</v>
      </c>
      <c r="C101" t="s">
        <v>32</v>
      </c>
      <c r="D101" t="s">
        <v>34</v>
      </c>
      <c r="E101" t="s">
        <v>54</v>
      </c>
      <c r="F101">
        <v>1.3</v>
      </c>
      <c r="G101">
        <v>0.6</v>
      </c>
      <c r="H101">
        <v>68</v>
      </c>
      <c r="I101">
        <v>32</v>
      </c>
      <c r="J101">
        <v>712</v>
      </c>
      <c r="K101">
        <v>338</v>
      </c>
      <c r="L101">
        <v>595</v>
      </c>
      <c r="M101">
        <v>237</v>
      </c>
      <c r="N101">
        <v>2</v>
      </c>
      <c r="O101">
        <v>1</v>
      </c>
      <c r="P101" t="s">
        <v>35</v>
      </c>
      <c r="Q101">
        <v>0</v>
      </c>
      <c r="R101">
        <v>1</v>
      </c>
      <c r="S101" t="s">
        <v>40</v>
      </c>
      <c r="T101">
        <v>26</v>
      </c>
      <c r="U101">
        <v>5</v>
      </c>
      <c r="V101">
        <v>12</v>
      </c>
      <c r="W101">
        <v>2</v>
      </c>
      <c r="X101">
        <v>3</v>
      </c>
      <c r="Y101">
        <v>10</v>
      </c>
      <c r="Z101">
        <v>11</v>
      </c>
      <c r="AA101">
        <v>3</v>
      </c>
      <c r="AB101">
        <v>2</v>
      </c>
      <c r="AC101">
        <v>1</v>
      </c>
      <c r="AD101">
        <v>0</v>
      </c>
      <c r="AE101">
        <v>0</v>
      </c>
    </row>
    <row r="102" spans="1:31" x14ac:dyDescent="0.25">
      <c r="A102" t="s">
        <v>31</v>
      </c>
      <c r="B102" s="2">
        <v>45605</v>
      </c>
      <c r="C102" t="s">
        <v>41</v>
      </c>
      <c r="D102" t="s">
        <v>54</v>
      </c>
      <c r="E102" t="s">
        <v>49</v>
      </c>
      <c r="F102">
        <v>1.5</v>
      </c>
      <c r="G102">
        <v>2.6</v>
      </c>
      <c r="H102">
        <v>51</v>
      </c>
      <c r="I102">
        <v>49</v>
      </c>
      <c r="J102">
        <v>457</v>
      </c>
      <c r="K102">
        <v>434</v>
      </c>
      <c r="L102">
        <v>333</v>
      </c>
      <c r="M102">
        <v>315</v>
      </c>
      <c r="N102">
        <v>3</v>
      </c>
      <c r="O102">
        <v>2</v>
      </c>
      <c r="P102" t="s">
        <v>35</v>
      </c>
      <c r="Q102">
        <v>1</v>
      </c>
      <c r="R102">
        <v>1</v>
      </c>
      <c r="S102" t="s">
        <v>36</v>
      </c>
      <c r="T102">
        <v>12</v>
      </c>
      <c r="U102">
        <v>15</v>
      </c>
      <c r="V102">
        <v>6</v>
      </c>
      <c r="W102">
        <v>3</v>
      </c>
      <c r="X102">
        <v>8</v>
      </c>
      <c r="Y102">
        <v>16</v>
      </c>
      <c r="Z102">
        <v>6</v>
      </c>
      <c r="AA102">
        <v>4</v>
      </c>
      <c r="AB102">
        <v>2</v>
      </c>
      <c r="AC102">
        <v>4</v>
      </c>
      <c r="AD102">
        <v>0</v>
      </c>
      <c r="AE102">
        <v>0</v>
      </c>
    </row>
    <row r="103" spans="1:31" x14ac:dyDescent="0.25">
      <c r="A103" t="s">
        <v>31</v>
      </c>
      <c r="B103" s="2">
        <v>45605</v>
      </c>
      <c r="C103" t="s">
        <v>41</v>
      </c>
      <c r="D103" t="s">
        <v>55</v>
      </c>
      <c r="E103" t="s">
        <v>34</v>
      </c>
      <c r="F103">
        <v>1.5</v>
      </c>
      <c r="G103">
        <v>1.8</v>
      </c>
      <c r="H103">
        <v>36</v>
      </c>
      <c r="I103">
        <v>64</v>
      </c>
      <c r="J103">
        <v>385</v>
      </c>
      <c r="K103">
        <v>676</v>
      </c>
      <c r="L103">
        <v>293</v>
      </c>
      <c r="M103">
        <v>560</v>
      </c>
      <c r="N103">
        <v>0</v>
      </c>
      <c r="O103">
        <v>2</v>
      </c>
      <c r="P103" t="s">
        <v>40</v>
      </c>
      <c r="Q103">
        <v>0</v>
      </c>
      <c r="R103">
        <v>1</v>
      </c>
      <c r="S103" t="s">
        <v>40</v>
      </c>
      <c r="T103">
        <v>13</v>
      </c>
      <c r="U103">
        <v>17</v>
      </c>
      <c r="V103">
        <v>5</v>
      </c>
      <c r="W103">
        <v>7</v>
      </c>
      <c r="X103">
        <v>10</v>
      </c>
      <c r="Y103">
        <v>11</v>
      </c>
      <c r="Z103">
        <v>1</v>
      </c>
      <c r="AA103">
        <v>8</v>
      </c>
      <c r="AB103">
        <v>1</v>
      </c>
      <c r="AC103">
        <v>1</v>
      </c>
      <c r="AD103">
        <v>1</v>
      </c>
      <c r="AE103">
        <v>0</v>
      </c>
    </row>
    <row r="104" spans="1:31" x14ac:dyDescent="0.25">
      <c r="A104" t="s">
        <v>31</v>
      </c>
      <c r="B104" s="2">
        <v>45605</v>
      </c>
      <c r="C104" t="s">
        <v>41</v>
      </c>
      <c r="D104" t="s">
        <v>51</v>
      </c>
      <c r="E104" t="s">
        <v>44</v>
      </c>
      <c r="F104">
        <v>0.8</v>
      </c>
      <c r="G104">
        <v>1.1000000000000001</v>
      </c>
      <c r="H104">
        <v>49</v>
      </c>
      <c r="I104">
        <v>51</v>
      </c>
      <c r="J104">
        <v>492</v>
      </c>
      <c r="K104">
        <v>515</v>
      </c>
      <c r="L104">
        <v>374</v>
      </c>
      <c r="M104">
        <v>384</v>
      </c>
      <c r="N104">
        <v>0</v>
      </c>
      <c r="O104">
        <v>0</v>
      </c>
      <c r="P104" t="s">
        <v>36</v>
      </c>
      <c r="Q104">
        <v>0</v>
      </c>
      <c r="R104">
        <v>0</v>
      </c>
      <c r="S104" t="s">
        <v>36</v>
      </c>
      <c r="T104">
        <v>11</v>
      </c>
      <c r="U104">
        <v>18</v>
      </c>
      <c r="V104">
        <v>6</v>
      </c>
      <c r="W104">
        <v>4</v>
      </c>
      <c r="X104">
        <v>10</v>
      </c>
      <c r="Y104">
        <v>9</v>
      </c>
      <c r="Z104">
        <v>7</v>
      </c>
      <c r="AA104">
        <v>6</v>
      </c>
      <c r="AB104">
        <v>1</v>
      </c>
      <c r="AC104">
        <v>2</v>
      </c>
      <c r="AD104">
        <v>0</v>
      </c>
      <c r="AE104">
        <v>0</v>
      </c>
    </row>
    <row r="105" spans="1:31" x14ac:dyDescent="0.25">
      <c r="A105" t="s">
        <v>31</v>
      </c>
      <c r="B105" s="2">
        <v>45605</v>
      </c>
      <c r="C105" t="s">
        <v>41</v>
      </c>
      <c r="D105" t="s">
        <v>43</v>
      </c>
      <c r="E105" t="s">
        <v>47</v>
      </c>
      <c r="F105">
        <v>1.3</v>
      </c>
      <c r="G105">
        <v>0.6</v>
      </c>
      <c r="H105">
        <v>29</v>
      </c>
      <c r="I105">
        <v>71</v>
      </c>
      <c r="J105">
        <v>299</v>
      </c>
      <c r="K105">
        <v>724</v>
      </c>
      <c r="L105">
        <v>227</v>
      </c>
      <c r="M105">
        <v>635</v>
      </c>
      <c r="N105">
        <v>2</v>
      </c>
      <c r="O105">
        <v>0</v>
      </c>
      <c r="P105" t="s">
        <v>35</v>
      </c>
      <c r="Q105">
        <v>1</v>
      </c>
      <c r="R105">
        <v>0</v>
      </c>
      <c r="S105" t="s">
        <v>35</v>
      </c>
      <c r="T105">
        <v>8</v>
      </c>
      <c r="U105">
        <v>9</v>
      </c>
      <c r="V105">
        <v>4</v>
      </c>
      <c r="W105">
        <v>0</v>
      </c>
      <c r="X105">
        <v>14</v>
      </c>
      <c r="Y105">
        <v>12</v>
      </c>
      <c r="Z105">
        <v>1</v>
      </c>
      <c r="AA105">
        <v>9</v>
      </c>
      <c r="AB105">
        <v>1</v>
      </c>
      <c r="AC105">
        <v>4</v>
      </c>
      <c r="AD105">
        <v>0</v>
      </c>
      <c r="AE105">
        <v>0</v>
      </c>
    </row>
    <row r="106" spans="1:31" x14ac:dyDescent="0.25">
      <c r="A106" t="s">
        <v>31</v>
      </c>
      <c r="B106" s="2">
        <v>45605</v>
      </c>
      <c r="C106" t="s">
        <v>50</v>
      </c>
      <c r="D106" t="s">
        <v>45</v>
      </c>
      <c r="E106" t="s">
        <v>58</v>
      </c>
      <c r="F106">
        <v>2.2999999999999998</v>
      </c>
      <c r="G106">
        <v>2.1</v>
      </c>
      <c r="H106">
        <v>40</v>
      </c>
      <c r="I106">
        <v>60</v>
      </c>
      <c r="J106">
        <v>453</v>
      </c>
      <c r="K106">
        <v>689</v>
      </c>
      <c r="L106">
        <v>390</v>
      </c>
      <c r="M106">
        <v>613</v>
      </c>
      <c r="N106">
        <v>2</v>
      </c>
      <c r="O106">
        <v>1</v>
      </c>
      <c r="P106" t="s">
        <v>35</v>
      </c>
      <c r="Q106">
        <v>0</v>
      </c>
      <c r="R106">
        <v>1</v>
      </c>
      <c r="S106" t="s">
        <v>40</v>
      </c>
      <c r="T106">
        <v>10</v>
      </c>
      <c r="U106">
        <v>15</v>
      </c>
      <c r="V106">
        <v>4</v>
      </c>
      <c r="W106">
        <v>6</v>
      </c>
      <c r="X106">
        <v>12</v>
      </c>
      <c r="Y106">
        <v>10</v>
      </c>
      <c r="Z106">
        <v>0</v>
      </c>
      <c r="AA106">
        <v>4</v>
      </c>
      <c r="AB106">
        <v>3</v>
      </c>
      <c r="AC106">
        <v>3</v>
      </c>
      <c r="AD106">
        <v>0</v>
      </c>
      <c r="AE106">
        <v>0</v>
      </c>
    </row>
    <row r="107" spans="1:31" x14ac:dyDescent="0.25">
      <c r="A107" t="s">
        <v>31</v>
      </c>
      <c r="B107" s="2">
        <v>45605</v>
      </c>
      <c r="C107" t="s">
        <v>32</v>
      </c>
      <c r="D107" t="s">
        <v>39</v>
      </c>
      <c r="E107" t="s">
        <v>52</v>
      </c>
      <c r="F107">
        <v>2</v>
      </c>
      <c r="G107">
        <v>1.2</v>
      </c>
      <c r="H107">
        <v>62</v>
      </c>
      <c r="I107">
        <v>38</v>
      </c>
      <c r="J107">
        <v>644</v>
      </c>
      <c r="K107">
        <v>389</v>
      </c>
      <c r="L107">
        <v>564</v>
      </c>
      <c r="M107">
        <v>306</v>
      </c>
      <c r="N107">
        <v>2</v>
      </c>
      <c r="O107">
        <v>0</v>
      </c>
      <c r="P107" t="s">
        <v>35</v>
      </c>
      <c r="Q107">
        <v>1</v>
      </c>
      <c r="R107">
        <v>0</v>
      </c>
      <c r="S107" t="s">
        <v>35</v>
      </c>
      <c r="T107">
        <v>14</v>
      </c>
      <c r="U107">
        <v>12</v>
      </c>
      <c r="V107">
        <v>5</v>
      </c>
      <c r="W107">
        <v>2</v>
      </c>
      <c r="X107">
        <v>11</v>
      </c>
      <c r="Y107">
        <v>15</v>
      </c>
      <c r="Z107">
        <v>2</v>
      </c>
      <c r="AA107">
        <v>9</v>
      </c>
      <c r="AB107">
        <v>0</v>
      </c>
      <c r="AC107">
        <v>3</v>
      </c>
      <c r="AD107">
        <v>0</v>
      </c>
      <c r="AE107">
        <v>0</v>
      </c>
    </row>
    <row r="108" spans="1:31" x14ac:dyDescent="0.25">
      <c r="A108" t="s">
        <v>31</v>
      </c>
      <c r="B108" s="2">
        <v>45606</v>
      </c>
      <c r="C108" t="s">
        <v>53</v>
      </c>
      <c r="D108" t="s">
        <v>33</v>
      </c>
      <c r="E108" t="s">
        <v>59</v>
      </c>
      <c r="F108">
        <v>0.8</v>
      </c>
      <c r="G108">
        <v>0.6</v>
      </c>
      <c r="H108">
        <v>51</v>
      </c>
      <c r="I108">
        <v>49</v>
      </c>
      <c r="J108">
        <v>534</v>
      </c>
      <c r="K108">
        <v>516</v>
      </c>
      <c r="L108">
        <v>446</v>
      </c>
      <c r="M108">
        <v>421</v>
      </c>
      <c r="N108">
        <v>3</v>
      </c>
      <c r="O108">
        <v>0</v>
      </c>
      <c r="P108" t="s">
        <v>35</v>
      </c>
      <c r="Q108">
        <v>2</v>
      </c>
      <c r="R108">
        <v>0</v>
      </c>
      <c r="S108" t="s">
        <v>35</v>
      </c>
      <c r="T108">
        <v>13</v>
      </c>
      <c r="U108">
        <v>6</v>
      </c>
      <c r="V108">
        <v>3</v>
      </c>
      <c r="W108">
        <v>5</v>
      </c>
      <c r="X108">
        <v>9</v>
      </c>
      <c r="Y108">
        <v>5</v>
      </c>
      <c r="Z108">
        <v>1</v>
      </c>
      <c r="AA108">
        <v>5</v>
      </c>
      <c r="AB108">
        <v>0</v>
      </c>
      <c r="AC108">
        <v>1</v>
      </c>
      <c r="AD108">
        <v>0</v>
      </c>
      <c r="AE108">
        <v>0</v>
      </c>
    </row>
    <row r="109" spans="1:31" x14ac:dyDescent="0.25">
      <c r="A109" t="s">
        <v>31</v>
      </c>
      <c r="B109" s="2">
        <v>45606</v>
      </c>
      <c r="C109" t="s">
        <v>53</v>
      </c>
      <c r="D109" t="s">
        <v>48</v>
      </c>
      <c r="E109" t="s">
        <v>46</v>
      </c>
      <c r="F109">
        <v>0.6</v>
      </c>
      <c r="G109">
        <v>1.6</v>
      </c>
      <c r="H109">
        <v>44</v>
      </c>
      <c r="I109">
        <v>56</v>
      </c>
      <c r="J109">
        <v>429</v>
      </c>
      <c r="K109">
        <v>546</v>
      </c>
      <c r="L109">
        <v>319</v>
      </c>
      <c r="M109">
        <v>453</v>
      </c>
      <c r="N109">
        <v>1</v>
      </c>
      <c r="O109">
        <v>3</v>
      </c>
      <c r="P109" t="s">
        <v>40</v>
      </c>
      <c r="Q109">
        <v>1</v>
      </c>
      <c r="R109">
        <v>0</v>
      </c>
      <c r="S109" t="s">
        <v>35</v>
      </c>
      <c r="T109">
        <v>9</v>
      </c>
      <c r="U109">
        <v>17</v>
      </c>
      <c r="V109">
        <v>3</v>
      </c>
      <c r="W109">
        <v>6</v>
      </c>
      <c r="X109">
        <v>13</v>
      </c>
      <c r="Y109">
        <v>6</v>
      </c>
      <c r="Z109">
        <v>4</v>
      </c>
      <c r="AA109">
        <v>5</v>
      </c>
      <c r="AB109">
        <v>1</v>
      </c>
      <c r="AC109">
        <v>1</v>
      </c>
      <c r="AD109">
        <v>0</v>
      </c>
      <c r="AE109">
        <v>0</v>
      </c>
    </row>
    <row r="110" spans="1:31" x14ac:dyDescent="0.25">
      <c r="A110" t="s">
        <v>31</v>
      </c>
      <c r="B110" s="2">
        <v>45606</v>
      </c>
      <c r="C110" t="s">
        <v>53</v>
      </c>
      <c r="D110" t="s">
        <v>60</v>
      </c>
      <c r="E110" t="s">
        <v>38</v>
      </c>
      <c r="F110">
        <v>1.5</v>
      </c>
      <c r="G110">
        <v>1.6</v>
      </c>
      <c r="H110">
        <v>66</v>
      </c>
      <c r="I110">
        <v>34</v>
      </c>
      <c r="J110">
        <v>609</v>
      </c>
      <c r="K110">
        <v>312</v>
      </c>
      <c r="L110">
        <v>494</v>
      </c>
      <c r="M110">
        <v>210</v>
      </c>
      <c r="N110">
        <v>1</v>
      </c>
      <c r="O110">
        <v>2</v>
      </c>
      <c r="P110" t="s">
        <v>40</v>
      </c>
      <c r="Q110">
        <v>0</v>
      </c>
      <c r="R110">
        <v>2</v>
      </c>
      <c r="S110" t="s">
        <v>40</v>
      </c>
      <c r="T110">
        <v>17</v>
      </c>
      <c r="U110">
        <v>8</v>
      </c>
      <c r="V110">
        <v>5</v>
      </c>
      <c r="W110">
        <v>3</v>
      </c>
      <c r="X110">
        <v>10</v>
      </c>
      <c r="Y110">
        <v>19</v>
      </c>
      <c r="Z110">
        <v>12</v>
      </c>
      <c r="AA110">
        <v>2</v>
      </c>
      <c r="AB110">
        <v>1</v>
      </c>
      <c r="AC110">
        <v>5</v>
      </c>
      <c r="AD110">
        <v>0</v>
      </c>
      <c r="AE110">
        <v>0</v>
      </c>
    </row>
    <row r="111" spans="1:31" x14ac:dyDescent="0.25">
      <c r="A111" t="s">
        <v>31</v>
      </c>
      <c r="B111" s="2">
        <v>45606</v>
      </c>
      <c r="C111" t="s">
        <v>56</v>
      </c>
      <c r="D111" t="s">
        <v>57</v>
      </c>
      <c r="E111" t="s">
        <v>42</v>
      </c>
      <c r="F111">
        <v>1.5</v>
      </c>
      <c r="G111">
        <v>1.5</v>
      </c>
      <c r="H111">
        <v>49</v>
      </c>
      <c r="I111">
        <v>51</v>
      </c>
      <c r="J111">
        <v>447</v>
      </c>
      <c r="K111">
        <v>474</v>
      </c>
      <c r="L111">
        <v>376</v>
      </c>
      <c r="M111">
        <v>400</v>
      </c>
      <c r="N111">
        <v>1</v>
      </c>
      <c r="O111">
        <v>1</v>
      </c>
      <c r="P111" t="s">
        <v>36</v>
      </c>
      <c r="Q111">
        <v>0</v>
      </c>
      <c r="R111">
        <v>0</v>
      </c>
      <c r="S111" t="s">
        <v>36</v>
      </c>
      <c r="T111">
        <v>17</v>
      </c>
      <c r="U111">
        <v>13</v>
      </c>
      <c r="V111">
        <v>3</v>
      </c>
      <c r="W111">
        <v>3</v>
      </c>
      <c r="X111">
        <v>12</v>
      </c>
      <c r="Y111">
        <v>12</v>
      </c>
      <c r="Z111">
        <v>4</v>
      </c>
      <c r="AA111">
        <v>3</v>
      </c>
      <c r="AB111">
        <v>4</v>
      </c>
      <c r="AC111">
        <v>2</v>
      </c>
      <c r="AD111">
        <v>0</v>
      </c>
      <c r="AE111">
        <v>0</v>
      </c>
    </row>
    <row r="112" spans="1:31" x14ac:dyDescent="0.25">
      <c r="A112" t="s">
        <v>31</v>
      </c>
      <c r="B112" s="2">
        <v>45619</v>
      </c>
      <c r="C112" t="s">
        <v>37</v>
      </c>
      <c r="D112" t="s">
        <v>59</v>
      </c>
      <c r="E112" t="s">
        <v>57</v>
      </c>
      <c r="F112">
        <v>1.1000000000000001</v>
      </c>
      <c r="G112">
        <v>2.7</v>
      </c>
      <c r="H112">
        <v>37</v>
      </c>
      <c r="I112">
        <v>63</v>
      </c>
      <c r="J112">
        <v>386</v>
      </c>
      <c r="K112">
        <v>645</v>
      </c>
      <c r="L112">
        <v>286</v>
      </c>
      <c r="M112">
        <v>545</v>
      </c>
      <c r="N112">
        <v>1</v>
      </c>
      <c r="O112">
        <v>2</v>
      </c>
      <c r="P112" t="s">
        <v>40</v>
      </c>
      <c r="Q112">
        <v>0</v>
      </c>
      <c r="R112">
        <v>1</v>
      </c>
      <c r="S112" t="s">
        <v>40</v>
      </c>
      <c r="T112">
        <v>4</v>
      </c>
      <c r="U112">
        <v>16</v>
      </c>
      <c r="V112">
        <v>1</v>
      </c>
      <c r="W112">
        <v>7</v>
      </c>
      <c r="X112">
        <v>15</v>
      </c>
      <c r="Y112">
        <v>12</v>
      </c>
      <c r="Z112">
        <v>2</v>
      </c>
      <c r="AA112">
        <v>9</v>
      </c>
      <c r="AB112">
        <v>4</v>
      </c>
      <c r="AC112">
        <v>3</v>
      </c>
      <c r="AD112">
        <v>0</v>
      </c>
      <c r="AE112">
        <v>0</v>
      </c>
    </row>
    <row r="113" spans="1:31" x14ac:dyDescent="0.25">
      <c r="A113" t="s">
        <v>31</v>
      </c>
      <c r="B113" s="2">
        <v>45619</v>
      </c>
      <c r="C113" t="s">
        <v>41</v>
      </c>
      <c r="D113" t="s">
        <v>42</v>
      </c>
      <c r="E113" t="s">
        <v>48</v>
      </c>
      <c r="F113">
        <v>1.2</v>
      </c>
      <c r="G113">
        <v>0.3</v>
      </c>
      <c r="H113">
        <v>66</v>
      </c>
      <c r="I113">
        <v>34</v>
      </c>
      <c r="J113">
        <v>631</v>
      </c>
      <c r="K113">
        <v>327</v>
      </c>
      <c r="L113">
        <v>560</v>
      </c>
      <c r="M113">
        <v>253</v>
      </c>
      <c r="N113">
        <v>3</v>
      </c>
      <c r="O113">
        <v>0</v>
      </c>
      <c r="P113" t="s">
        <v>35</v>
      </c>
      <c r="Q113">
        <v>1</v>
      </c>
      <c r="R113">
        <v>0</v>
      </c>
      <c r="S113" t="s">
        <v>35</v>
      </c>
      <c r="T113">
        <v>19</v>
      </c>
      <c r="U113">
        <v>7</v>
      </c>
      <c r="V113">
        <v>7</v>
      </c>
      <c r="W113">
        <v>0</v>
      </c>
      <c r="X113">
        <v>10</v>
      </c>
      <c r="Y113">
        <v>1</v>
      </c>
      <c r="Z113">
        <v>8</v>
      </c>
      <c r="AA113">
        <v>1</v>
      </c>
      <c r="AB113">
        <v>3</v>
      </c>
      <c r="AC113">
        <v>2</v>
      </c>
      <c r="AD113">
        <v>0</v>
      </c>
      <c r="AE113">
        <v>0</v>
      </c>
    </row>
    <row r="114" spans="1:31" x14ac:dyDescent="0.25">
      <c r="A114" t="s">
        <v>31</v>
      </c>
      <c r="B114" s="2">
        <v>45619</v>
      </c>
      <c r="C114" t="s">
        <v>41</v>
      </c>
      <c r="D114" t="s">
        <v>52</v>
      </c>
      <c r="E114" t="s">
        <v>55</v>
      </c>
      <c r="F114">
        <v>3</v>
      </c>
      <c r="G114">
        <v>1.3</v>
      </c>
      <c r="H114">
        <v>69</v>
      </c>
      <c r="I114">
        <v>31</v>
      </c>
      <c r="J114">
        <v>658</v>
      </c>
      <c r="K114">
        <v>293</v>
      </c>
      <c r="L114">
        <v>554</v>
      </c>
      <c r="M114">
        <v>193</v>
      </c>
      <c r="N114">
        <v>2</v>
      </c>
      <c r="O114">
        <v>2</v>
      </c>
      <c r="P114" t="s">
        <v>36</v>
      </c>
      <c r="Q114">
        <v>1</v>
      </c>
      <c r="R114">
        <v>2</v>
      </c>
      <c r="S114" t="s">
        <v>40</v>
      </c>
      <c r="T114">
        <v>17</v>
      </c>
      <c r="U114">
        <v>13</v>
      </c>
      <c r="V114">
        <v>5</v>
      </c>
      <c r="W114">
        <v>6</v>
      </c>
      <c r="X114">
        <v>10</v>
      </c>
      <c r="Y114">
        <v>11</v>
      </c>
      <c r="Z114">
        <v>10</v>
      </c>
      <c r="AA114">
        <v>1</v>
      </c>
      <c r="AB114">
        <v>3</v>
      </c>
      <c r="AC114">
        <v>2</v>
      </c>
      <c r="AD114">
        <v>0</v>
      </c>
      <c r="AE114">
        <v>0</v>
      </c>
    </row>
    <row r="115" spans="1:31" x14ac:dyDescent="0.25">
      <c r="A115" t="s">
        <v>31</v>
      </c>
      <c r="B115" s="2">
        <v>45619</v>
      </c>
      <c r="C115" t="s">
        <v>41</v>
      </c>
      <c r="D115" t="s">
        <v>49</v>
      </c>
      <c r="E115" t="s">
        <v>45</v>
      </c>
      <c r="F115">
        <v>1.6</v>
      </c>
      <c r="G115">
        <v>0.9</v>
      </c>
      <c r="H115">
        <v>55</v>
      </c>
      <c r="I115">
        <v>45</v>
      </c>
      <c r="J115">
        <v>542</v>
      </c>
      <c r="K115">
        <v>446</v>
      </c>
      <c r="L115">
        <v>442</v>
      </c>
      <c r="M115">
        <v>358</v>
      </c>
      <c r="N115">
        <v>1</v>
      </c>
      <c r="O115">
        <v>2</v>
      </c>
      <c r="P115" t="s">
        <v>40</v>
      </c>
      <c r="Q115">
        <v>0</v>
      </c>
      <c r="R115">
        <v>1</v>
      </c>
      <c r="S115" t="s">
        <v>40</v>
      </c>
      <c r="T115">
        <v>19</v>
      </c>
      <c r="U115">
        <v>6</v>
      </c>
      <c r="V115">
        <v>5</v>
      </c>
      <c r="W115">
        <v>4</v>
      </c>
      <c r="X115">
        <v>13</v>
      </c>
      <c r="Y115">
        <v>10</v>
      </c>
      <c r="Z115">
        <v>7</v>
      </c>
      <c r="AA115">
        <v>0</v>
      </c>
      <c r="AB115">
        <v>2</v>
      </c>
      <c r="AC115">
        <v>2</v>
      </c>
      <c r="AD115">
        <v>0</v>
      </c>
      <c r="AE115">
        <v>1</v>
      </c>
    </row>
    <row r="116" spans="1:31" x14ac:dyDescent="0.25">
      <c r="A116" t="s">
        <v>31</v>
      </c>
      <c r="B116" s="2">
        <v>45619</v>
      </c>
      <c r="C116" t="s">
        <v>41</v>
      </c>
      <c r="D116" t="s">
        <v>44</v>
      </c>
      <c r="E116" t="s">
        <v>54</v>
      </c>
      <c r="F116">
        <v>1.2</v>
      </c>
      <c r="G116">
        <v>1.1000000000000001</v>
      </c>
      <c r="H116">
        <v>59</v>
      </c>
      <c r="I116">
        <v>41</v>
      </c>
      <c r="J116">
        <v>533</v>
      </c>
      <c r="K116">
        <v>369</v>
      </c>
      <c r="L116">
        <v>440</v>
      </c>
      <c r="M116">
        <v>282</v>
      </c>
      <c r="N116">
        <v>0</v>
      </c>
      <c r="O116">
        <v>0</v>
      </c>
      <c r="P116" t="s">
        <v>36</v>
      </c>
      <c r="Q116">
        <v>0</v>
      </c>
      <c r="R116">
        <v>0</v>
      </c>
      <c r="S116" t="s">
        <v>36</v>
      </c>
      <c r="T116">
        <v>27</v>
      </c>
      <c r="U116">
        <v>9</v>
      </c>
      <c r="V116">
        <v>5</v>
      </c>
      <c r="W116">
        <v>2</v>
      </c>
      <c r="X116">
        <v>8</v>
      </c>
      <c r="Y116">
        <v>10</v>
      </c>
      <c r="Z116">
        <v>10</v>
      </c>
      <c r="AA116">
        <v>4</v>
      </c>
      <c r="AB116">
        <v>0</v>
      </c>
      <c r="AC116">
        <v>0</v>
      </c>
      <c r="AD116">
        <v>0</v>
      </c>
      <c r="AE116">
        <v>1</v>
      </c>
    </row>
    <row r="117" spans="1:31" x14ac:dyDescent="0.25">
      <c r="A117" t="s">
        <v>31</v>
      </c>
      <c r="B117" s="2">
        <v>45619</v>
      </c>
      <c r="C117" t="s">
        <v>41</v>
      </c>
      <c r="D117" t="s">
        <v>34</v>
      </c>
      <c r="E117" t="s">
        <v>43</v>
      </c>
      <c r="F117">
        <v>1</v>
      </c>
      <c r="G117">
        <v>1.3</v>
      </c>
      <c r="H117">
        <v>59</v>
      </c>
      <c r="I117">
        <v>41</v>
      </c>
      <c r="J117">
        <v>603</v>
      </c>
      <c r="K117">
        <v>426</v>
      </c>
      <c r="L117">
        <v>499</v>
      </c>
      <c r="M117">
        <v>349</v>
      </c>
      <c r="N117">
        <v>1</v>
      </c>
      <c r="O117">
        <v>4</v>
      </c>
      <c r="P117" t="s">
        <v>40</v>
      </c>
      <c r="Q117">
        <v>1</v>
      </c>
      <c r="R117">
        <v>1</v>
      </c>
      <c r="S117" t="s">
        <v>36</v>
      </c>
      <c r="T117">
        <v>10</v>
      </c>
      <c r="U117">
        <v>10</v>
      </c>
      <c r="V117">
        <v>3</v>
      </c>
      <c r="W117">
        <v>5</v>
      </c>
      <c r="X117">
        <v>14</v>
      </c>
      <c r="Y117">
        <v>14</v>
      </c>
      <c r="Z117">
        <v>7</v>
      </c>
      <c r="AA117">
        <v>2</v>
      </c>
      <c r="AB117">
        <v>3</v>
      </c>
      <c r="AC117">
        <v>0</v>
      </c>
      <c r="AD117">
        <v>0</v>
      </c>
      <c r="AE117">
        <v>0</v>
      </c>
    </row>
    <row r="118" spans="1:31" x14ac:dyDescent="0.25">
      <c r="A118" t="s">
        <v>31</v>
      </c>
      <c r="B118" s="2">
        <v>45619</v>
      </c>
      <c r="C118" t="s">
        <v>50</v>
      </c>
      <c r="D118" t="s">
        <v>58</v>
      </c>
      <c r="E118" t="s">
        <v>60</v>
      </c>
      <c r="F118">
        <v>2.1</v>
      </c>
      <c r="G118">
        <v>2.5</v>
      </c>
      <c r="H118">
        <v>58</v>
      </c>
      <c r="I118">
        <v>42</v>
      </c>
      <c r="J118">
        <v>618</v>
      </c>
      <c r="K118">
        <v>453</v>
      </c>
      <c r="L118">
        <v>546</v>
      </c>
      <c r="M118">
        <v>373</v>
      </c>
      <c r="N118">
        <v>0</v>
      </c>
      <c r="O118">
        <v>4</v>
      </c>
      <c r="P118" t="s">
        <v>40</v>
      </c>
      <c r="Q118">
        <v>0</v>
      </c>
      <c r="R118">
        <v>2</v>
      </c>
      <c r="S118" t="s">
        <v>40</v>
      </c>
      <c r="T118">
        <v>23</v>
      </c>
      <c r="U118">
        <v>9</v>
      </c>
      <c r="V118">
        <v>5</v>
      </c>
      <c r="W118">
        <v>7</v>
      </c>
      <c r="X118">
        <v>19</v>
      </c>
      <c r="Y118">
        <v>9</v>
      </c>
      <c r="Z118">
        <v>9</v>
      </c>
      <c r="AA118">
        <v>3</v>
      </c>
      <c r="AB118">
        <v>4</v>
      </c>
      <c r="AC118">
        <v>2</v>
      </c>
      <c r="AD118">
        <v>0</v>
      </c>
      <c r="AE118">
        <v>0</v>
      </c>
    </row>
    <row r="119" spans="1:31" x14ac:dyDescent="0.25">
      <c r="A119" t="s">
        <v>31</v>
      </c>
      <c r="B119" s="2">
        <v>45620</v>
      </c>
      <c r="C119" t="s">
        <v>53</v>
      </c>
      <c r="D119" t="s">
        <v>47</v>
      </c>
      <c r="E119" t="s">
        <v>39</v>
      </c>
      <c r="F119">
        <v>1.3</v>
      </c>
      <c r="G119">
        <v>3.1</v>
      </c>
      <c r="H119">
        <v>38</v>
      </c>
      <c r="I119">
        <v>62</v>
      </c>
      <c r="J119">
        <v>396</v>
      </c>
      <c r="K119">
        <v>650</v>
      </c>
      <c r="L119">
        <v>327</v>
      </c>
      <c r="M119">
        <v>559</v>
      </c>
      <c r="N119">
        <v>2</v>
      </c>
      <c r="O119">
        <v>3</v>
      </c>
      <c r="P119" t="s">
        <v>40</v>
      </c>
      <c r="Q119">
        <v>1</v>
      </c>
      <c r="R119">
        <v>1</v>
      </c>
      <c r="S119" t="s">
        <v>36</v>
      </c>
      <c r="T119">
        <v>7</v>
      </c>
      <c r="U119">
        <v>27</v>
      </c>
      <c r="V119">
        <v>5</v>
      </c>
      <c r="W119">
        <v>11</v>
      </c>
      <c r="X119">
        <v>11</v>
      </c>
      <c r="Y119">
        <v>9</v>
      </c>
      <c r="Z119">
        <v>3</v>
      </c>
      <c r="AA119">
        <v>10</v>
      </c>
      <c r="AB119">
        <v>3</v>
      </c>
      <c r="AC119">
        <v>4</v>
      </c>
      <c r="AD119">
        <v>0</v>
      </c>
      <c r="AE119">
        <v>0</v>
      </c>
    </row>
    <row r="120" spans="1:31" x14ac:dyDescent="0.25">
      <c r="A120" t="s">
        <v>31</v>
      </c>
      <c r="B120" s="2">
        <v>45620</v>
      </c>
      <c r="C120" t="s">
        <v>56</v>
      </c>
      <c r="D120" t="s">
        <v>38</v>
      </c>
      <c r="E120" t="s">
        <v>33</v>
      </c>
      <c r="F120">
        <v>1.6</v>
      </c>
      <c r="G120">
        <v>0.8</v>
      </c>
      <c r="H120">
        <v>40</v>
      </c>
      <c r="I120">
        <v>60</v>
      </c>
      <c r="J120">
        <v>462</v>
      </c>
      <c r="K120">
        <v>682</v>
      </c>
      <c r="L120">
        <v>368</v>
      </c>
      <c r="M120">
        <v>592</v>
      </c>
      <c r="N120">
        <v>1</v>
      </c>
      <c r="O120">
        <v>1</v>
      </c>
      <c r="P120" t="s">
        <v>36</v>
      </c>
      <c r="Q120">
        <v>1</v>
      </c>
      <c r="R120">
        <v>1</v>
      </c>
      <c r="S120" t="s">
        <v>36</v>
      </c>
      <c r="T120">
        <v>11</v>
      </c>
      <c r="U120">
        <v>11</v>
      </c>
      <c r="V120">
        <v>6</v>
      </c>
      <c r="W120">
        <v>4</v>
      </c>
      <c r="X120">
        <v>11</v>
      </c>
      <c r="Y120">
        <v>10</v>
      </c>
      <c r="Z120">
        <v>4</v>
      </c>
      <c r="AA120">
        <v>3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 t="s">
        <v>31</v>
      </c>
      <c r="B121" s="2">
        <v>45621</v>
      </c>
      <c r="C121" t="s">
        <v>32</v>
      </c>
      <c r="D121" t="s">
        <v>46</v>
      </c>
      <c r="E121" t="s">
        <v>51</v>
      </c>
      <c r="F121">
        <v>1.6</v>
      </c>
      <c r="G121">
        <v>0.9</v>
      </c>
      <c r="H121">
        <v>53</v>
      </c>
      <c r="I121">
        <v>47</v>
      </c>
      <c r="J121">
        <v>576</v>
      </c>
      <c r="K121">
        <v>511</v>
      </c>
      <c r="L121">
        <v>474</v>
      </c>
      <c r="M121">
        <v>414</v>
      </c>
      <c r="N121">
        <v>0</v>
      </c>
      <c r="O121">
        <v>2</v>
      </c>
      <c r="P121" t="s">
        <v>40</v>
      </c>
      <c r="Q121">
        <v>0</v>
      </c>
      <c r="R121">
        <v>1</v>
      </c>
      <c r="S121" t="s">
        <v>40</v>
      </c>
      <c r="T121">
        <v>18</v>
      </c>
      <c r="U121">
        <v>15</v>
      </c>
      <c r="V121">
        <v>2</v>
      </c>
      <c r="W121">
        <v>6</v>
      </c>
      <c r="X121">
        <v>11</v>
      </c>
      <c r="Y121">
        <v>8</v>
      </c>
      <c r="Z121">
        <v>8</v>
      </c>
      <c r="AA121">
        <v>3</v>
      </c>
      <c r="AB121">
        <v>1</v>
      </c>
      <c r="AC121">
        <v>0</v>
      </c>
      <c r="AD121">
        <v>0</v>
      </c>
      <c r="AE121">
        <v>0</v>
      </c>
    </row>
    <row r="122" spans="1:31" x14ac:dyDescent="0.25">
      <c r="A122" t="s">
        <v>31</v>
      </c>
      <c r="B122" s="2">
        <v>45625</v>
      </c>
      <c r="C122" t="s">
        <v>32</v>
      </c>
      <c r="D122" t="s">
        <v>45</v>
      </c>
      <c r="E122" t="s">
        <v>47</v>
      </c>
      <c r="F122">
        <v>1.7</v>
      </c>
      <c r="G122">
        <v>1</v>
      </c>
      <c r="H122">
        <v>53</v>
      </c>
      <c r="I122">
        <v>47</v>
      </c>
      <c r="J122">
        <v>511</v>
      </c>
      <c r="K122">
        <v>459</v>
      </c>
      <c r="L122">
        <v>439</v>
      </c>
      <c r="M122">
        <v>386</v>
      </c>
      <c r="N122">
        <v>1</v>
      </c>
      <c r="O122">
        <v>1</v>
      </c>
      <c r="P122" t="s">
        <v>36</v>
      </c>
      <c r="Q122">
        <v>1</v>
      </c>
      <c r="R122">
        <v>0</v>
      </c>
      <c r="S122" t="s">
        <v>35</v>
      </c>
      <c r="T122">
        <v>22</v>
      </c>
      <c r="U122">
        <v>10</v>
      </c>
      <c r="V122">
        <v>5</v>
      </c>
      <c r="W122">
        <v>2</v>
      </c>
      <c r="X122">
        <v>20</v>
      </c>
      <c r="Y122">
        <v>16</v>
      </c>
      <c r="Z122">
        <v>7</v>
      </c>
      <c r="AA122">
        <v>6</v>
      </c>
      <c r="AB122">
        <v>2</v>
      </c>
      <c r="AC122">
        <v>4</v>
      </c>
      <c r="AD122">
        <v>0</v>
      </c>
      <c r="AE122">
        <v>0</v>
      </c>
    </row>
    <row r="123" spans="1:31" x14ac:dyDescent="0.25">
      <c r="A123" t="s">
        <v>31</v>
      </c>
      <c r="B123" s="2">
        <v>45626</v>
      </c>
      <c r="C123" t="s">
        <v>41</v>
      </c>
      <c r="D123" t="s">
        <v>54</v>
      </c>
      <c r="E123" t="s">
        <v>59</v>
      </c>
      <c r="F123">
        <v>2.4</v>
      </c>
      <c r="G123">
        <v>1.1000000000000001</v>
      </c>
      <c r="H123">
        <v>60</v>
      </c>
      <c r="I123">
        <v>40</v>
      </c>
      <c r="J123">
        <v>627</v>
      </c>
      <c r="K123">
        <v>419</v>
      </c>
      <c r="L123">
        <v>518</v>
      </c>
      <c r="M123">
        <v>310</v>
      </c>
      <c r="N123">
        <v>4</v>
      </c>
      <c r="O123">
        <v>1</v>
      </c>
      <c r="P123" t="s">
        <v>35</v>
      </c>
      <c r="Q123">
        <v>3</v>
      </c>
      <c r="R123">
        <v>1</v>
      </c>
      <c r="S123" t="s">
        <v>35</v>
      </c>
      <c r="T123">
        <v>13</v>
      </c>
      <c r="U123">
        <v>7</v>
      </c>
      <c r="V123">
        <v>6</v>
      </c>
      <c r="W123">
        <v>3</v>
      </c>
      <c r="X123">
        <v>9</v>
      </c>
      <c r="Y123">
        <v>10</v>
      </c>
      <c r="Z123">
        <v>5</v>
      </c>
      <c r="AA123">
        <v>4</v>
      </c>
      <c r="AB123">
        <v>1</v>
      </c>
      <c r="AC123">
        <v>1</v>
      </c>
      <c r="AD123">
        <v>0</v>
      </c>
      <c r="AE123">
        <v>0</v>
      </c>
    </row>
    <row r="124" spans="1:31" x14ac:dyDescent="0.25">
      <c r="A124" t="s">
        <v>31</v>
      </c>
      <c r="B124" s="2">
        <v>45626</v>
      </c>
      <c r="C124" t="s">
        <v>41</v>
      </c>
      <c r="D124" t="s">
        <v>55</v>
      </c>
      <c r="E124" t="s">
        <v>46</v>
      </c>
      <c r="F124">
        <v>1.7</v>
      </c>
      <c r="G124">
        <v>0</v>
      </c>
      <c r="H124">
        <v>49</v>
      </c>
      <c r="I124">
        <v>51</v>
      </c>
      <c r="J124">
        <v>450</v>
      </c>
      <c r="K124">
        <v>471</v>
      </c>
      <c r="L124">
        <v>351</v>
      </c>
      <c r="M124">
        <v>367</v>
      </c>
      <c r="N124">
        <v>1</v>
      </c>
      <c r="O124">
        <v>1</v>
      </c>
      <c r="P124" t="s">
        <v>36</v>
      </c>
      <c r="Q124">
        <v>0</v>
      </c>
      <c r="R124">
        <v>0</v>
      </c>
      <c r="S124" t="s">
        <v>36</v>
      </c>
      <c r="T124">
        <v>16</v>
      </c>
      <c r="U124">
        <v>1</v>
      </c>
      <c r="V124">
        <v>4</v>
      </c>
      <c r="W124">
        <v>0</v>
      </c>
      <c r="X124">
        <v>12</v>
      </c>
      <c r="Y124">
        <v>11</v>
      </c>
      <c r="Z124">
        <v>8</v>
      </c>
      <c r="AA124">
        <v>9</v>
      </c>
      <c r="AB124">
        <v>3</v>
      </c>
      <c r="AC124">
        <v>3</v>
      </c>
      <c r="AD124">
        <v>0</v>
      </c>
      <c r="AE124">
        <v>0</v>
      </c>
    </row>
    <row r="125" spans="1:31" x14ac:dyDescent="0.25">
      <c r="A125" t="s">
        <v>31</v>
      </c>
      <c r="B125" s="2">
        <v>45626</v>
      </c>
      <c r="C125" t="s">
        <v>41</v>
      </c>
      <c r="D125" t="s">
        <v>48</v>
      </c>
      <c r="E125" t="s">
        <v>38</v>
      </c>
      <c r="F125">
        <v>1.6</v>
      </c>
      <c r="G125">
        <v>0.6</v>
      </c>
      <c r="H125">
        <v>45</v>
      </c>
      <c r="I125">
        <v>55</v>
      </c>
      <c r="J125">
        <v>354</v>
      </c>
      <c r="K125">
        <v>438</v>
      </c>
      <c r="L125">
        <v>258</v>
      </c>
      <c r="M125">
        <v>333</v>
      </c>
      <c r="N125">
        <v>1</v>
      </c>
      <c r="O125">
        <v>0</v>
      </c>
      <c r="P125" t="s">
        <v>35</v>
      </c>
      <c r="Q125">
        <v>0</v>
      </c>
      <c r="R125">
        <v>0</v>
      </c>
      <c r="S125" t="s">
        <v>36</v>
      </c>
      <c r="T125">
        <v>12</v>
      </c>
      <c r="U125">
        <v>7</v>
      </c>
      <c r="V125">
        <v>5</v>
      </c>
      <c r="W125">
        <v>3</v>
      </c>
      <c r="X125">
        <v>5</v>
      </c>
      <c r="Y125">
        <v>16</v>
      </c>
      <c r="Z125">
        <v>8</v>
      </c>
      <c r="AA125">
        <v>7</v>
      </c>
      <c r="AB125">
        <v>1</v>
      </c>
      <c r="AC125">
        <v>3</v>
      </c>
      <c r="AD125">
        <v>0</v>
      </c>
      <c r="AE125">
        <v>0</v>
      </c>
    </row>
    <row r="126" spans="1:31" x14ac:dyDescent="0.25">
      <c r="A126" t="s">
        <v>31</v>
      </c>
      <c r="B126" s="2">
        <v>45626</v>
      </c>
      <c r="C126" t="s">
        <v>41</v>
      </c>
      <c r="D126" t="s">
        <v>43</v>
      </c>
      <c r="E126" t="s">
        <v>49</v>
      </c>
      <c r="F126">
        <v>0.5</v>
      </c>
      <c r="G126">
        <v>3.3</v>
      </c>
      <c r="H126">
        <v>60</v>
      </c>
      <c r="I126">
        <v>40</v>
      </c>
      <c r="J126">
        <v>571</v>
      </c>
      <c r="K126">
        <v>375</v>
      </c>
      <c r="L126">
        <v>472</v>
      </c>
      <c r="M126">
        <v>279</v>
      </c>
      <c r="N126">
        <v>2</v>
      </c>
      <c r="O126">
        <v>4</v>
      </c>
      <c r="P126" t="s">
        <v>40</v>
      </c>
      <c r="Q126">
        <v>1</v>
      </c>
      <c r="R126">
        <v>3</v>
      </c>
      <c r="S126" t="s">
        <v>40</v>
      </c>
      <c r="T126">
        <v>10</v>
      </c>
      <c r="U126">
        <v>12</v>
      </c>
      <c r="V126">
        <v>3</v>
      </c>
      <c r="W126">
        <v>8</v>
      </c>
      <c r="X126">
        <v>13</v>
      </c>
      <c r="Y126">
        <v>11</v>
      </c>
      <c r="Z126">
        <v>3</v>
      </c>
      <c r="AA126">
        <v>4</v>
      </c>
      <c r="AB126">
        <v>4</v>
      </c>
      <c r="AC126">
        <v>1</v>
      </c>
      <c r="AD126">
        <v>0</v>
      </c>
      <c r="AE126">
        <v>0</v>
      </c>
    </row>
    <row r="127" spans="1:31" x14ac:dyDescent="0.25">
      <c r="A127" t="s">
        <v>31</v>
      </c>
      <c r="B127" s="2">
        <v>45626</v>
      </c>
      <c r="C127" t="s">
        <v>50</v>
      </c>
      <c r="D127" t="s">
        <v>51</v>
      </c>
      <c r="E127" t="s">
        <v>42</v>
      </c>
      <c r="F127">
        <v>1.5</v>
      </c>
      <c r="G127">
        <v>3.5</v>
      </c>
      <c r="H127">
        <v>40</v>
      </c>
      <c r="I127">
        <v>60</v>
      </c>
      <c r="J127">
        <v>348</v>
      </c>
      <c r="K127">
        <v>526</v>
      </c>
      <c r="L127">
        <v>268</v>
      </c>
      <c r="M127">
        <v>425</v>
      </c>
      <c r="N127">
        <v>2</v>
      </c>
      <c r="O127">
        <v>5</v>
      </c>
      <c r="P127" t="s">
        <v>40</v>
      </c>
      <c r="Q127">
        <v>2</v>
      </c>
      <c r="R127">
        <v>5</v>
      </c>
      <c r="S127" t="s">
        <v>40</v>
      </c>
      <c r="T127">
        <v>12</v>
      </c>
      <c r="U127">
        <v>16</v>
      </c>
      <c r="V127">
        <v>5</v>
      </c>
      <c r="W127">
        <v>7</v>
      </c>
      <c r="X127">
        <v>10</v>
      </c>
      <c r="Y127">
        <v>13</v>
      </c>
      <c r="Z127">
        <v>2</v>
      </c>
      <c r="AA127">
        <v>10</v>
      </c>
      <c r="AB127">
        <v>4</v>
      </c>
      <c r="AC127">
        <v>1</v>
      </c>
      <c r="AD127">
        <v>0</v>
      </c>
      <c r="AE127">
        <v>0</v>
      </c>
    </row>
    <row r="128" spans="1:31" x14ac:dyDescent="0.25">
      <c r="A128" t="s">
        <v>31</v>
      </c>
      <c r="B128" s="2">
        <v>45627</v>
      </c>
      <c r="C128" t="s">
        <v>61</v>
      </c>
      <c r="D128" t="s">
        <v>57</v>
      </c>
      <c r="E128" t="s">
        <v>52</v>
      </c>
      <c r="F128">
        <v>1.6</v>
      </c>
      <c r="G128">
        <v>1.2</v>
      </c>
      <c r="H128">
        <v>64</v>
      </c>
      <c r="I128">
        <v>36</v>
      </c>
      <c r="J128">
        <v>656</v>
      </c>
      <c r="K128">
        <v>370</v>
      </c>
      <c r="L128">
        <v>579</v>
      </c>
      <c r="M128">
        <v>307</v>
      </c>
      <c r="N128">
        <v>3</v>
      </c>
      <c r="O128">
        <v>0</v>
      </c>
      <c r="P128" t="s">
        <v>35</v>
      </c>
      <c r="Q128">
        <v>2</v>
      </c>
      <c r="R128">
        <v>0</v>
      </c>
      <c r="S128" t="s">
        <v>35</v>
      </c>
      <c r="T128">
        <v>17</v>
      </c>
      <c r="U128">
        <v>10</v>
      </c>
      <c r="V128">
        <v>8</v>
      </c>
      <c r="W128">
        <v>4</v>
      </c>
      <c r="X128">
        <v>21</v>
      </c>
      <c r="Y128">
        <v>6</v>
      </c>
      <c r="Z128">
        <v>3</v>
      </c>
      <c r="AA128">
        <v>4</v>
      </c>
      <c r="AB128">
        <v>2</v>
      </c>
      <c r="AC128">
        <v>2</v>
      </c>
      <c r="AD128">
        <v>0</v>
      </c>
      <c r="AE128">
        <v>0</v>
      </c>
    </row>
    <row r="129" spans="1:31" x14ac:dyDescent="0.25">
      <c r="A129" t="s">
        <v>31</v>
      </c>
      <c r="B129" s="2">
        <v>45627</v>
      </c>
      <c r="C129" t="s">
        <v>61</v>
      </c>
      <c r="D129" t="s">
        <v>33</v>
      </c>
      <c r="E129" t="s">
        <v>44</v>
      </c>
      <c r="F129">
        <v>1.1000000000000001</v>
      </c>
      <c r="G129">
        <v>0.6</v>
      </c>
      <c r="H129">
        <v>60</v>
      </c>
      <c r="I129">
        <v>40</v>
      </c>
      <c r="J129">
        <v>653</v>
      </c>
      <c r="K129">
        <v>442</v>
      </c>
      <c r="L129">
        <v>580</v>
      </c>
      <c r="M129">
        <v>372</v>
      </c>
      <c r="N129">
        <v>4</v>
      </c>
      <c r="O129">
        <v>0</v>
      </c>
      <c r="P129" t="s">
        <v>35</v>
      </c>
      <c r="Q129">
        <v>2</v>
      </c>
      <c r="R129">
        <v>0</v>
      </c>
      <c r="S129" t="s">
        <v>35</v>
      </c>
      <c r="T129">
        <v>11</v>
      </c>
      <c r="U129">
        <v>8</v>
      </c>
      <c r="V129">
        <v>5</v>
      </c>
      <c r="W129">
        <v>2</v>
      </c>
      <c r="X129">
        <v>12</v>
      </c>
      <c r="Y129">
        <v>12</v>
      </c>
      <c r="Z129">
        <v>2</v>
      </c>
      <c r="AA129">
        <v>2</v>
      </c>
      <c r="AB129">
        <v>2</v>
      </c>
      <c r="AC129">
        <v>3</v>
      </c>
      <c r="AD129">
        <v>0</v>
      </c>
      <c r="AE129">
        <v>0</v>
      </c>
    </row>
    <row r="130" spans="1:31" x14ac:dyDescent="0.25">
      <c r="A130" t="s">
        <v>31</v>
      </c>
      <c r="B130" s="2">
        <v>45627</v>
      </c>
      <c r="C130" t="s">
        <v>61</v>
      </c>
      <c r="D130" t="s">
        <v>60</v>
      </c>
      <c r="E130" t="s">
        <v>34</v>
      </c>
      <c r="F130">
        <v>0.8</v>
      </c>
      <c r="G130">
        <v>1.5</v>
      </c>
      <c r="H130">
        <v>51</v>
      </c>
      <c r="I130">
        <v>49</v>
      </c>
      <c r="J130">
        <v>532</v>
      </c>
      <c r="K130">
        <v>502</v>
      </c>
      <c r="L130">
        <v>449</v>
      </c>
      <c r="M130">
        <v>409</v>
      </c>
      <c r="N130">
        <v>1</v>
      </c>
      <c r="O130">
        <v>1</v>
      </c>
      <c r="P130" t="s">
        <v>36</v>
      </c>
      <c r="Q130">
        <v>0</v>
      </c>
      <c r="R130">
        <v>0</v>
      </c>
      <c r="S130" t="s">
        <v>36</v>
      </c>
      <c r="T130">
        <v>8</v>
      </c>
      <c r="U130">
        <v>14</v>
      </c>
      <c r="V130">
        <v>3</v>
      </c>
      <c r="W130">
        <v>6</v>
      </c>
      <c r="X130">
        <v>4</v>
      </c>
      <c r="Y130">
        <v>14</v>
      </c>
      <c r="Z130">
        <v>7</v>
      </c>
      <c r="AA130">
        <v>11</v>
      </c>
      <c r="AB130">
        <v>0</v>
      </c>
      <c r="AC130">
        <v>1</v>
      </c>
      <c r="AD130">
        <v>0</v>
      </c>
      <c r="AE130">
        <v>1</v>
      </c>
    </row>
    <row r="131" spans="1:31" x14ac:dyDescent="0.25">
      <c r="A131" t="s">
        <v>31</v>
      </c>
      <c r="B131" s="2">
        <v>45627</v>
      </c>
      <c r="C131" t="s">
        <v>62</v>
      </c>
      <c r="D131" t="s">
        <v>39</v>
      </c>
      <c r="E131" t="s">
        <v>58</v>
      </c>
      <c r="F131">
        <v>3.4</v>
      </c>
      <c r="G131">
        <v>0.8</v>
      </c>
      <c r="H131">
        <v>44</v>
      </c>
      <c r="I131">
        <v>56</v>
      </c>
      <c r="J131">
        <v>459</v>
      </c>
      <c r="K131">
        <v>573</v>
      </c>
      <c r="L131">
        <v>376</v>
      </c>
      <c r="M131">
        <v>498</v>
      </c>
      <c r="N131">
        <v>2</v>
      </c>
      <c r="O131">
        <v>0</v>
      </c>
      <c r="P131" t="s">
        <v>35</v>
      </c>
      <c r="Q131">
        <v>1</v>
      </c>
      <c r="R131">
        <v>0</v>
      </c>
      <c r="S131" t="s">
        <v>35</v>
      </c>
      <c r="T131">
        <v>18</v>
      </c>
      <c r="U131">
        <v>8</v>
      </c>
      <c r="V131">
        <v>7</v>
      </c>
      <c r="W131">
        <v>2</v>
      </c>
      <c r="X131">
        <v>9</v>
      </c>
      <c r="Y131">
        <v>8</v>
      </c>
      <c r="Z131">
        <v>7</v>
      </c>
      <c r="AA131">
        <v>4</v>
      </c>
      <c r="AB131">
        <v>1</v>
      </c>
      <c r="AC131">
        <v>3</v>
      </c>
      <c r="AD131">
        <v>0</v>
      </c>
      <c r="AE131">
        <v>0</v>
      </c>
    </row>
    <row r="132" spans="1:31" x14ac:dyDescent="0.25">
      <c r="A132" t="s">
        <v>31</v>
      </c>
      <c r="B132" s="2">
        <v>45629</v>
      </c>
      <c r="C132" t="s">
        <v>63</v>
      </c>
      <c r="D132" t="s">
        <v>38</v>
      </c>
      <c r="E132" t="s">
        <v>55</v>
      </c>
      <c r="F132">
        <v>0.5</v>
      </c>
      <c r="G132">
        <v>1.6</v>
      </c>
      <c r="H132">
        <v>54</v>
      </c>
      <c r="I132">
        <v>46</v>
      </c>
      <c r="J132">
        <v>563</v>
      </c>
      <c r="K132">
        <v>474</v>
      </c>
      <c r="L132">
        <v>456</v>
      </c>
      <c r="M132">
        <v>371</v>
      </c>
      <c r="N132">
        <v>0</v>
      </c>
      <c r="O132">
        <v>1</v>
      </c>
      <c r="P132" t="s">
        <v>40</v>
      </c>
      <c r="Q132">
        <v>0</v>
      </c>
      <c r="R132">
        <v>0</v>
      </c>
      <c r="S132" t="s">
        <v>36</v>
      </c>
      <c r="T132">
        <v>9</v>
      </c>
      <c r="U132">
        <v>13</v>
      </c>
      <c r="V132">
        <v>2</v>
      </c>
      <c r="W132">
        <v>3</v>
      </c>
      <c r="X132">
        <v>14</v>
      </c>
      <c r="Y132">
        <v>13</v>
      </c>
      <c r="Z132">
        <v>4</v>
      </c>
      <c r="AA132">
        <v>7</v>
      </c>
      <c r="AB132">
        <v>2</v>
      </c>
      <c r="AC132">
        <v>4</v>
      </c>
      <c r="AD132">
        <v>0</v>
      </c>
      <c r="AE132">
        <v>0</v>
      </c>
    </row>
    <row r="133" spans="1:31" x14ac:dyDescent="0.25">
      <c r="A133" t="s">
        <v>31</v>
      </c>
      <c r="B133" s="2">
        <v>45629</v>
      </c>
      <c r="C133" t="s">
        <v>64</v>
      </c>
      <c r="D133" t="s">
        <v>59</v>
      </c>
      <c r="E133" t="s">
        <v>51</v>
      </c>
      <c r="F133">
        <v>1.7</v>
      </c>
      <c r="G133">
        <v>3</v>
      </c>
      <c r="H133">
        <v>39</v>
      </c>
      <c r="I133">
        <v>61</v>
      </c>
      <c r="J133">
        <v>409</v>
      </c>
      <c r="K133">
        <v>649</v>
      </c>
      <c r="L133">
        <v>304</v>
      </c>
      <c r="M133">
        <v>544</v>
      </c>
      <c r="N133">
        <v>3</v>
      </c>
      <c r="O133">
        <v>1</v>
      </c>
      <c r="P133" t="s">
        <v>35</v>
      </c>
      <c r="Q133">
        <v>1</v>
      </c>
      <c r="R133">
        <v>0</v>
      </c>
      <c r="S133" t="s">
        <v>35</v>
      </c>
      <c r="T133">
        <v>8</v>
      </c>
      <c r="U133">
        <v>31</v>
      </c>
      <c r="V133">
        <v>6</v>
      </c>
      <c r="W133">
        <v>10</v>
      </c>
      <c r="X133">
        <v>9</v>
      </c>
      <c r="Y133">
        <v>7</v>
      </c>
      <c r="Z133">
        <v>3</v>
      </c>
      <c r="AA133">
        <v>9</v>
      </c>
      <c r="AB133">
        <v>2</v>
      </c>
      <c r="AC133">
        <v>2</v>
      </c>
      <c r="AD133">
        <v>0</v>
      </c>
      <c r="AE133">
        <v>0</v>
      </c>
    </row>
    <row r="134" spans="1:31" x14ac:dyDescent="0.25">
      <c r="A134" t="s">
        <v>31</v>
      </c>
      <c r="B134" s="2">
        <v>45630</v>
      </c>
      <c r="C134" t="s">
        <v>63</v>
      </c>
      <c r="D134" t="s">
        <v>44</v>
      </c>
      <c r="E134" t="s">
        <v>43</v>
      </c>
      <c r="F134">
        <v>1</v>
      </c>
      <c r="G134">
        <v>0.8</v>
      </c>
      <c r="H134">
        <v>44</v>
      </c>
      <c r="I134">
        <v>56</v>
      </c>
      <c r="J134">
        <v>407</v>
      </c>
      <c r="K134">
        <v>521</v>
      </c>
      <c r="L134">
        <v>317</v>
      </c>
      <c r="M134">
        <v>415</v>
      </c>
      <c r="N134">
        <v>4</v>
      </c>
      <c r="O134">
        <v>0</v>
      </c>
      <c r="P134" t="s">
        <v>35</v>
      </c>
      <c r="Q134">
        <v>2</v>
      </c>
      <c r="R134">
        <v>0</v>
      </c>
      <c r="S134" t="s">
        <v>35</v>
      </c>
      <c r="T134">
        <v>13</v>
      </c>
      <c r="U134">
        <v>6</v>
      </c>
      <c r="V134">
        <v>4</v>
      </c>
      <c r="W134">
        <v>2</v>
      </c>
      <c r="X134">
        <v>10</v>
      </c>
      <c r="Y134">
        <v>8</v>
      </c>
      <c r="Z134">
        <v>3</v>
      </c>
      <c r="AA134">
        <v>4</v>
      </c>
      <c r="AB134">
        <v>2</v>
      </c>
      <c r="AC134">
        <v>0</v>
      </c>
      <c r="AD134">
        <v>0</v>
      </c>
      <c r="AE134">
        <v>0</v>
      </c>
    </row>
    <row r="135" spans="1:31" x14ac:dyDescent="0.25">
      <c r="A135" t="s">
        <v>31</v>
      </c>
      <c r="B135" s="2">
        <v>45630</v>
      </c>
      <c r="C135" t="s">
        <v>63</v>
      </c>
      <c r="D135" t="s">
        <v>58</v>
      </c>
      <c r="E135" t="s">
        <v>48</v>
      </c>
      <c r="F135">
        <v>2.4</v>
      </c>
      <c r="G135">
        <v>1</v>
      </c>
      <c r="H135">
        <v>66</v>
      </c>
      <c r="I135">
        <v>34</v>
      </c>
      <c r="J135">
        <v>620</v>
      </c>
      <c r="K135">
        <v>318</v>
      </c>
      <c r="L135">
        <v>545</v>
      </c>
      <c r="M135">
        <v>245</v>
      </c>
      <c r="N135">
        <v>3</v>
      </c>
      <c r="O135">
        <v>0</v>
      </c>
      <c r="P135" t="s">
        <v>35</v>
      </c>
      <c r="Q135">
        <v>2</v>
      </c>
      <c r="R135">
        <v>0</v>
      </c>
      <c r="S135" t="s">
        <v>35</v>
      </c>
      <c r="T135">
        <v>17</v>
      </c>
      <c r="U135">
        <v>12</v>
      </c>
      <c r="V135">
        <v>7</v>
      </c>
      <c r="W135">
        <v>3</v>
      </c>
      <c r="X135">
        <v>7</v>
      </c>
      <c r="Y135">
        <v>15</v>
      </c>
      <c r="Z135">
        <v>8</v>
      </c>
      <c r="AA135">
        <v>2</v>
      </c>
      <c r="AB135">
        <v>2</v>
      </c>
      <c r="AC135">
        <v>4</v>
      </c>
      <c r="AD135">
        <v>0</v>
      </c>
      <c r="AE135">
        <v>0</v>
      </c>
    </row>
    <row r="136" spans="1:31" x14ac:dyDescent="0.25">
      <c r="A136" t="s">
        <v>31</v>
      </c>
      <c r="B136" s="2">
        <v>45630</v>
      </c>
      <c r="C136" t="s">
        <v>63</v>
      </c>
      <c r="D136" t="s">
        <v>46</v>
      </c>
      <c r="E136" t="s">
        <v>39</v>
      </c>
      <c r="F136">
        <v>2.1</v>
      </c>
      <c r="G136">
        <v>1.9</v>
      </c>
      <c r="H136">
        <v>42</v>
      </c>
      <c r="I136">
        <v>58</v>
      </c>
      <c r="J136">
        <v>402</v>
      </c>
      <c r="K136">
        <v>553</v>
      </c>
      <c r="L136">
        <v>307</v>
      </c>
      <c r="M136">
        <v>473</v>
      </c>
      <c r="N136">
        <v>3</v>
      </c>
      <c r="O136">
        <v>3</v>
      </c>
      <c r="P136" t="s">
        <v>36</v>
      </c>
      <c r="Q136">
        <v>1</v>
      </c>
      <c r="R136">
        <v>0</v>
      </c>
      <c r="S136" t="s">
        <v>35</v>
      </c>
      <c r="T136">
        <v>17</v>
      </c>
      <c r="U136">
        <v>16</v>
      </c>
      <c r="V136">
        <v>6</v>
      </c>
      <c r="W136">
        <v>5</v>
      </c>
      <c r="X136">
        <v>9</v>
      </c>
      <c r="Y136">
        <v>17</v>
      </c>
      <c r="Z136">
        <v>5</v>
      </c>
      <c r="AA136">
        <v>6</v>
      </c>
      <c r="AB136">
        <v>2</v>
      </c>
      <c r="AC136">
        <v>5</v>
      </c>
      <c r="AD136">
        <v>0</v>
      </c>
      <c r="AE136">
        <v>0</v>
      </c>
    </row>
    <row r="137" spans="1:31" x14ac:dyDescent="0.25">
      <c r="A137" t="s">
        <v>31</v>
      </c>
      <c r="B137" s="2">
        <v>45630</v>
      </c>
      <c r="C137" t="s">
        <v>63</v>
      </c>
      <c r="D137" t="s">
        <v>47</v>
      </c>
      <c r="E137" t="s">
        <v>57</v>
      </c>
      <c r="F137">
        <v>1.6</v>
      </c>
      <c r="G137">
        <v>5.2</v>
      </c>
      <c r="H137">
        <v>45</v>
      </c>
      <c r="I137">
        <v>55</v>
      </c>
      <c r="J137">
        <v>467</v>
      </c>
      <c r="K137">
        <v>560</v>
      </c>
      <c r="L137">
        <v>402</v>
      </c>
      <c r="M137">
        <v>508</v>
      </c>
      <c r="N137">
        <v>1</v>
      </c>
      <c r="O137">
        <v>5</v>
      </c>
      <c r="P137" t="s">
        <v>40</v>
      </c>
      <c r="Q137">
        <v>1</v>
      </c>
      <c r="R137">
        <v>3</v>
      </c>
      <c r="S137" t="s">
        <v>40</v>
      </c>
      <c r="T137">
        <v>6</v>
      </c>
      <c r="U137">
        <v>26</v>
      </c>
      <c r="V137">
        <v>4</v>
      </c>
      <c r="W137">
        <v>13</v>
      </c>
      <c r="X137">
        <v>7</v>
      </c>
      <c r="Y137">
        <v>14</v>
      </c>
      <c r="Z137">
        <v>5</v>
      </c>
      <c r="AA137">
        <v>7</v>
      </c>
      <c r="AB137">
        <v>1</v>
      </c>
      <c r="AC137">
        <v>0</v>
      </c>
      <c r="AD137">
        <v>1</v>
      </c>
      <c r="AE137">
        <v>0</v>
      </c>
    </row>
    <row r="138" spans="1:31" x14ac:dyDescent="0.25">
      <c r="A138" t="s">
        <v>31</v>
      </c>
      <c r="B138" s="2">
        <v>45630</v>
      </c>
      <c r="C138" t="s">
        <v>64</v>
      </c>
      <c r="D138" t="s">
        <v>42</v>
      </c>
      <c r="E138" t="s">
        <v>33</v>
      </c>
      <c r="F138">
        <v>2.1</v>
      </c>
      <c r="G138">
        <v>0.2</v>
      </c>
      <c r="H138">
        <v>51</v>
      </c>
      <c r="I138">
        <v>49</v>
      </c>
      <c r="J138">
        <v>508</v>
      </c>
      <c r="K138">
        <v>497</v>
      </c>
      <c r="L138">
        <v>425</v>
      </c>
      <c r="M138">
        <v>425</v>
      </c>
      <c r="N138">
        <v>2</v>
      </c>
      <c r="O138">
        <v>0</v>
      </c>
      <c r="P138" t="s">
        <v>35</v>
      </c>
      <c r="Q138">
        <v>0</v>
      </c>
      <c r="R138">
        <v>0</v>
      </c>
      <c r="S138" t="s">
        <v>36</v>
      </c>
      <c r="T138">
        <v>14</v>
      </c>
      <c r="U138">
        <v>5</v>
      </c>
      <c r="V138">
        <v>6</v>
      </c>
      <c r="W138">
        <v>2</v>
      </c>
      <c r="X138">
        <v>12</v>
      </c>
      <c r="Y138">
        <v>8</v>
      </c>
      <c r="Z138">
        <v>13</v>
      </c>
      <c r="AA138">
        <v>0</v>
      </c>
      <c r="AB138">
        <v>1</v>
      </c>
      <c r="AC138">
        <v>3</v>
      </c>
      <c r="AD138">
        <v>0</v>
      </c>
      <c r="AE138">
        <v>0</v>
      </c>
    </row>
    <row r="139" spans="1:31" x14ac:dyDescent="0.25">
      <c r="A139" t="s">
        <v>31</v>
      </c>
      <c r="B139" s="2">
        <v>45630</v>
      </c>
      <c r="C139" t="s">
        <v>64</v>
      </c>
      <c r="D139" t="s">
        <v>52</v>
      </c>
      <c r="E139" t="s">
        <v>54</v>
      </c>
      <c r="F139">
        <v>2.4</v>
      </c>
      <c r="G139">
        <v>0.9</v>
      </c>
      <c r="H139">
        <v>49</v>
      </c>
      <c r="I139">
        <v>51</v>
      </c>
      <c r="J139">
        <v>427</v>
      </c>
      <c r="K139">
        <v>443</v>
      </c>
      <c r="L139">
        <v>350</v>
      </c>
      <c r="M139">
        <v>360</v>
      </c>
      <c r="N139">
        <v>3</v>
      </c>
      <c r="O139">
        <v>1</v>
      </c>
      <c r="P139" t="s">
        <v>35</v>
      </c>
      <c r="Q139">
        <v>3</v>
      </c>
      <c r="R139">
        <v>0</v>
      </c>
      <c r="S139" t="s">
        <v>35</v>
      </c>
      <c r="T139">
        <v>20</v>
      </c>
      <c r="U139">
        <v>9</v>
      </c>
      <c r="V139">
        <v>10</v>
      </c>
      <c r="W139">
        <v>1</v>
      </c>
      <c r="X139">
        <v>11</v>
      </c>
      <c r="Y139">
        <v>15</v>
      </c>
      <c r="Z139">
        <v>10</v>
      </c>
      <c r="AA139">
        <v>5</v>
      </c>
      <c r="AB139">
        <v>2</v>
      </c>
      <c r="AC139">
        <v>2</v>
      </c>
      <c r="AD139">
        <v>0</v>
      </c>
      <c r="AE139">
        <v>0</v>
      </c>
    </row>
    <row r="140" spans="1:31" x14ac:dyDescent="0.25">
      <c r="A140" t="s">
        <v>31</v>
      </c>
      <c r="B140" s="2">
        <v>45631</v>
      </c>
      <c r="C140" t="s">
        <v>63</v>
      </c>
      <c r="D140" t="s">
        <v>34</v>
      </c>
      <c r="E140" t="s">
        <v>45</v>
      </c>
      <c r="F140">
        <v>1.1000000000000001</v>
      </c>
      <c r="G140">
        <v>1.4</v>
      </c>
      <c r="H140">
        <v>43</v>
      </c>
      <c r="I140">
        <v>57</v>
      </c>
      <c r="J140">
        <v>419</v>
      </c>
      <c r="K140">
        <v>548</v>
      </c>
      <c r="L140">
        <v>330</v>
      </c>
      <c r="M140">
        <v>468</v>
      </c>
      <c r="N140">
        <v>3</v>
      </c>
      <c r="O140">
        <v>1</v>
      </c>
      <c r="P140" t="s">
        <v>35</v>
      </c>
      <c r="Q140">
        <v>1</v>
      </c>
      <c r="R140">
        <v>0</v>
      </c>
      <c r="S140" t="s">
        <v>35</v>
      </c>
      <c r="T140">
        <v>6</v>
      </c>
      <c r="U140">
        <v>13</v>
      </c>
      <c r="V140">
        <v>2</v>
      </c>
      <c r="W140">
        <v>3</v>
      </c>
      <c r="X140">
        <v>7</v>
      </c>
      <c r="Y140">
        <v>8</v>
      </c>
      <c r="Z140">
        <v>5</v>
      </c>
      <c r="AA140">
        <v>6</v>
      </c>
      <c r="AB140">
        <v>2</v>
      </c>
      <c r="AC140">
        <v>2</v>
      </c>
      <c r="AD140">
        <v>0</v>
      </c>
      <c r="AE140">
        <v>0</v>
      </c>
    </row>
    <row r="141" spans="1:31" x14ac:dyDescent="0.25">
      <c r="A141" t="s">
        <v>31</v>
      </c>
      <c r="B141" s="2">
        <v>45631</v>
      </c>
      <c r="C141" t="s">
        <v>64</v>
      </c>
      <c r="D141" t="s">
        <v>49</v>
      </c>
      <c r="E141" t="s">
        <v>60</v>
      </c>
      <c r="F141">
        <v>3.5</v>
      </c>
      <c r="G141">
        <v>0.9</v>
      </c>
      <c r="H141">
        <v>35</v>
      </c>
      <c r="I141">
        <v>65</v>
      </c>
      <c r="J141">
        <v>290</v>
      </c>
      <c r="K141">
        <v>538</v>
      </c>
      <c r="L141">
        <v>194</v>
      </c>
      <c r="M141">
        <v>428</v>
      </c>
      <c r="N141">
        <v>1</v>
      </c>
      <c r="O141">
        <v>0</v>
      </c>
      <c r="P141" t="s">
        <v>35</v>
      </c>
      <c r="Q141">
        <v>1</v>
      </c>
      <c r="R141">
        <v>0</v>
      </c>
      <c r="S141" t="s">
        <v>35</v>
      </c>
      <c r="T141">
        <v>21</v>
      </c>
      <c r="U141">
        <v>12</v>
      </c>
      <c r="V141">
        <v>8</v>
      </c>
      <c r="W141">
        <v>4</v>
      </c>
      <c r="X141">
        <v>15</v>
      </c>
      <c r="Y141">
        <v>8</v>
      </c>
      <c r="Z141">
        <v>5</v>
      </c>
      <c r="AA141">
        <v>9</v>
      </c>
      <c r="AB141">
        <v>2</v>
      </c>
      <c r="AC141">
        <v>2</v>
      </c>
      <c r="AD141">
        <v>0</v>
      </c>
      <c r="AE141">
        <v>0</v>
      </c>
    </row>
    <row r="142" spans="1:31" x14ac:dyDescent="0.25">
      <c r="A142" t="s">
        <v>31</v>
      </c>
      <c r="B142" s="2">
        <v>45633</v>
      </c>
      <c r="C142" t="s">
        <v>41</v>
      </c>
      <c r="D142" t="s">
        <v>52</v>
      </c>
      <c r="E142" t="s">
        <v>47</v>
      </c>
      <c r="F142">
        <v>2.2999999999999998</v>
      </c>
      <c r="G142">
        <v>0.3</v>
      </c>
      <c r="H142">
        <v>47</v>
      </c>
      <c r="I142">
        <v>53</v>
      </c>
      <c r="J142">
        <v>462</v>
      </c>
      <c r="K142">
        <v>524</v>
      </c>
      <c r="L142">
        <v>383</v>
      </c>
      <c r="M142">
        <v>456</v>
      </c>
      <c r="N142">
        <v>1</v>
      </c>
      <c r="O142">
        <v>0</v>
      </c>
      <c r="P142" t="s">
        <v>35</v>
      </c>
      <c r="Q142">
        <v>1</v>
      </c>
      <c r="R142">
        <v>0</v>
      </c>
      <c r="S142" t="s">
        <v>35</v>
      </c>
      <c r="T142">
        <v>18</v>
      </c>
      <c r="U142">
        <v>4</v>
      </c>
      <c r="V142">
        <v>5</v>
      </c>
      <c r="W142">
        <v>0</v>
      </c>
      <c r="X142">
        <v>18</v>
      </c>
      <c r="Y142">
        <v>15</v>
      </c>
      <c r="Z142">
        <v>14</v>
      </c>
      <c r="AA142">
        <v>1</v>
      </c>
      <c r="AB142">
        <v>1</v>
      </c>
      <c r="AC142">
        <v>3</v>
      </c>
      <c r="AD142">
        <v>0</v>
      </c>
      <c r="AE142">
        <v>0</v>
      </c>
    </row>
    <row r="143" spans="1:31" x14ac:dyDescent="0.25">
      <c r="A143" t="s">
        <v>31</v>
      </c>
      <c r="B143" s="2">
        <v>45633</v>
      </c>
      <c r="C143" t="s">
        <v>41</v>
      </c>
      <c r="D143" t="s">
        <v>54</v>
      </c>
      <c r="E143" t="s">
        <v>46</v>
      </c>
      <c r="F143">
        <v>1.2</v>
      </c>
      <c r="G143">
        <v>1.5</v>
      </c>
      <c r="H143">
        <v>43</v>
      </c>
      <c r="I143">
        <v>57</v>
      </c>
      <c r="J143">
        <v>427</v>
      </c>
      <c r="K143">
        <v>555</v>
      </c>
      <c r="L143">
        <v>331</v>
      </c>
      <c r="M143">
        <v>462</v>
      </c>
      <c r="N143">
        <v>4</v>
      </c>
      <c r="O143">
        <v>2</v>
      </c>
      <c r="P143" t="s">
        <v>35</v>
      </c>
      <c r="Q143">
        <v>2</v>
      </c>
      <c r="R143">
        <v>2</v>
      </c>
      <c r="S143" t="s">
        <v>36</v>
      </c>
      <c r="T143">
        <v>11</v>
      </c>
      <c r="U143">
        <v>16</v>
      </c>
      <c r="V143">
        <v>8</v>
      </c>
      <c r="W143">
        <v>3</v>
      </c>
      <c r="X143">
        <v>10</v>
      </c>
      <c r="Y143">
        <v>7</v>
      </c>
      <c r="Z143">
        <v>3</v>
      </c>
      <c r="AA143">
        <v>4</v>
      </c>
      <c r="AB143">
        <v>3</v>
      </c>
      <c r="AC143">
        <v>0</v>
      </c>
      <c r="AD143">
        <v>0</v>
      </c>
      <c r="AE143">
        <v>0</v>
      </c>
    </row>
    <row r="144" spans="1:31" x14ac:dyDescent="0.25">
      <c r="A144" t="s">
        <v>31</v>
      </c>
      <c r="B144" s="2">
        <v>45633</v>
      </c>
      <c r="C144" t="s">
        <v>41</v>
      </c>
      <c r="D144" t="s">
        <v>55</v>
      </c>
      <c r="E144" t="s">
        <v>58</v>
      </c>
      <c r="F144">
        <v>1.3</v>
      </c>
      <c r="G144">
        <v>1.4</v>
      </c>
      <c r="H144">
        <v>32</v>
      </c>
      <c r="I144">
        <v>68</v>
      </c>
      <c r="J144">
        <v>364</v>
      </c>
      <c r="K144">
        <v>762</v>
      </c>
      <c r="L144">
        <v>276</v>
      </c>
      <c r="M144">
        <v>665</v>
      </c>
      <c r="N144">
        <v>2</v>
      </c>
      <c r="O144">
        <v>2</v>
      </c>
      <c r="P144" t="s">
        <v>36</v>
      </c>
      <c r="Q144">
        <v>1</v>
      </c>
      <c r="R144">
        <v>1</v>
      </c>
      <c r="S144" t="s">
        <v>36</v>
      </c>
      <c r="T144">
        <v>12</v>
      </c>
      <c r="U144">
        <v>12</v>
      </c>
      <c r="V144">
        <v>3</v>
      </c>
      <c r="W144">
        <v>4</v>
      </c>
      <c r="X144">
        <v>4</v>
      </c>
      <c r="Y144">
        <v>10</v>
      </c>
      <c r="Z144">
        <v>6</v>
      </c>
      <c r="AA144">
        <v>8</v>
      </c>
      <c r="AB144">
        <v>1</v>
      </c>
      <c r="AC144">
        <v>0</v>
      </c>
      <c r="AD144">
        <v>0</v>
      </c>
      <c r="AE144">
        <v>1</v>
      </c>
    </row>
    <row r="145" spans="1:31" x14ac:dyDescent="0.25">
      <c r="A145" t="s">
        <v>31</v>
      </c>
      <c r="B145" s="2">
        <v>45633</v>
      </c>
      <c r="C145" t="s">
        <v>50</v>
      </c>
      <c r="D145" t="s">
        <v>33</v>
      </c>
      <c r="E145" t="s">
        <v>48</v>
      </c>
      <c r="F145">
        <v>1.6</v>
      </c>
      <c r="G145">
        <v>0.8</v>
      </c>
      <c r="H145">
        <v>71</v>
      </c>
      <c r="I145">
        <v>29</v>
      </c>
      <c r="J145">
        <v>642</v>
      </c>
      <c r="K145">
        <v>263</v>
      </c>
      <c r="L145">
        <v>548</v>
      </c>
      <c r="M145">
        <v>172</v>
      </c>
      <c r="N145">
        <v>2</v>
      </c>
      <c r="O145">
        <v>3</v>
      </c>
      <c r="P145" t="s">
        <v>40</v>
      </c>
      <c r="Q145">
        <v>1</v>
      </c>
      <c r="R145">
        <v>1</v>
      </c>
      <c r="S145" t="s">
        <v>36</v>
      </c>
      <c r="T145">
        <v>17</v>
      </c>
      <c r="U145">
        <v>11</v>
      </c>
      <c r="V145">
        <v>7</v>
      </c>
      <c r="W145">
        <v>3</v>
      </c>
      <c r="X145">
        <v>10</v>
      </c>
      <c r="Y145">
        <v>13</v>
      </c>
      <c r="Z145">
        <v>5</v>
      </c>
      <c r="AA145">
        <v>3</v>
      </c>
      <c r="AB145">
        <v>0</v>
      </c>
      <c r="AC145">
        <v>2</v>
      </c>
      <c r="AD145">
        <v>0</v>
      </c>
      <c r="AE145">
        <v>0</v>
      </c>
    </row>
    <row r="146" spans="1:31" x14ac:dyDescent="0.25">
      <c r="A146" t="s">
        <v>31</v>
      </c>
      <c r="B146" s="2">
        <v>45634</v>
      </c>
      <c r="C146" t="s">
        <v>53</v>
      </c>
      <c r="D146" t="s">
        <v>34</v>
      </c>
      <c r="E146" t="s">
        <v>42</v>
      </c>
      <c r="F146">
        <v>0.2</v>
      </c>
      <c r="G146">
        <v>1.8</v>
      </c>
      <c r="H146">
        <v>34</v>
      </c>
      <c r="I146">
        <v>66</v>
      </c>
      <c r="J146">
        <v>328</v>
      </c>
      <c r="K146">
        <v>650</v>
      </c>
      <c r="L146">
        <v>233</v>
      </c>
      <c r="M146">
        <v>556</v>
      </c>
      <c r="N146">
        <v>1</v>
      </c>
      <c r="O146">
        <v>1</v>
      </c>
      <c r="P146" t="s">
        <v>36</v>
      </c>
      <c r="Q146">
        <v>1</v>
      </c>
      <c r="R146">
        <v>0</v>
      </c>
      <c r="S146" t="s">
        <v>35</v>
      </c>
      <c r="T146">
        <v>2</v>
      </c>
      <c r="U146">
        <v>12</v>
      </c>
      <c r="V146">
        <v>2</v>
      </c>
      <c r="W146">
        <v>4</v>
      </c>
      <c r="X146">
        <v>10</v>
      </c>
      <c r="Y146">
        <v>9</v>
      </c>
      <c r="Z146">
        <v>0</v>
      </c>
      <c r="AA146">
        <v>6</v>
      </c>
      <c r="AB146">
        <v>4</v>
      </c>
      <c r="AC146">
        <v>2</v>
      </c>
      <c r="AD146">
        <v>0</v>
      </c>
      <c r="AE146">
        <v>0</v>
      </c>
    </row>
    <row r="147" spans="1:31" x14ac:dyDescent="0.25">
      <c r="A147" t="s">
        <v>31</v>
      </c>
      <c r="B147" s="2">
        <v>45634</v>
      </c>
      <c r="C147" t="s">
        <v>53</v>
      </c>
      <c r="D147" t="s">
        <v>38</v>
      </c>
      <c r="E147" t="s">
        <v>49</v>
      </c>
      <c r="F147">
        <v>1.3</v>
      </c>
      <c r="G147">
        <v>3.2</v>
      </c>
      <c r="H147">
        <v>44</v>
      </c>
      <c r="I147">
        <v>56</v>
      </c>
      <c r="J147">
        <v>377</v>
      </c>
      <c r="K147">
        <v>488</v>
      </c>
      <c r="L147">
        <v>268</v>
      </c>
      <c r="M147">
        <v>379</v>
      </c>
      <c r="N147">
        <v>1</v>
      </c>
      <c r="O147">
        <v>2</v>
      </c>
      <c r="P147" t="s">
        <v>40</v>
      </c>
      <c r="Q147">
        <v>1</v>
      </c>
      <c r="R147">
        <v>0</v>
      </c>
      <c r="S147" t="s">
        <v>35</v>
      </c>
      <c r="T147">
        <v>18</v>
      </c>
      <c r="U147">
        <v>22</v>
      </c>
      <c r="V147">
        <v>5</v>
      </c>
      <c r="W147">
        <v>6</v>
      </c>
      <c r="X147">
        <v>9</v>
      </c>
      <c r="Y147">
        <v>13</v>
      </c>
      <c r="Z147">
        <v>6</v>
      </c>
      <c r="AA147">
        <v>13</v>
      </c>
      <c r="AB147">
        <v>2</v>
      </c>
      <c r="AC147">
        <v>1</v>
      </c>
      <c r="AD147">
        <v>0</v>
      </c>
      <c r="AE147">
        <v>0</v>
      </c>
    </row>
    <row r="148" spans="1:31" x14ac:dyDescent="0.25">
      <c r="A148" t="s">
        <v>31</v>
      </c>
      <c r="B148" s="2">
        <v>45634</v>
      </c>
      <c r="C148" t="s">
        <v>53</v>
      </c>
      <c r="D148" t="s">
        <v>59</v>
      </c>
      <c r="E148" t="s">
        <v>45</v>
      </c>
      <c r="F148">
        <v>1.3</v>
      </c>
      <c r="G148">
        <v>1.5</v>
      </c>
      <c r="H148">
        <v>56</v>
      </c>
      <c r="I148">
        <v>44</v>
      </c>
      <c r="J148">
        <v>570</v>
      </c>
      <c r="K148">
        <v>457</v>
      </c>
      <c r="L148">
        <v>472</v>
      </c>
      <c r="M148">
        <v>381</v>
      </c>
      <c r="N148">
        <v>2</v>
      </c>
      <c r="O148">
        <v>2</v>
      </c>
      <c r="P148" t="s">
        <v>36</v>
      </c>
      <c r="Q148">
        <v>0</v>
      </c>
      <c r="R148">
        <v>1</v>
      </c>
      <c r="S148" t="s">
        <v>40</v>
      </c>
      <c r="T148">
        <v>10</v>
      </c>
      <c r="U148">
        <v>16</v>
      </c>
      <c r="V148">
        <v>3</v>
      </c>
      <c r="W148">
        <v>7</v>
      </c>
      <c r="X148">
        <v>9</v>
      </c>
      <c r="Y148">
        <v>10</v>
      </c>
      <c r="Z148">
        <v>5</v>
      </c>
      <c r="AA148">
        <v>5</v>
      </c>
      <c r="AB148">
        <v>1</v>
      </c>
      <c r="AC148">
        <v>2</v>
      </c>
      <c r="AD148">
        <v>0</v>
      </c>
      <c r="AE148">
        <v>0</v>
      </c>
    </row>
    <row r="149" spans="1:31" x14ac:dyDescent="0.25">
      <c r="A149" t="s">
        <v>31</v>
      </c>
      <c r="B149" s="2">
        <v>45634</v>
      </c>
      <c r="C149" t="s">
        <v>56</v>
      </c>
      <c r="D149" t="s">
        <v>60</v>
      </c>
      <c r="E149" t="s">
        <v>57</v>
      </c>
      <c r="F149">
        <v>2.8</v>
      </c>
      <c r="G149">
        <v>2.8</v>
      </c>
      <c r="H149">
        <v>39</v>
      </c>
      <c r="I149">
        <v>61</v>
      </c>
      <c r="J149">
        <v>355</v>
      </c>
      <c r="K149">
        <v>556</v>
      </c>
      <c r="L149">
        <v>286</v>
      </c>
      <c r="M149">
        <v>471</v>
      </c>
      <c r="N149">
        <v>3</v>
      </c>
      <c r="O149">
        <v>4</v>
      </c>
      <c r="P149" t="s">
        <v>40</v>
      </c>
      <c r="Q149">
        <v>2</v>
      </c>
      <c r="R149">
        <v>1</v>
      </c>
      <c r="S149" t="s">
        <v>35</v>
      </c>
      <c r="T149">
        <v>13</v>
      </c>
      <c r="U149">
        <v>17</v>
      </c>
      <c r="V149">
        <v>5</v>
      </c>
      <c r="W149">
        <v>8</v>
      </c>
      <c r="X149">
        <v>17</v>
      </c>
      <c r="Y149">
        <v>11</v>
      </c>
      <c r="Z149">
        <v>5</v>
      </c>
      <c r="AA149">
        <v>10</v>
      </c>
      <c r="AB149">
        <v>2</v>
      </c>
      <c r="AC149">
        <v>2</v>
      </c>
      <c r="AD149">
        <v>0</v>
      </c>
      <c r="AE149">
        <v>0</v>
      </c>
    </row>
    <row r="150" spans="1:31" x14ac:dyDescent="0.25">
      <c r="A150" t="s">
        <v>31</v>
      </c>
      <c r="B150" s="2">
        <v>45635</v>
      </c>
      <c r="C150" t="s">
        <v>32</v>
      </c>
      <c r="D150" t="s">
        <v>51</v>
      </c>
      <c r="E150" t="s">
        <v>43</v>
      </c>
      <c r="F150">
        <v>1</v>
      </c>
      <c r="G150">
        <v>1.4</v>
      </c>
      <c r="H150">
        <v>54</v>
      </c>
      <c r="I150">
        <v>46</v>
      </c>
      <c r="J150">
        <v>480</v>
      </c>
      <c r="K150">
        <v>409</v>
      </c>
      <c r="L150">
        <v>375</v>
      </c>
      <c r="M150">
        <v>311</v>
      </c>
      <c r="N150">
        <v>2</v>
      </c>
      <c r="O150">
        <v>1</v>
      </c>
      <c r="P150" t="s">
        <v>35</v>
      </c>
      <c r="Q150">
        <v>0</v>
      </c>
      <c r="R150">
        <v>0</v>
      </c>
      <c r="S150" t="s">
        <v>36</v>
      </c>
      <c r="T150">
        <v>19</v>
      </c>
      <c r="U150">
        <v>19</v>
      </c>
      <c r="V150">
        <v>4</v>
      </c>
      <c r="W150">
        <v>5</v>
      </c>
      <c r="X150">
        <v>12</v>
      </c>
      <c r="Y150">
        <v>17</v>
      </c>
      <c r="Z150">
        <v>11</v>
      </c>
      <c r="AA150">
        <v>0</v>
      </c>
      <c r="AB150">
        <v>5</v>
      </c>
      <c r="AC150">
        <v>4</v>
      </c>
      <c r="AD150">
        <v>0</v>
      </c>
      <c r="AE150">
        <v>0</v>
      </c>
    </row>
    <row r="151" spans="1:31" x14ac:dyDescent="0.25">
      <c r="A151" t="s">
        <v>31</v>
      </c>
      <c r="B151" s="2">
        <v>45640</v>
      </c>
      <c r="C151" t="s">
        <v>41</v>
      </c>
      <c r="D151" t="s">
        <v>42</v>
      </c>
      <c r="E151" t="s">
        <v>44</v>
      </c>
      <c r="F151">
        <v>1.2</v>
      </c>
      <c r="G151">
        <v>0.1</v>
      </c>
      <c r="H151">
        <v>76</v>
      </c>
      <c r="I151">
        <v>24</v>
      </c>
      <c r="J151">
        <v>746</v>
      </c>
      <c r="K151">
        <v>239</v>
      </c>
      <c r="L151">
        <v>666</v>
      </c>
      <c r="M151">
        <v>162</v>
      </c>
      <c r="N151">
        <v>0</v>
      </c>
      <c r="O151">
        <v>0</v>
      </c>
      <c r="P151" t="s">
        <v>36</v>
      </c>
      <c r="Q151">
        <v>0</v>
      </c>
      <c r="R151">
        <v>0</v>
      </c>
      <c r="S151" t="s">
        <v>36</v>
      </c>
      <c r="T151">
        <v>13</v>
      </c>
      <c r="U151">
        <v>2</v>
      </c>
      <c r="V151">
        <v>5</v>
      </c>
      <c r="W151">
        <v>0</v>
      </c>
      <c r="X151">
        <v>6</v>
      </c>
      <c r="Y151">
        <v>9</v>
      </c>
      <c r="Z151">
        <v>8</v>
      </c>
      <c r="AA151">
        <v>2</v>
      </c>
      <c r="AB151">
        <v>0</v>
      </c>
      <c r="AC151">
        <v>3</v>
      </c>
      <c r="AD151">
        <v>0</v>
      </c>
      <c r="AE151">
        <v>0</v>
      </c>
    </row>
    <row r="152" spans="1:31" x14ac:dyDescent="0.25">
      <c r="A152" t="s">
        <v>31</v>
      </c>
      <c r="B152" s="2">
        <v>45640</v>
      </c>
      <c r="C152" t="s">
        <v>41</v>
      </c>
      <c r="D152" t="s">
        <v>39</v>
      </c>
      <c r="E152" t="s">
        <v>34</v>
      </c>
      <c r="F152">
        <v>2.1</v>
      </c>
      <c r="G152">
        <v>1.2</v>
      </c>
      <c r="H152">
        <v>61</v>
      </c>
      <c r="I152">
        <v>39</v>
      </c>
      <c r="J152">
        <v>586</v>
      </c>
      <c r="K152">
        <v>371</v>
      </c>
      <c r="L152">
        <v>498</v>
      </c>
      <c r="M152">
        <v>295</v>
      </c>
      <c r="N152">
        <v>2</v>
      </c>
      <c r="O152">
        <v>2</v>
      </c>
      <c r="P152" t="s">
        <v>36</v>
      </c>
      <c r="Q152">
        <v>0</v>
      </c>
      <c r="R152">
        <v>1</v>
      </c>
      <c r="S152" t="s">
        <v>40</v>
      </c>
      <c r="T152">
        <v>16</v>
      </c>
      <c r="U152">
        <v>12</v>
      </c>
      <c r="V152">
        <v>4</v>
      </c>
      <c r="W152">
        <v>3</v>
      </c>
      <c r="X152">
        <v>10</v>
      </c>
      <c r="Y152">
        <v>7</v>
      </c>
      <c r="Z152">
        <v>5</v>
      </c>
      <c r="AA152">
        <v>4</v>
      </c>
      <c r="AB152">
        <v>3</v>
      </c>
      <c r="AC152">
        <v>4</v>
      </c>
      <c r="AD152">
        <v>1</v>
      </c>
      <c r="AE152">
        <v>0</v>
      </c>
    </row>
    <row r="153" spans="1:31" x14ac:dyDescent="0.25">
      <c r="A153" t="s">
        <v>31</v>
      </c>
      <c r="B153" s="2">
        <v>45640</v>
      </c>
      <c r="C153" t="s">
        <v>41</v>
      </c>
      <c r="D153" t="s">
        <v>46</v>
      </c>
      <c r="E153" t="s">
        <v>59</v>
      </c>
      <c r="F153">
        <v>3.8</v>
      </c>
      <c r="G153">
        <v>0.2</v>
      </c>
      <c r="H153">
        <v>59</v>
      </c>
      <c r="I153">
        <v>41</v>
      </c>
      <c r="J153">
        <v>668</v>
      </c>
      <c r="K153">
        <v>466</v>
      </c>
      <c r="L153">
        <v>578</v>
      </c>
      <c r="M153">
        <v>361</v>
      </c>
      <c r="N153">
        <v>4</v>
      </c>
      <c r="O153">
        <v>0</v>
      </c>
      <c r="P153" t="s">
        <v>35</v>
      </c>
      <c r="Q153">
        <v>1</v>
      </c>
      <c r="R153">
        <v>0</v>
      </c>
      <c r="S153" t="s">
        <v>35</v>
      </c>
      <c r="T153">
        <v>27</v>
      </c>
      <c r="U153">
        <v>4</v>
      </c>
      <c r="V153">
        <v>11</v>
      </c>
      <c r="W153">
        <v>1</v>
      </c>
      <c r="X153">
        <v>7</v>
      </c>
      <c r="Y153">
        <v>16</v>
      </c>
      <c r="Z153">
        <v>5</v>
      </c>
      <c r="AA153">
        <v>2</v>
      </c>
      <c r="AB153">
        <v>3</v>
      </c>
      <c r="AC153">
        <v>3</v>
      </c>
      <c r="AD153">
        <v>0</v>
      </c>
      <c r="AE153">
        <v>0</v>
      </c>
    </row>
    <row r="154" spans="1:31" x14ac:dyDescent="0.25">
      <c r="A154" t="s">
        <v>31</v>
      </c>
      <c r="B154" s="2">
        <v>45640</v>
      </c>
      <c r="C154" t="s">
        <v>41</v>
      </c>
      <c r="D154" t="s">
        <v>43</v>
      </c>
      <c r="E154" t="s">
        <v>38</v>
      </c>
      <c r="F154">
        <v>1.3</v>
      </c>
      <c r="G154">
        <v>1.1000000000000001</v>
      </c>
      <c r="H154">
        <v>54</v>
      </c>
      <c r="I154">
        <v>46</v>
      </c>
      <c r="J154">
        <v>549</v>
      </c>
      <c r="K154">
        <v>460</v>
      </c>
      <c r="L154">
        <v>443</v>
      </c>
      <c r="M154">
        <v>371</v>
      </c>
      <c r="N154">
        <v>1</v>
      </c>
      <c r="O154">
        <v>2</v>
      </c>
      <c r="P154" t="s">
        <v>40</v>
      </c>
      <c r="Q154">
        <v>0</v>
      </c>
      <c r="R154">
        <v>1</v>
      </c>
      <c r="S154" t="s">
        <v>40</v>
      </c>
      <c r="T154">
        <v>16</v>
      </c>
      <c r="U154">
        <v>10</v>
      </c>
      <c r="V154">
        <v>6</v>
      </c>
      <c r="W154">
        <v>5</v>
      </c>
      <c r="X154">
        <v>13</v>
      </c>
      <c r="Y154">
        <v>9</v>
      </c>
      <c r="Z154">
        <v>7</v>
      </c>
      <c r="AA154">
        <v>3</v>
      </c>
      <c r="AB154">
        <v>0</v>
      </c>
      <c r="AC154">
        <v>2</v>
      </c>
      <c r="AD154">
        <v>1</v>
      </c>
      <c r="AE154">
        <v>0</v>
      </c>
    </row>
    <row r="155" spans="1:31" x14ac:dyDescent="0.25">
      <c r="A155" t="s">
        <v>31</v>
      </c>
      <c r="B155" s="2">
        <v>45640</v>
      </c>
      <c r="C155" t="s">
        <v>50</v>
      </c>
      <c r="D155" t="s">
        <v>48</v>
      </c>
      <c r="E155" t="s">
        <v>52</v>
      </c>
      <c r="F155">
        <v>1.7</v>
      </c>
      <c r="G155">
        <v>0.4</v>
      </c>
      <c r="H155">
        <v>50</v>
      </c>
      <c r="I155">
        <v>50</v>
      </c>
      <c r="J155">
        <v>501</v>
      </c>
      <c r="K155">
        <v>501</v>
      </c>
      <c r="L155">
        <v>441</v>
      </c>
      <c r="M155">
        <v>431</v>
      </c>
      <c r="N155">
        <v>2</v>
      </c>
      <c r="O155">
        <v>1</v>
      </c>
      <c r="P155" t="s">
        <v>35</v>
      </c>
      <c r="Q155">
        <v>0</v>
      </c>
      <c r="R155">
        <v>0</v>
      </c>
      <c r="S155" t="s">
        <v>36</v>
      </c>
      <c r="T155">
        <v>17</v>
      </c>
      <c r="U155">
        <v>8</v>
      </c>
      <c r="V155">
        <v>6</v>
      </c>
      <c r="W155">
        <v>2</v>
      </c>
      <c r="X155">
        <v>12</v>
      </c>
      <c r="Y155">
        <v>6</v>
      </c>
      <c r="Z155">
        <v>4</v>
      </c>
      <c r="AA155">
        <v>3</v>
      </c>
      <c r="AB155">
        <v>0</v>
      </c>
      <c r="AC155">
        <v>1</v>
      </c>
      <c r="AD155">
        <v>0</v>
      </c>
      <c r="AE155">
        <v>0</v>
      </c>
    </row>
    <row r="156" spans="1:31" x14ac:dyDescent="0.25">
      <c r="A156" t="s">
        <v>31</v>
      </c>
      <c r="B156" s="2">
        <v>45641</v>
      </c>
      <c r="C156" t="s">
        <v>53</v>
      </c>
      <c r="D156" t="s">
        <v>45</v>
      </c>
      <c r="E156" t="s">
        <v>55</v>
      </c>
      <c r="F156">
        <v>1</v>
      </c>
      <c r="G156">
        <v>2.2000000000000002</v>
      </c>
      <c r="H156">
        <v>64</v>
      </c>
      <c r="I156">
        <v>36</v>
      </c>
      <c r="J156">
        <v>613</v>
      </c>
      <c r="K156">
        <v>339</v>
      </c>
      <c r="L156">
        <v>528</v>
      </c>
      <c r="M156">
        <v>247</v>
      </c>
      <c r="N156">
        <v>1</v>
      </c>
      <c r="O156">
        <v>3</v>
      </c>
      <c r="P156" t="s">
        <v>40</v>
      </c>
      <c r="Q156">
        <v>0</v>
      </c>
      <c r="R156">
        <v>2</v>
      </c>
      <c r="S156" t="s">
        <v>40</v>
      </c>
      <c r="T156">
        <v>17</v>
      </c>
      <c r="U156">
        <v>13</v>
      </c>
      <c r="V156">
        <v>5</v>
      </c>
      <c r="W156">
        <v>5</v>
      </c>
      <c r="X156">
        <v>11</v>
      </c>
      <c r="Y156">
        <v>15</v>
      </c>
      <c r="Z156">
        <v>8</v>
      </c>
      <c r="AA156">
        <v>5</v>
      </c>
      <c r="AB156">
        <v>1</v>
      </c>
      <c r="AC156">
        <v>4</v>
      </c>
      <c r="AD156">
        <v>0</v>
      </c>
      <c r="AE156">
        <v>0</v>
      </c>
    </row>
    <row r="157" spans="1:31" x14ac:dyDescent="0.25">
      <c r="A157" t="s">
        <v>31</v>
      </c>
      <c r="B157" s="2">
        <v>45641</v>
      </c>
      <c r="C157" t="s">
        <v>56</v>
      </c>
      <c r="D157" t="s">
        <v>58</v>
      </c>
      <c r="E157" t="s">
        <v>33</v>
      </c>
      <c r="F157">
        <v>0.9</v>
      </c>
      <c r="G157">
        <v>2.1</v>
      </c>
      <c r="H157">
        <v>52</v>
      </c>
      <c r="I157">
        <v>48</v>
      </c>
      <c r="J157">
        <v>538</v>
      </c>
      <c r="K157">
        <v>499</v>
      </c>
      <c r="L157">
        <v>453</v>
      </c>
      <c r="M157">
        <v>431</v>
      </c>
      <c r="N157">
        <v>1</v>
      </c>
      <c r="O157">
        <v>2</v>
      </c>
      <c r="P157" t="s">
        <v>40</v>
      </c>
      <c r="Q157">
        <v>1</v>
      </c>
      <c r="R157">
        <v>0</v>
      </c>
      <c r="S157" t="s">
        <v>35</v>
      </c>
      <c r="T157">
        <v>10</v>
      </c>
      <c r="U157">
        <v>10</v>
      </c>
      <c r="V157">
        <v>3</v>
      </c>
      <c r="W157">
        <v>3</v>
      </c>
      <c r="X157">
        <v>5</v>
      </c>
      <c r="Y157">
        <v>14</v>
      </c>
      <c r="Z157">
        <v>8</v>
      </c>
      <c r="AA157">
        <v>2</v>
      </c>
      <c r="AB157">
        <v>1</v>
      </c>
      <c r="AC157">
        <v>1</v>
      </c>
      <c r="AD157">
        <v>0</v>
      </c>
      <c r="AE157">
        <v>0</v>
      </c>
    </row>
    <row r="158" spans="1:31" x14ac:dyDescent="0.25">
      <c r="A158" t="s">
        <v>31</v>
      </c>
      <c r="B158" s="2">
        <v>45641</v>
      </c>
      <c r="C158" t="s">
        <v>65</v>
      </c>
      <c r="D158" t="s">
        <v>57</v>
      </c>
      <c r="E158" t="s">
        <v>54</v>
      </c>
      <c r="F158">
        <v>2.2000000000000002</v>
      </c>
      <c r="G158">
        <v>1.6</v>
      </c>
      <c r="H158">
        <v>62</v>
      </c>
      <c r="I158">
        <v>38</v>
      </c>
      <c r="J158">
        <v>585</v>
      </c>
      <c r="K158">
        <v>363</v>
      </c>
      <c r="L158">
        <v>483</v>
      </c>
      <c r="M158">
        <v>263</v>
      </c>
      <c r="N158">
        <v>2</v>
      </c>
      <c r="O158">
        <v>1</v>
      </c>
      <c r="P158" t="s">
        <v>35</v>
      </c>
      <c r="Q158">
        <v>1</v>
      </c>
      <c r="R158">
        <v>0</v>
      </c>
      <c r="S158" t="s">
        <v>35</v>
      </c>
      <c r="T158">
        <v>26</v>
      </c>
      <c r="U158">
        <v>9</v>
      </c>
      <c r="V158">
        <v>8</v>
      </c>
      <c r="W158">
        <v>4</v>
      </c>
      <c r="X158">
        <v>11</v>
      </c>
      <c r="Y158">
        <v>7</v>
      </c>
      <c r="Z158">
        <v>8</v>
      </c>
      <c r="AA158">
        <v>5</v>
      </c>
      <c r="AB158">
        <v>0</v>
      </c>
      <c r="AC158">
        <v>2</v>
      </c>
      <c r="AD158">
        <v>1</v>
      </c>
      <c r="AE158">
        <v>0</v>
      </c>
    </row>
    <row r="159" spans="1:31" x14ac:dyDescent="0.25">
      <c r="A159" t="s">
        <v>31</v>
      </c>
      <c r="B159" s="2">
        <v>45641</v>
      </c>
      <c r="C159" t="s">
        <v>65</v>
      </c>
      <c r="D159" t="s">
        <v>47</v>
      </c>
      <c r="E159" t="s">
        <v>60</v>
      </c>
      <c r="F159">
        <v>0.8</v>
      </c>
      <c r="G159">
        <v>2.2999999999999998</v>
      </c>
      <c r="H159">
        <v>42</v>
      </c>
      <c r="I159">
        <v>58</v>
      </c>
      <c r="J159">
        <v>458</v>
      </c>
      <c r="K159">
        <v>632</v>
      </c>
      <c r="L159">
        <v>392</v>
      </c>
      <c r="M159">
        <v>566</v>
      </c>
      <c r="N159">
        <v>0</v>
      </c>
      <c r="O159">
        <v>5</v>
      </c>
      <c r="P159" t="s">
        <v>40</v>
      </c>
      <c r="Q159">
        <v>0</v>
      </c>
      <c r="R159">
        <v>5</v>
      </c>
      <c r="S159" t="s">
        <v>40</v>
      </c>
      <c r="T159">
        <v>9</v>
      </c>
      <c r="U159">
        <v>18</v>
      </c>
      <c r="V159">
        <v>3</v>
      </c>
      <c r="W159">
        <v>9</v>
      </c>
      <c r="X159">
        <v>8</v>
      </c>
      <c r="Y159">
        <v>15</v>
      </c>
      <c r="Z159">
        <v>2</v>
      </c>
      <c r="AA159">
        <v>5</v>
      </c>
      <c r="AB159">
        <v>1</v>
      </c>
      <c r="AC159">
        <v>3</v>
      </c>
      <c r="AD159">
        <v>0</v>
      </c>
      <c r="AE159">
        <v>0</v>
      </c>
    </row>
    <row r="160" spans="1:31" x14ac:dyDescent="0.25">
      <c r="A160" t="s">
        <v>31</v>
      </c>
      <c r="B160" s="2">
        <v>45642</v>
      </c>
      <c r="C160" t="s">
        <v>32</v>
      </c>
      <c r="D160" t="s">
        <v>49</v>
      </c>
      <c r="E160" t="s">
        <v>51</v>
      </c>
      <c r="F160">
        <v>1.9</v>
      </c>
      <c r="G160">
        <v>2.1</v>
      </c>
      <c r="H160">
        <v>52</v>
      </c>
      <c r="I160">
        <v>48</v>
      </c>
      <c r="J160">
        <v>491</v>
      </c>
      <c r="K160">
        <v>461</v>
      </c>
      <c r="L160">
        <v>362</v>
      </c>
      <c r="M160">
        <v>326</v>
      </c>
      <c r="N160">
        <v>1</v>
      </c>
      <c r="O160">
        <v>1</v>
      </c>
      <c r="P160" t="s">
        <v>36</v>
      </c>
      <c r="Q160">
        <v>0</v>
      </c>
      <c r="R160">
        <v>0</v>
      </c>
      <c r="S160" t="s">
        <v>36</v>
      </c>
      <c r="T160">
        <v>29</v>
      </c>
      <c r="U160">
        <v>16</v>
      </c>
      <c r="V160">
        <v>9</v>
      </c>
      <c r="W160">
        <v>3</v>
      </c>
      <c r="X160">
        <v>6</v>
      </c>
      <c r="Y160">
        <v>11</v>
      </c>
      <c r="Z160">
        <v>12</v>
      </c>
      <c r="AA160">
        <v>6</v>
      </c>
      <c r="AB160">
        <v>0</v>
      </c>
      <c r="AC160">
        <v>2</v>
      </c>
      <c r="AD160">
        <v>0</v>
      </c>
      <c r="AE160">
        <v>0</v>
      </c>
    </row>
    <row r="161" spans="1:31" x14ac:dyDescent="0.25">
      <c r="A161" t="s">
        <v>31</v>
      </c>
      <c r="B161" s="2">
        <v>45647</v>
      </c>
      <c r="C161" t="s">
        <v>37</v>
      </c>
      <c r="D161" t="s">
        <v>52</v>
      </c>
      <c r="E161" t="s">
        <v>58</v>
      </c>
      <c r="F161">
        <v>1.6</v>
      </c>
      <c r="G161">
        <v>1</v>
      </c>
      <c r="H161">
        <v>44</v>
      </c>
      <c r="I161">
        <v>56</v>
      </c>
      <c r="J161">
        <v>451</v>
      </c>
      <c r="K161">
        <v>566</v>
      </c>
      <c r="L161">
        <v>383</v>
      </c>
      <c r="M161">
        <v>513</v>
      </c>
      <c r="N161">
        <v>2</v>
      </c>
      <c r="O161">
        <v>1</v>
      </c>
      <c r="P161" t="s">
        <v>35</v>
      </c>
      <c r="Q161">
        <v>1</v>
      </c>
      <c r="R161">
        <v>0</v>
      </c>
      <c r="S161" t="s">
        <v>35</v>
      </c>
      <c r="T161">
        <v>11</v>
      </c>
      <c r="U161">
        <v>12</v>
      </c>
      <c r="V161">
        <v>6</v>
      </c>
      <c r="W161">
        <v>6</v>
      </c>
      <c r="X161">
        <v>14</v>
      </c>
      <c r="Y161">
        <v>7</v>
      </c>
      <c r="Z161">
        <v>5</v>
      </c>
      <c r="AA161">
        <v>4</v>
      </c>
      <c r="AB161">
        <v>3</v>
      </c>
      <c r="AC161">
        <v>3</v>
      </c>
      <c r="AD161">
        <v>0</v>
      </c>
      <c r="AE161">
        <v>0</v>
      </c>
    </row>
    <row r="162" spans="1:31" x14ac:dyDescent="0.25">
      <c r="A162" t="s">
        <v>31</v>
      </c>
      <c r="B162" s="2">
        <v>45647</v>
      </c>
      <c r="C162" t="s">
        <v>41</v>
      </c>
      <c r="D162" t="s">
        <v>54</v>
      </c>
      <c r="E162" t="s">
        <v>48</v>
      </c>
      <c r="F162">
        <v>0.7</v>
      </c>
      <c r="G162">
        <v>0.9</v>
      </c>
      <c r="H162">
        <v>64</v>
      </c>
      <c r="I162">
        <v>36</v>
      </c>
      <c r="J162">
        <v>589</v>
      </c>
      <c r="K162">
        <v>336</v>
      </c>
      <c r="L162">
        <v>472</v>
      </c>
      <c r="M162">
        <v>245</v>
      </c>
      <c r="N162">
        <v>0</v>
      </c>
      <c r="O162">
        <v>2</v>
      </c>
      <c r="P162" t="s">
        <v>40</v>
      </c>
      <c r="Q162">
        <v>0</v>
      </c>
      <c r="R162">
        <v>1</v>
      </c>
      <c r="S162" t="s">
        <v>40</v>
      </c>
      <c r="T162">
        <v>7</v>
      </c>
      <c r="U162">
        <v>10</v>
      </c>
      <c r="V162">
        <v>3</v>
      </c>
      <c r="W162">
        <v>6</v>
      </c>
      <c r="X162">
        <v>9</v>
      </c>
      <c r="Y162">
        <v>14</v>
      </c>
      <c r="Z162">
        <v>9</v>
      </c>
      <c r="AA162">
        <v>5</v>
      </c>
      <c r="AB162">
        <v>3</v>
      </c>
      <c r="AC162">
        <v>4</v>
      </c>
      <c r="AD162">
        <v>0</v>
      </c>
      <c r="AE162">
        <v>0</v>
      </c>
    </row>
    <row r="163" spans="1:31" x14ac:dyDescent="0.25">
      <c r="A163" t="s">
        <v>31</v>
      </c>
      <c r="B163" s="2">
        <v>45647</v>
      </c>
      <c r="C163" t="s">
        <v>41</v>
      </c>
      <c r="D163" t="s">
        <v>38</v>
      </c>
      <c r="E163" t="s">
        <v>46</v>
      </c>
      <c r="F163">
        <v>0.7</v>
      </c>
      <c r="G163">
        <v>2.2999999999999998</v>
      </c>
      <c r="H163">
        <v>42</v>
      </c>
      <c r="I163">
        <v>58</v>
      </c>
      <c r="J163">
        <v>462</v>
      </c>
      <c r="K163">
        <v>649</v>
      </c>
      <c r="L163">
        <v>374</v>
      </c>
      <c r="M163">
        <v>564</v>
      </c>
      <c r="N163">
        <v>0</v>
      </c>
      <c r="O163">
        <v>4</v>
      </c>
      <c r="P163" t="s">
        <v>40</v>
      </c>
      <c r="Q163">
        <v>0</v>
      </c>
      <c r="R163">
        <v>3</v>
      </c>
      <c r="S163" t="s">
        <v>40</v>
      </c>
      <c r="T163">
        <v>10</v>
      </c>
      <c r="U163">
        <v>15</v>
      </c>
      <c r="V163">
        <v>2</v>
      </c>
      <c r="W163">
        <v>7</v>
      </c>
      <c r="X163">
        <v>9</v>
      </c>
      <c r="Y163">
        <v>7</v>
      </c>
      <c r="Z163">
        <v>2</v>
      </c>
      <c r="AA163">
        <v>1</v>
      </c>
      <c r="AB163">
        <v>2</v>
      </c>
      <c r="AC163">
        <v>0</v>
      </c>
      <c r="AD163">
        <v>0</v>
      </c>
      <c r="AE163">
        <v>0</v>
      </c>
    </row>
    <row r="164" spans="1:31" x14ac:dyDescent="0.25">
      <c r="A164" t="s">
        <v>31</v>
      </c>
      <c r="B164" s="2">
        <v>45647</v>
      </c>
      <c r="C164" t="s">
        <v>41</v>
      </c>
      <c r="D164" t="s">
        <v>51</v>
      </c>
      <c r="E164" t="s">
        <v>45</v>
      </c>
      <c r="F164">
        <v>1.2</v>
      </c>
      <c r="G164">
        <v>0.9</v>
      </c>
      <c r="H164">
        <v>47</v>
      </c>
      <c r="I164">
        <v>53</v>
      </c>
      <c r="J164">
        <v>418</v>
      </c>
      <c r="K164">
        <v>478</v>
      </c>
      <c r="L164">
        <v>311</v>
      </c>
      <c r="M164">
        <v>393</v>
      </c>
      <c r="N164">
        <v>1</v>
      </c>
      <c r="O164">
        <v>1</v>
      </c>
      <c r="P164" t="s">
        <v>36</v>
      </c>
      <c r="Q164">
        <v>0</v>
      </c>
      <c r="R164">
        <v>0</v>
      </c>
      <c r="S164" t="s">
        <v>36</v>
      </c>
      <c r="T164">
        <v>11</v>
      </c>
      <c r="U164">
        <v>12</v>
      </c>
      <c r="V164">
        <v>4</v>
      </c>
      <c r="W164">
        <v>6</v>
      </c>
      <c r="X164">
        <v>14</v>
      </c>
      <c r="Y164">
        <v>20</v>
      </c>
      <c r="Z164">
        <v>8</v>
      </c>
      <c r="AA164">
        <v>4</v>
      </c>
      <c r="AB164">
        <v>2</v>
      </c>
      <c r="AC164">
        <v>2</v>
      </c>
      <c r="AD164">
        <v>0</v>
      </c>
      <c r="AE164">
        <v>0</v>
      </c>
    </row>
    <row r="165" spans="1:31" x14ac:dyDescent="0.25">
      <c r="A165" t="s">
        <v>31</v>
      </c>
      <c r="B165" s="2">
        <v>45647</v>
      </c>
      <c r="C165" t="s">
        <v>50</v>
      </c>
      <c r="D165" t="s">
        <v>55</v>
      </c>
      <c r="E165" t="s">
        <v>42</v>
      </c>
      <c r="F165">
        <v>1.6</v>
      </c>
      <c r="G165">
        <v>2.5</v>
      </c>
      <c r="H165">
        <v>42</v>
      </c>
      <c r="I165">
        <v>58</v>
      </c>
      <c r="J165">
        <v>422</v>
      </c>
      <c r="K165">
        <v>593</v>
      </c>
      <c r="L165">
        <v>336</v>
      </c>
      <c r="M165">
        <v>509</v>
      </c>
      <c r="N165">
        <v>1</v>
      </c>
      <c r="O165">
        <v>5</v>
      </c>
      <c r="P165" t="s">
        <v>40</v>
      </c>
      <c r="Q165">
        <v>1</v>
      </c>
      <c r="R165">
        <v>3</v>
      </c>
      <c r="S165" t="s">
        <v>40</v>
      </c>
      <c r="T165">
        <v>15</v>
      </c>
      <c r="U165">
        <v>14</v>
      </c>
      <c r="V165">
        <v>6</v>
      </c>
      <c r="W165">
        <v>6</v>
      </c>
      <c r="X165">
        <v>9</v>
      </c>
      <c r="Y165">
        <v>8</v>
      </c>
      <c r="Z165">
        <v>3</v>
      </c>
      <c r="AA165">
        <v>3</v>
      </c>
      <c r="AB165">
        <v>2</v>
      </c>
      <c r="AC165">
        <v>2</v>
      </c>
      <c r="AD165">
        <v>0</v>
      </c>
      <c r="AE165">
        <v>0</v>
      </c>
    </row>
    <row r="166" spans="1:31" x14ac:dyDescent="0.25">
      <c r="A166" t="s">
        <v>31</v>
      </c>
      <c r="B166" s="2">
        <v>45648</v>
      </c>
      <c r="C166" t="s">
        <v>53</v>
      </c>
      <c r="D166" t="s">
        <v>44</v>
      </c>
      <c r="E166" t="s">
        <v>57</v>
      </c>
      <c r="F166">
        <v>1</v>
      </c>
      <c r="G166">
        <v>1.2</v>
      </c>
      <c r="H166">
        <v>25</v>
      </c>
      <c r="I166">
        <v>75</v>
      </c>
      <c r="J166">
        <v>231</v>
      </c>
      <c r="K166">
        <v>686</v>
      </c>
      <c r="L166">
        <v>163</v>
      </c>
      <c r="M166">
        <v>605</v>
      </c>
      <c r="N166">
        <v>0</v>
      </c>
      <c r="O166">
        <v>0</v>
      </c>
      <c r="P166" t="s">
        <v>36</v>
      </c>
      <c r="Q166">
        <v>0</v>
      </c>
      <c r="R166">
        <v>0</v>
      </c>
      <c r="S166" t="s">
        <v>36</v>
      </c>
      <c r="T166">
        <v>5</v>
      </c>
      <c r="U166">
        <v>12</v>
      </c>
      <c r="V166">
        <v>4</v>
      </c>
      <c r="W166">
        <v>5</v>
      </c>
      <c r="X166">
        <v>20</v>
      </c>
      <c r="Y166">
        <v>12</v>
      </c>
      <c r="Z166">
        <v>2</v>
      </c>
      <c r="AA166">
        <v>5</v>
      </c>
      <c r="AB166">
        <v>4</v>
      </c>
      <c r="AC166">
        <v>1</v>
      </c>
      <c r="AD166">
        <v>0</v>
      </c>
      <c r="AE166">
        <v>0</v>
      </c>
    </row>
    <row r="167" spans="1:31" x14ac:dyDescent="0.25">
      <c r="A167" t="s">
        <v>31</v>
      </c>
      <c r="B167" s="2">
        <v>45648</v>
      </c>
      <c r="C167" t="s">
        <v>53</v>
      </c>
      <c r="D167" t="s">
        <v>34</v>
      </c>
      <c r="E167" t="s">
        <v>47</v>
      </c>
      <c r="F167">
        <v>0.9</v>
      </c>
      <c r="G167">
        <v>0.3</v>
      </c>
      <c r="H167">
        <v>57</v>
      </c>
      <c r="I167">
        <v>43</v>
      </c>
      <c r="J167">
        <v>598</v>
      </c>
      <c r="K167">
        <v>450</v>
      </c>
      <c r="L167">
        <v>499</v>
      </c>
      <c r="M167">
        <v>352</v>
      </c>
      <c r="N167">
        <v>0</v>
      </c>
      <c r="O167">
        <v>0</v>
      </c>
      <c r="P167" t="s">
        <v>36</v>
      </c>
      <c r="Q167">
        <v>0</v>
      </c>
      <c r="R167">
        <v>0</v>
      </c>
      <c r="S167" t="s">
        <v>36</v>
      </c>
      <c r="T167">
        <v>16</v>
      </c>
      <c r="U167">
        <v>5</v>
      </c>
      <c r="V167">
        <v>5</v>
      </c>
      <c r="W167">
        <v>1</v>
      </c>
      <c r="X167">
        <v>8</v>
      </c>
      <c r="Y167">
        <v>15</v>
      </c>
      <c r="Z167">
        <v>6</v>
      </c>
      <c r="AA167">
        <v>5</v>
      </c>
      <c r="AB167">
        <v>1</v>
      </c>
      <c r="AC167">
        <v>3</v>
      </c>
      <c r="AD167">
        <v>0</v>
      </c>
      <c r="AE167">
        <v>0</v>
      </c>
    </row>
    <row r="168" spans="1:31" x14ac:dyDescent="0.25">
      <c r="A168" t="s">
        <v>31</v>
      </c>
      <c r="B168" s="2">
        <v>45648</v>
      </c>
      <c r="C168" t="s">
        <v>53</v>
      </c>
      <c r="D168" t="s">
        <v>59</v>
      </c>
      <c r="E168" t="s">
        <v>43</v>
      </c>
      <c r="F168">
        <v>0.8</v>
      </c>
      <c r="G168">
        <v>1.1000000000000001</v>
      </c>
      <c r="H168">
        <v>54</v>
      </c>
      <c r="I168">
        <v>46</v>
      </c>
      <c r="J168">
        <v>595</v>
      </c>
      <c r="K168">
        <v>505</v>
      </c>
      <c r="L168">
        <v>500</v>
      </c>
      <c r="M168">
        <v>419</v>
      </c>
      <c r="N168">
        <v>0</v>
      </c>
      <c r="O168">
        <v>3</v>
      </c>
      <c r="P168" t="s">
        <v>40</v>
      </c>
      <c r="Q168">
        <v>0</v>
      </c>
      <c r="R168">
        <v>3</v>
      </c>
      <c r="S168" t="s">
        <v>40</v>
      </c>
      <c r="T168">
        <v>9</v>
      </c>
      <c r="U168">
        <v>8</v>
      </c>
      <c r="V168">
        <v>5</v>
      </c>
      <c r="W168">
        <v>4</v>
      </c>
      <c r="X168">
        <v>15</v>
      </c>
      <c r="Y168">
        <v>16</v>
      </c>
      <c r="Z168">
        <v>6</v>
      </c>
      <c r="AA168">
        <v>1</v>
      </c>
      <c r="AB168">
        <v>2</v>
      </c>
      <c r="AC168">
        <v>0</v>
      </c>
      <c r="AD168">
        <v>0</v>
      </c>
      <c r="AE168">
        <v>0</v>
      </c>
    </row>
    <row r="169" spans="1:31" x14ac:dyDescent="0.25">
      <c r="A169" t="s">
        <v>31</v>
      </c>
      <c r="B169" s="2">
        <v>45648</v>
      </c>
      <c r="C169" t="s">
        <v>53</v>
      </c>
      <c r="D169" t="s">
        <v>33</v>
      </c>
      <c r="E169" t="s">
        <v>49</v>
      </c>
      <c r="F169">
        <v>2.2000000000000002</v>
      </c>
      <c r="G169">
        <v>1.6</v>
      </c>
      <c r="H169">
        <v>60</v>
      </c>
      <c r="I169">
        <v>40</v>
      </c>
      <c r="J169">
        <v>537</v>
      </c>
      <c r="K169">
        <v>365</v>
      </c>
      <c r="L169">
        <v>426</v>
      </c>
      <c r="M169">
        <v>267</v>
      </c>
      <c r="N169">
        <v>0</v>
      </c>
      <c r="O169">
        <v>3</v>
      </c>
      <c r="P169" t="s">
        <v>40</v>
      </c>
      <c r="Q169">
        <v>0</v>
      </c>
      <c r="R169">
        <v>1</v>
      </c>
      <c r="S169" t="s">
        <v>40</v>
      </c>
      <c r="T169">
        <v>23</v>
      </c>
      <c r="U169">
        <v>10</v>
      </c>
      <c r="V169">
        <v>7</v>
      </c>
      <c r="W169">
        <v>5</v>
      </c>
      <c r="X169">
        <v>11</v>
      </c>
      <c r="Y169">
        <v>11</v>
      </c>
      <c r="Z169">
        <v>13</v>
      </c>
      <c r="AA169">
        <v>1</v>
      </c>
      <c r="AB169">
        <v>1</v>
      </c>
      <c r="AC169">
        <v>3</v>
      </c>
      <c r="AD169">
        <v>0</v>
      </c>
      <c r="AE169">
        <v>0</v>
      </c>
    </row>
    <row r="170" spans="1:31" x14ac:dyDescent="0.25">
      <c r="A170" t="s">
        <v>31</v>
      </c>
      <c r="B170" s="2">
        <v>45648</v>
      </c>
      <c r="C170" t="s">
        <v>56</v>
      </c>
      <c r="D170" t="s">
        <v>60</v>
      </c>
      <c r="E170" t="s">
        <v>39</v>
      </c>
      <c r="F170">
        <v>1.3</v>
      </c>
      <c r="G170">
        <v>5.6</v>
      </c>
      <c r="H170">
        <v>52</v>
      </c>
      <c r="I170">
        <v>48</v>
      </c>
      <c r="J170">
        <v>589</v>
      </c>
      <c r="K170">
        <v>540</v>
      </c>
      <c r="L170">
        <v>490</v>
      </c>
      <c r="M170">
        <v>453</v>
      </c>
      <c r="N170">
        <v>3</v>
      </c>
      <c r="O170">
        <v>6</v>
      </c>
      <c r="P170" t="s">
        <v>40</v>
      </c>
      <c r="Q170">
        <v>1</v>
      </c>
      <c r="R170">
        <v>3</v>
      </c>
      <c r="S170" t="s">
        <v>40</v>
      </c>
      <c r="T170">
        <v>9</v>
      </c>
      <c r="U170">
        <v>24</v>
      </c>
      <c r="V170">
        <v>5</v>
      </c>
      <c r="W170">
        <v>12</v>
      </c>
      <c r="X170">
        <v>7</v>
      </c>
      <c r="Y170">
        <v>9</v>
      </c>
      <c r="Z170">
        <v>7</v>
      </c>
      <c r="AA170">
        <v>5</v>
      </c>
      <c r="AB170">
        <v>1</v>
      </c>
      <c r="AC170">
        <v>2</v>
      </c>
      <c r="AD170">
        <v>0</v>
      </c>
      <c r="AE170">
        <v>0</v>
      </c>
    </row>
    <row r="171" spans="1:31" x14ac:dyDescent="0.25">
      <c r="A171" t="s">
        <v>31</v>
      </c>
      <c r="B171" s="2">
        <v>45652</v>
      </c>
      <c r="C171" t="s">
        <v>37</v>
      </c>
      <c r="D171" t="s">
        <v>58</v>
      </c>
      <c r="E171" t="s">
        <v>44</v>
      </c>
      <c r="F171">
        <v>2.1</v>
      </c>
      <c r="G171">
        <v>0.7</v>
      </c>
      <c r="H171">
        <v>66</v>
      </c>
      <c r="I171">
        <v>34</v>
      </c>
      <c r="J171">
        <v>689</v>
      </c>
      <c r="K171">
        <v>354</v>
      </c>
      <c r="L171">
        <v>615</v>
      </c>
      <c r="M171">
        <v>281</v>
      </c>
      <c r="N171">
        <v>1</v>
      </c>
      <c r="O171">
        <v>1</v>
      </c>
      <c r="P171" t="s">
        <v>36</v>
      </c>
      <c r="Q171">
        <v>1</v>
      </c>
      <c r="R171">
        <v>1</v>
      </c>
      <c r="S171" t="s">
        <v>36</v>
      </c>
      <c r="T171">
        <v>24</v>
      </c>
      <c r="U171">
        <v>8</v>
      </c>
      <c r="V171">
        <v>5</v>
      </c>
      <c r="W171">
        <v>3</v>
      </c>
      <c r="X171">
        <v>5</v>
      </c>
      <c r="Y171">
        <v>10</v>
      </c>
      <c r="Z171">
        <v>8</v>
      </c>
      <c r="AA171">
        <v>5</v>
      </c>
      <c r="AB171">
        <v>1</v>
      </c>
      <c r="AC171">
        <v>4</v>
      </c>
      <c r="AD171">
        <v>0</v>
      </c>
      <c r="AE171">
        <v>0</v>
      </c>
    </row>
    <row r="172" spans="1:31" x14ac:dyDescent="0.25">
      <c r="A172" t="s">
        <v>31</v>
      </c>
      <c r="B172" s="2">
        <v>45652</v>
      </c>
      <c r="C172" t="s">
        <v>41</v>
      </c>
      <c r="D172" t="s">
        <v>49</v>
      </c>
      <c r="E172" t="s">
        <v>55</v>
      </c>
      <c r="F172">
        <v>1.4</v>
      </c>
      <c r="G172">
        <v>0.4</v>
      </c>
      <c r="H172">
        <v>52</v>
      </c>
      <c r="I172">
        <v>48</v>
      </c>
      <c r="J172">
        <v>512</v>
      </c>
      <c r="K172">
        <v>465</v>
      </c>
      <c r="L172">
        <v>405</v>
      </c>
      <c r="M172">
        <v>362</v>
      </c>
      <c r="N172">
        <v>0</v>
      </c>
      <c r="O172">
        <v>0</v>
      </c>
      <c r="P172" t="s">
        <v>36</v>
      </c>
      <c r="Q172">
        <v>0</v>
      </c>
      <c r="R172">
        <v>0</v>
      </c>
      <c r="S172" t="s">
        <v>36</v>
      </c>
      <c r="T172">
        <v>18</v>
      </c>
      <c r="U172">
        <v>10</v>
      </c>
      <c r="V172">
        <v>4</v>
      </c>
      <c r="W172">
        <v>4</v>
      </c>
      <c r="X172">
        <v>13</v>
      </c>
      <c r="Y172">
        <v>12</v>
      </c>
      <c r="Z172">
        <v>5</v>
      </c>
      <c r="AA172">
        <v>2</v>
      </c>
      <c r="AB172">
        <v>2</v>
      </c>
      <c r="AC172">
        <v>2</v>
      </c>
      <c r="AD172">
        <v>0</v>
      </c>
      <c r="AE172">
        <v>0</v>
      </c>
    </row>
    <row r="173" spans="1:31" x14ac:dyDescent="0.25">
      <c r="A173" t="s">
        <v>31</v>
      </c>
      <c r="B173" s="2">
        <v>45652</v>
      </c>
      <c r="C173" t="s">
        <v>41</v>
      </c>
      <c r="D173" t="s">
        <v>57</v>
      </c>
      <c r="E173" t="s">
        <v>34</v>
      </c>
      <c r="F173">
        <v>1.1000000000000001</v>
      </c>
      <c r="G173">
        <v>1.8</v>
      </c>
      <c r="H173">
        <v>47</v>
      </c>
      <c r="I173">
        <v>53</v>
      </c>
      <c r="J173">
        <v>543</v>
      </c>
      <c r="K173">
        <v>605</v>
      </c>
      <c r="L173">
        <v>443</v>
      </c>
      <c r="M173">
        <v>513</v>
      </c>
      <c r="N173">
        <v>1</v>
      </c>
      <c r="O173">
        <v>2</v>
      </c>
      <c r="P173" t="s">
        <v>40</v>
      </c>
      <c r="Q173">
        <v>1</v>
      </c>
      <c r="R173">
        <v>0</v>
      </c>
      <c r="S173" t="s">
        <v>35</v>
      </c>
      <c r="T173">
        <v>12</v>
      </c>
      <c r="U173">
        <v>14</v>
      </c>
      <c r="V173">
        <v>8</v>
      </c>
      <c r="W173">
        <v>7</v>
      </c>
      <c r="X173">
        <v>13</v>
      </c>
      <c r="Y173">
        <v>13</v>
      </c>
      <c r="Z173">
        <v>3</v>
      </c>
      <c r="AA173">
        <v>1</v>
      </c>
      <c r="AB173">
        <v>1</v>
      </c>
      <c r="AC173">
        <v>3</v>
      </c>
      <c r="AD173">
        <v>0</v>
      </c>
      <c r="AE173">
        <v>0</v>
      </c>
    </row>
    <row r="174" spans="1:31" x14ac:dyDescent="0.25">
      <c r="A174" t="s">
        <v>31</v>
      </c>
      <c r="B174" s="2">
        <v>45652</v>
      </c>
      <c r="C174" t="s">
        <v>41</v>
      </c>
      <c r="D174" t="s">
        <v>46</v>
      </c>
      <c r="E174" t="s">
        <v>52</v>
      </c>
      <c r="F174">
        <v>2.7</v>
      </c>
      <c r="G174">
        <v>0.3</v>
      </c>
      <c r="H174">
        <v>62</v>
      </c>
      <c r="I174">
        <v>38</v>
      </c>
      <c r="J174">
        <v>585</v>
      </c>
      <c r="K174">
        <v>353</v>
      </c>
      <c r="L174">
        <v>520</v>
      </c>
      <c r="M174">
        <v>267</v>
      </c>
      <c r="N174">
        <v>3</v>
      </c>
      <c r="O174">
        <v>0</v>
      </c>
      <c r="P174" t="s">
        <v>35</v>
      </c>
      <c r="Q174">
        <v>1</v>
      </c>
      <c r="R174">
        <v>0</v>
      </c>
      <c r="S174" t="s">
        <v>35</v>
      </c>
      <c r="T174">
        <v>22</v>
      </c>
      <c r="U174">
        <v>4</v>
      </c>
      <c r="V174">
        <v>8</v>
      </c>
      <c r="W174">
        <v>1</v>
      </c>
      <c r="X174">
        <v>15</v>
      </c>
      <c r="Y174">
        <v>10</v>
      </c>
      <c r="Z174">
        <v>9</v>
      </c>
      <c r="AA174">
        <v>6</v>
      </c>
      <c r="AB174">
        <v>2</v>
      </c>
      <c r="AC174">
        <v>1</v>
      </c>
      <c r="AD174">
        <v>0</v>
      </c>
      <c r="AE174">
        <v>1</v>
      </c>
    </row>
    <row r="175" spans="1:31" x14ac:dyDescent="0.25">
      <c r="A175" t="s">
        <v>31</v>
      </c>
      <c r="B175" s="2">
        <v>45652</v>
      </c>
      <c r="C175" t="s">
        <v>41</v>
      </c>
      <c r="D175" t="s">
        <v>48</v>
      </c>
      <c r="E175" t="s">
        <v>60</v>
      </c>
      <c r="F175">
        <v>1.1000000000000001</v>
      </c>
      <c r="G175">
        <v>0.9</v>
      </c>
      <c r="H175">
        <v>30</v>
      </c>
      <c r="I175">
        <v>70</v>
      </c>
      <c r="J175">
        <v>287</v>
      </c>
      <c r="K175">
        <v>662</v>
      </c>
      <c r="L175">
        <v>202</v>
      </c>
      <c r="M175">
        <v>567</v>
      </c>
      <c r="N175">
        <v>1</v>
      </c>
      <c r="O175">
        <v>0</v>
      </c>
      <c r="P175" t="s">
        <v>35</v>
      </c>
      <c r="Q175">
        <v>1</v>
      </c>
      <c r="R175">
        <v>0</v>
      </c>
      <c r="S175" t="s">
        <v>35</v>
      </c>
      <c r="T175">
        <v>10</v>
      </c>
      <c r="U175">
        <v>13</v>
      </c>
      <c r="V175">
        <v>3</v>
      </c>
      <c r="W175">
        <v>4</v>
      </c>
      <c r="X175">
        <v>12</v>
      </c>
      <c r="Y175">
        <v>13</v>
      </c>
      <c r="Z175">
        <v>2</v>
      </c>
      <c r="AA175">
        <v>7</v>
      </c>
      <c r="AB175">
        <v>3</v>
      </c>
      <c r="AC175">
        <v>2</v>
      </c>
      <c r="AD175">
        <v>0</v>
      </c>
      <c r="AE175">
        <v>1</v>
      </c>
    </row>
    <row r="176" spans="1:31" x14ac:dyDescent="0.25">
      <c r="A176" t="s">
        <v>31</v>
      </c>
      <c r="B176" s="2">
        <v>45652</v>
      </c>
      <c r="C176" t="s">
        <v>41</v>
      </c>
      <c r="D176" t="s">
        <v>47</v>
      </c>
      <c r="E176" t="s">
        <v>51</v>
      </c>
      <c r="F176">
        <v>1.4</v>
      </c>
      <c r="G176">
        <v>1.7</v>
      </c>
      <c r="H176">
        <v>54</v>
      </c>
      <c r="I176">
        <v>46</v>
      </c>
      <c r="J176">
        <v>519</v>
      </c>
      <c r="K176">
        <v>437</v>
      </c>
      <c r="L176">
        <v>429</v>
      </c>
      <c r="M176">
        <v>345</v>
      </c>
      <c r="N176">
        <v>0</v>
      </c>
      <c r="O176">
        <v>1</v>
      </c>
      <c r="P176" t="s">
        <v>40</v>
      </c>
      <c r="Q176">
        <v>0</v>
      </c>
      <c r="R176">
        <v>0</v>
      </c>
      <c r="S176" t="s">
        <v>36</v>
      </c>
      <c r="T176">
        <v>18</v>
      </c>
      <c r="U176">
        <v>16</v>
      </c>
      <c r="V176">
        <v>5</v>
      </c>
      <c r="W176">
        <v>2</v>
      </c>
      <c r="X176">
        <v>15</v>
      </c>
      <c r="Y176">
        <v>8</v>
      </c>
      <c r="Z176">
        <v>2</v>
      </c>
      <c r="AA176">
        <v>2</v>
      </c>
      <c r="AB176">
        <v>1</v>
      </c>
      <c r="AC176">
        <v>2</v>
      </c>
      <c r="AD176">
        <v>0</v>
      </c>
      <c r="AE176">
        <v>0</v>
      </c>
    </row>
    <row r="177" spans="1:31" x14ac:dyDescent="0.25">
      <c r="A177" t="s">
        <v>31</v>
      </c>
      <c r="B177" s="2">
        <v>45652</v>
      </c>
      <c r="C177" t="s">
        <v>50</v>
      </c>
      <c r="D177" t="s">
        <v>43</v>
      </c>
      <c r="E177" t="s">
        <v>33</v>
      </c>
      <c r="F177">
        <v>0.9</v>
      </c>
      <c r="G177">
        <v>0.4</v>
      </c>
      <c r="H177">
        <v>51</v>
      </c>
      <c r="I177">
        <v>49</v>
      </c>
      <c r="J177">
        <v>514</v>
      </c>
      <c r="K177">
        <v>501</v>
      </c>
      <c r="L177">
        <v>417</v>
      </c>
      <c r="M177">
        <v>391</v>
      </c>
      <c r="N177">
        <v>2</v>
      </c>
      <c r="O177">
        <v>0</v>
      </c>
      <c r="P177" t="s">
        <v>35</v>
      </c>
      <c r="Q177">
        <v>0</v>
      </c>
      <c r="R177">
        <v>0</v>
      </c>
      <c r="S177" t="s">
        <v>36</v>
      </c>
      <c r="T177">
        <v>7</v>
      </c>
      <c r="U177">
        <v>11</v>
      </c>
      <c r="V177">
        <v>4</v>
      </c>
      <c r="W177">
        <v>4</v>
      </c>
      <c r="X177">
        <v>12</v>
      </c>
      <c r="Y177">
        <v>12</v>
      </c>
      <c r="Z177">
        <v>4</v>
      </c>
      <c r="AA177">
        <v>4</v>
      </c>
      <c r="AB177">
        <v>2</v>
      </c>
      <c r="AC177">
        <v>2</v>
      </c>
      <c r="AD177">
        <v>0</v>
      </c>
      <c r="AE177">
        <v>1</v>
      </c>
    </row>
    <row r="178" spans="1:31" x14ac:dyDescent="0.25">
      <c r="A178" t="s">
        <v>31</v>
      </c>
      <c r="B178" s="2">
        <v>45652</v>
      </c>
      <c r="C178" t="s">
        <v>32</v>
      </c>
      <c r="D178" t="s">
        <v>39</v>
      </c>
      <c r="E178" t="s">
        <v>59</v>
      </c>
      <c r="F178">
        <v>2</v>
      </c>
      <c r="G178">
        <v>0.3</v>
      </c>
      <c r="H178">
        <v>68</v>
      </c>
      <c r="I178">
        <v>32</v>
      </c>
      <c r="J178">
        <v>721</v>
      </c>
      <c r="K178">
        <v>338</v>
      </c>
      <c r="L178">
        <v>621</v>
      </c>
      <c r="M178">
        <v>256</v>
      </c>
      <c r="N178">
        <v>3</v>
      </c>
      <c r="O178">
        <v>1</v>
      </c>
      <c r="P178" t="s">
        <v>35</v>
      </c>
      <c r="Q178">
        <v>1</v>
      </c>
      <c r="R178">
        <v>1</v>
      </c>
      <c r="S178" t="s">
        <v>36</v>
      </c>
      <c r="T178">
        <v>19</v>
      </c>
      <c r="U178">
        <v>4</v>
      </c>
      <c r="V178">
        <v>7</v>
      </c>
      <c r="W178">
        <v>1</v>
      </c>
      <c r="X178">
        <v>17</v>
      </c>
      <c r="Y178">
        <v>5</v>
      </c>
      <c r="Z178">
        <v>14</v>
      </c>
      <c r="AA178">
        <v>1</v>
      </c>
      <c r="AB178">
        <v>3</v>
      </c>
      <c r="AC178">
        <v>2</v>
      </c>
      <c r="AD178">
        <v>0</v>
      </c>
      <c r="AE178">
        <v>0</v>
      </c>
    </row>
    <row r="179" spans="1:31" x14ac:dyDescent="0.25">
      <c r="A179" t="s">
        <v>31</v>
      </c>
      <c r="B179" s="2">
        <v>45653</v>
      </c>
      <c r="C179" t="s">
        <v>63</v>
      </c>
      <c r="D179" t="s">
        <v>45</v>
      </c>
      <c r="E179" t="s">
        <v>54</v>
      </c>
      <c r="F179">
        <v>1.3</v>
      </c>
      <c r="G179">
        <v>1.1000000000000001</v>
      </c>
      <c r="H179">
        <v>57</v>
      </c>
      <c r="I179">
        <v>43</v>
      </c>
      <c r="J179">
        <v>529</v>
      </c>
      <c r="K179">
        <v>393</v>
      </c>
      <c r="L179">
        <v>421</v>
      </c>
      <c r="M179">
        <v>287</v>
      </c>
      <c r="N179">
        <v>0</v>
      </c>
      <c r="O179">
        <v>0</v>
      </c>
      <c r="P179" t="s">
        <v>36</v>
      </c>
      <c r="Q179">
        <v>0</v>
      </c>
      <c r="R179">
        <v>0</v>
      </c>
      <c r="S179" t="s">
        <v>36</v>
      </c>
      <c r="T179">
        <v>24</v>
      </c>
      <c r="U179">
        <v>8</v>
      </c>
      <c r="V179">
        <v>7</v>
      </c>
      <c r="W179">
        <v>3</v>
      </c>
      <c r="X179">
        <v>6</v>
      </c>
      <c r="Y179">
        <v>12</v>
      </c>
      <c r="Z179">
        <v>5</v>
      </c>
      <c r="AA179">
        <v>3</v>
      </c>
      <c r="AB179">
        <v>0</v>
      </c>
      <c r="AC179">
        <v>2</v>
      </c>
      <c r="AD179">
        <v>0</v>
      </c>
      <c r="AE179">
        <v>0</v>
      </c>
    </row>
    <row r="180" spans="1:31" x14ac:dyDescent="0.25">
      <c r="A180" t="s">
        <v>31</v>
      </c>
      <c r="B180" s="2">
        <v>45653</v>
      </c>
      <c r="C180" t="s">
        <v>64</v>
      </c>
      <c r="D180" t="s">
        <v>42</v>
      </c>
      <c r="E180" t="s">
        <v>38</v>
      </c>
      <c r="F180">
        <v>1.8</v>
      </c>
      <c r="G180">
        <v>0.2</v>
      </c>
      <c r="H180">
        <v>68</v>
      </c>
      <c r="I180">
        <v>32</v>
      </c>
      <c r="J180">
        <v>707</v>
      </c>
      <c r="K180">
        <v>339</v>
      </c>
      <c r="L180">
        <v>624</v>
      </c>
      <c r="M180">
        <v>264</v>
      </c>
      <c r="N180">
        <v>1</v>
      </c>
      <c r="O180">
        <v>0</v>
      </c>
      <c r="P180" t="s">
        <v>35</v>
      </c>
      <c r="Q180">
        <v>1</v>
      </c>
      <c r="R180">
        <v>0</v>
      </c>
      <c r="S180" t="s">
        <v>35</v>
      </c>
      <c r="T180">
        <v>13</v>
      </c>
      <c r="U180">
        <v>3</v>
      </c>
      <c r="V180">
        <v>5</v>
      </c>
      <c r="W180">
        <v>0</v>
      </c>
      <c r="X180">
        <v>7</v>
      </c>
      <c r="Y180">
        <v>12</v>
      </c>
      <c r="Z180">
        <v>5</v>
      </c>
      <c r="AA180">
        <v>1</v>
      </c>
      <c r="AB180">
        <v>1</v>
      </c>
      <c r="AC180">
        <v>1</v>
      </c>
      <c r="AD180">
        <v>0</v>
      </c>
      <c r="AE180">
        <v>0</v>
      </c>
    </row>
    <row r="181" spans="1:31" x14ac:dyDescent="0.25">
      <c r="A181" t="s">
        <v>31</v>
      </c>
      <c r="B181" s="2">
        <v>45655</v>
      </c>
      <c r="C181" t="s">
        <v>66</v>
      </c>
      <c r="D181" t="s">
        <v>59</v>
      </c>
      <c r="E181" t="s">
        <v>58</v>
      </c>
      <c r="F181">
        <v>1.3</v>
      </c>
      <c r="G181">
        <v>1.3</v>
      </c>
      <c r="H181">
        <v>53</v>
      </c>
      <c r="I181">
        <v>47</v>
      </c>
      <c r="J181">
        <v>618</v>
      </c>
      <c r="K181">
        <v>541</v>
      </c>
      <c r="L181">
        <v>561</v>
      </c>
      <c r="M181">
        <v>489</v>
      </c>
      <c r="N181">
        <v>0</v>
      </c>
      <c r="O181">
        <v>2</v>
      </c>
      <c r="P181" t="s">
        <v>40</v>
      </c>
      <c r="Q181">
        <v>0</v>
      </c>
      <c r="R181">
        <v>1</v>
      </c>
      <c r="S181" t="s">
        <v>40</v>
      </c>
      <c r="T181">
        <v>11</v>
      </c>
      <c r="U181">
        <v>14</v>
      </c>
      <c r="V181">
        <v>4</v>
      </c>
      <c r="W181">
        <v>5</v>
      </c>
      <c r="X181">
        <v>11</v>
      </c>
      <c r="Y181">
        <v>6</v>
      </c>
      <c r="Z181">
        <v>4</v>
      </c>
      <c r="AA181">
        <v>4</v>
      </c>
      <c r="AB181">
        <v>2</v>
      </c>
      <c r="AC181">
        <v>1</v>
      </c>
      <c r="AD181">
        <v>0</v>
      </c>
      <c r="AE181">
        <v>0</v>
      </c>
    </row>
    <row r="182" spans="1:31" x14ac:dyDescent="0.25">
      <c r="A182" t="s">
        <v>31</v>
      </c>
      <c r="B182" s="2">
        <v>45655</v>
      </c>
      <c r="C182" t="s">
        <v>41</v>
      </c>
      <c r="D182" t="s">
        <v>55</v>
      </c>
      <c r="E182" t="s">
        <v>47</v>
      </c>
      <c r="F182">
        <v>2</v>
      </c>
      <c r="G182">
        <v>0.9</v>
      </c>
      <c r="H182">
        <v>47</v>
      </c>
      <c r="I182">
        <v>53</v>
      </c>
      <c r="J182">
        <v>427</v>
      </c>
      <c r="K182">
        <v>483</v>
      </c>
      <c r="L182">
        <v>316</v>
      </c>
      <c r="M182">
        <v>375</v>
      </c>
      <c r="N182">
        <v>2</v>
      </c>
      <c r="O182">
        <v>1</v>
      </c>
      <c r="P182" t="s">
        <v>35</v>
      </c>
      <c r="Q182">
        <v>1</v>
      </c>
      <c r="R182">
        <v>1</v>
      </c>
      <c r="S182" t="s">
        <v>36</v>
      </c>
      <c r="T182">
        <v>19</v>
      </c>
      <c r="U182">
        <v>7</v>
      </c>
      <c r="V182">
        <v>10</v>
      </c>
      <c r="W182">
        <v>3</v>
      </c>
      <c r="X182">
        <v>18</v>
      </c>
      <c r="Y182">
        <v>19</v>
      </c>
      <c r="Z182">
        <v>8</v>
      </c>
      <c r="AA182">
        <v>7</v>
      </c>
      <c r="AB182">
        <v>2</v>
      </c>
      <c r="AC182">
        <v>3</v>
      </c>
      <c r="AD182">
        <v>0</v>
      </c>
      <c r="AE182">
        <v>0</v>
      </c>
    </row>
    <row r="183" spans="1:31" x14ac:dyDescent="0.25">
      <c r="A183" t="s">
        <v>31</v>
      </c>
      <c r="B183" s="2">
        <v>45655</v>
      </c>
      <c r="C183" t="s">
        <v>41</v>
      </c>
      <c r="D183" t="s">
        <v>44</v>
      </c>
      <c r="E183" t="s">
        <v>48</v>
      </c>
      <c r="F183">
        <v>0.9</v>
      </c>
      <c r="G183">
        <v>1.5</v>
      </c>
      <c r="H183">
        <v>64</v>
      </c>
      <c r="I183">
        <v>36</v>
      </c>
      <c r="J183">
        <v>564</v>
      </c>
      <c r="K183">
        <v>315</v>
      </c>
      <c r="L183">
        <v>440</v>
      </c>
      <c r="M183">
        <v>205</v>
      </c>
      <c r="N183">
        <v>0</v>
      </c>
      <c r="O183">
        <v>2</v>
      </c>
      <c r="P183" t="s">
        <v>40</v>
      </c>
      <c r="Q183">
        <v>0</v>
      </c>
      <c r="R183">
        <v>1</v>
      </c>
      <c r="S183" t="s">
        <v>40</v>
      </c>
      <c r="T183">
        <v>13</v>
      </c>
      <c r="U183">
        <v>11</v>
      </c>
      <c r="V183">
        <v>2</v>
      </c>
      <c r="W183">
        <v>7</v>
      </c>
      <c r="X183">
        <v>13</v>
      </c>
      <c r="Y183">
        <v>10</v>
      </c>
      <c r="Z183">
        <v>5</v>
      </c>
      <c r="AA183">
        <v>4</v>
      </c>
      <c r="AB183">
        <v>4</v>
      </c>
      <c r="AC183">
        <v>1</v>
      </c>
      <c r="AD183">
        <v>0</v>
      </c>
      <c r="AE183">
        <v>0</v>
      </c>
    </row>
    <row r="184" spans="1:31" x14ac:dyDescent="0.25">
      <c r="A184" t="s">
        <v>31</v>
      </c>
      <c r="B184" s="2">
        <v>45655</v>
      </c>
      <c r="C184" t="s">
        <v>41</v>
      </c>
      <c r="D184" t="s">
        <v>34</v>
      </c>
      <c r="E184" t="s">
        <v>49</v>
      </c>
      <c r="F184">
        <v>1.1000000000000001</v>
      </c>
      <c r="G184">
        <v>2</v>
      </c>
      <c r="H184">
        <v>52</v>
      </c>
      <c r="I184">
        <v>48</v>
      </c>
      <c r="J184">
        <v>528</v>
      </c>
      <c r="K184">
        <v>496</v>
      </c>
      <c r="L184">
        <v>417</v>
      </c>
      <c r="M184">
        <v>380</v>
      </c>
      <c r="N184">
        <v>2</v>
      </c>
      <c r="O184">
        <v>2</v>
      </c>
      <c r="P184" t="s">
        <v>36</v>
      </c>
      <c r="Q184">
        <v>1</v>
      </c>
      <c r="R184">
        <v>0</v>
      </c>
      <c r="S184" t="s">
        <v>35</v>
      </c>
      <c r="T184">
        <v>11</v>
      </c>
      <c r="U184">
        <v>16</v>
      </c>
      <c r="V184">
        <v>6</v>
      </c>
      <c r="W184">
        <v>9</v>
      </c>
      <c r="X184">
        <v>7</v>
      </c>
      <c r="Y184">
        <v>16</v>
      </c>
      <c r="Z184">
        <v>1</v>
      </c>
      <c r="AA184">
        <v>7</v>
      </c>
      <c r="AB184">
        <v>1</v>
      </c>
      <c r="AC184">
        <v>3</v>
      </c>
      <c r="AD184">
        <v>0</v>
      </c>
      <c r="AE184">
        <v>0</v>
      </c>
    </row>
    <row r="185" spans="1:31" x14ac:dyDescent="0.25">
      <c r="A185" t="s">
        <v>31</v>
      </c>
      <c r="B185" s="2">
        <v>45655</v>
      </c>
      <c r="C185" t="s">
        <v>41</v>
      </c>
      <c r="D185" t="s">
        <v>60</v>
      </c>
      <c r="E185" t="s">
        <v>43</v>
      </c>
      <c r="F185">
        <v>2.2000000000000002</v>
      </c>
      <c r="G185">
        <v>0.7</v>
      </c>
      <c r="H185">
        <v>48</v>
      </c>
      <c r="I185">
        <v>52</v>
      </c>
      <c r="J185">
        <v>459</v>
      </c>
      <c r="K185">
        <v>501</v>
      </c>
      <c r="L185">
        <v>349</v>
      </c>
      <c r="M185">
        <v>393</v>
      </c>
      <c r="N185">
        <v>2</v>
      </c>
      <c r="O185">
        <v>2</v>
      </c>
      <c r="P185" t="s">
        <v>36</v>
      </c>
      <c r="Q185">
        <v>2</v>
      </c>
      <c r="R185">
        <v>1</v>
      </c>
      <c r="S185" t="s">
        <v>35</v>
      </c>
      <c r="T185">
        <v>13</v>
      </c>
      <c r="U185">
        <v>11</v>
      </c>
      <c r="V185">
        <v>3</v>
      </c>
      <c r="W185">
        <v>3</v>
      </c>
      <c r="X185">
        <v>9</v>
      </c>
      <c r="Y185">
        <v>10</v>
      </c>
      <c r="Z185">
        <v>5</v>
      </c>
      <c r="AA185">
        <v>5</v>
      </c>
      <c r="AB185">
        <v>1</v>
      </c>
      <c r="AC185">
        <v>2</v>
      </c>
      <c r="AD185">
        <v>0</v>
      </c>
      <c r="AE185">
        <v>0</v>
      </c>
    </row>
    <row r="186" spans="1:31" x14ac:dyDescent="0.25">
      <c r="A186" t="s">
        <v>31</v>
      </c>
      <c r="B186" s="2">
        <v>45655</v>
      </c>
      <c r="C186" t="s">
        <v>67</v>
      </c>
      <c r="D186" t="s">
        <v>51</v>
      </c>
      <c r="E186" t="s">
        <v>39</v>
      </c>
      <c r="F186">
        <v>0.4</v>
      </c>
      <c r="G186">
        <v>3.1</v>
      </c>
      <c r="H186">
        <v>46</v>
      </c>
      <c r="I186">
        <v>54</v>
      </c>
      <c r="J186">
        <v>495</v>
      </c>
      <c r="K186">
        <v>579</v>
      </c>
      <c r="L186">
        <v>416</v>
      </c>
      <c r="M186">
        <v>497</v>
      </c>
      <c r="N186">
        <v>0</v>
      </c>
      <c r="O186">
        <v>5</v>
      </c>
      <c r="P186" t="s">
        <v>40</v>
      </c>
      <c r="Q186">
        <v>0</v>
      </c>
      <c r="R186">
        <v>3</v>
      </c>
      <c r="S186" t="s">
        <v>40</v>
      </c>
      <c r="T186">
        <v>7</v>
      </c>
      <c r="U186">
        <v>22</v>
      </c>
      <c r="V186">
        <v>0</v>
      </c>
      <c r="W186">
        <v>13</v>
      </c>
      <c r="X186">
        <v>7</v>
      </c>
      <c r="Y186">
        <v>10</v>
      </c>
      <c r="Z186">
        <v>3</v>
      </c>
      <c r="AA186">
        <v>6</v>
      </c>
      <c r="AB186">
        <v>0</v>
      </c>
      <c r="AC186">
        <v>0</v>
      </c>
      <c r="AD186">
        <v>0</v>
      </c>
      <c r="AE186">
        <v>0</v>
      </c>
    </row>
    <row r="187" spans="1:31" x14ac:dyDescent="0.25">
      <c r="A187" t="s">
        <v>31</v>
      </c>
      <c r="B187" s="2">
        <v>45656</v>
      </c>
      <c r="C187" t="s">
        <v>68</v>
      </c>
      <c r="D187" t="s">
        <v>52</v>
      </c>
      <c r="E187" t="s">
        <v>45</v>
      </c>
      <c r="F187">
        <v>1.8</v>
      </c>
      <c r="G187">
        <v>1.1000000000000001</v>
      </c>
      <c r="H187">
        <v>59</v>
      </c>
      <c r="I187">
        <v>41</v>
      </c>
      <c r="J187">
        <v>523</v>
      </c>
      <c r="K187">
        <v>357</v>
      </c>
      <c r="L187">
        <v>430</v>
      </c>
      <c r="M187">
        <v>280</v>
      </c>
      <c r="N187">
        <v>2</v>
      </c>
      <c r="O187">
        <v>2</v>
      </c>
      <c r="P187" t="s">
        <v>36</v>
      </c>
      <c r="Q187">
        <v>1</v>
      </c>
      <c r="R187">
        <v>1</v>
      </c>
      <c r="S187" t="s">
        <v>36</v>
      </c>
      <c r="T187">
        <v>20</v>
      </c>
      <c r="U187">
        <v>13</v>
      </c>
      <c r="V187">
        <v>4</v>
      </c>
      <c r="W187">
        <v>4</v>
      </c>
      <c r="X187">
        <v>9</v>
      </c>
      <c r="Y187">
        <v>14</v>
      </c>
      <c r="Z187">
        <v>12</v>
      </c>
      <c r="AA187">
        <v>3</v>
      </c>
      <c r="AB187">
        <v>2</v>
      </c>
      <c r="AC187">
        <v>3</v>
      </c>
      <c r="AD187">
        <v>0</v>
      </c>
      <c r="AE187">
        <v>0</v>
      </c>
    </row>
    <row r="188" spans="1:31" x14ac:dyDescent="0.25">
      <c r="A188" t="s">
        <v>31</v>
      </c>
      <c r="B188" s="2">
        <v>45656</v>
      </c>
      <c r="C188" t="s">
        <v>68</v>
      </c>
      <c r="D188" t="s">
        <v>38</v>
      </c>
      <c r="E188" t="s">
        <v>57</v>
      </c>
      <c r="F188">
        <v>1.6</v>
      </c>
      <c r="G188">
        <v>2</v>
      </c>
      <c r="H188">
        <v>24</v>
      </c>
      <c r="I188">
        <v>76</v>
      </c>
      <c r="J188">
        <v>249</v>
      </c>
      <c r="K188">
        <v>774</v>
      </c>
      <c r="L188">
        <v>157</v>
      </c>
      <c r="M188">
        <v>679</v>
      </c>
      <c r="N188">
        <v>2</v>
      </c>
      <c r="O188">
        <v>0</v>
      </c>
      <c r="P188" t="s">
        <v>35</v>
      </c>
      <c r="Q188">
        <v>1</v>
      </c>
      <c r="R188">
        <v>0</v>
      </c>
      <c r="S188" t="s">
        <v>35</v>
      </c>
      <c r="T188">
        <v>9</v>
      </c>
      <c r="U188">
        <v>20</v>
      </c>
      <c r="V188">
        <v>6</v>
      </c>
      <c r="W188">
        <v>5</v>
      </c>
      <c r="X188">
        <v>9</v>
      </c>
      <c r="Y188">
        <v>5</v>
      </c>
      <c r="Z188">
        <v>4</v>
      </c>
      <c r="AA188">
        <v>7</v>
      </c>
      <c r="AB188">
        <v>4</v>
      </c>
      <c r="AC188">
        <v>4</v>
      </c>
      <c r="AD188">
        <v>0</v>
      </c>
      <c r="AE188">
        <v>0</v>
      </c>
    </row>
    <row r="189" spans="1:31" x14ac:dyDescent="0.25">
      <c r="A189" t="s">
        <v>31</v>
      </c>
      <c r="B189" s="2">
        <v>45656</v>
      </c>
      <c r="C189" t="s">
        <v>32</v>
      </c>
      <c r="D189" t="s">
        <v>33</v>
      </c>
      <c r="E189" t="s">
        <v>46</v>
      </c>
      <c r="F189">
        <v>0.8</v>
      </c>
      <c r="G189">
        <v>1.9</v>
      </c>
      <c r="H189">
        <v>52</v>
      </c>
      <c r="I189">
        <v>48</v>
      </c>
      <c r="J189">
        <v>615</v>
      </c>
      <c r="K189">
        <v>558</v>
      </c>
      <c r="L189">
        <v>525</v>
      </c>
      <c r="M189">
        <v>471</v>
      </c>
      <c r="N189">
        <v>0</v>
      </c>
      <c r="O189">
        <v>2</v>
      </c>
      <c r="P189" t="s">
        <v>40</v>
      </c>
      <c r="Q189">
        <v>0</v>
      </c>
      <c r="R189">
        <v>2</v>
      </c>
      <c r="S189" t="s">
        <v>40</v>
      </c>
      <c r="T189">
        <v>10</v>
      </c>
      <c r="U189">
        <v>12</v>
      </c>
      <c r="V189">
        <v>0</v>
      </c>
      <c r="W189">
        <v>4</v>
      </c>
      <c r="X189">
        <v>13</v>
      </c>
      <c r="Y189">
        <v>8</v>
      </c>
      <c r="Z189">
        <v>2</v>
      </c>
      <c r="AA189">
        <v>3</v>
      </c>
      <c r="AB189">
        <v>1</v>
      </c>
      <c r="AC189">
        <v>1</v>
      </c>
      <c r="AD189">
        <v>0</v>
      </c>
      <c r="AE189">
        <v>0</v>
      </c>
    </row>
    <row r="190" spans="1:31" x14ac:dyDescent="0.25">
      <c r="A190" t="s">
        <v>31</v>
      </c>
      <c r="B190" s="2">
        <v>45658</v>
      </c>
      <c r="C190" t="s">
        <v>50</v>
      </c>
      <c r="D190" t="s">
        <v>54</v>
      </c>
      <c r="E190" t="s">
        <v>42</v>
      </c>
      <c r="F190">
        <v>0.3</v>
      </c>
      <c r="G190">
        <v>1.9</v>
      </c>
      <c r="H190">
        <v>50</v>
      </c>
      <c r="I190">
        <v>50</v>
      </c>
      <c r="J190">
        <v>511</v>
      </c>
      <c r="K190">
        <v>506</v>
      </c>
      <c r="L190">
        <v>411</v>
      </c>
      <c r="M190">
        <v>407</v>
      </c>
      <c r="N190">
        <v>1</v>
      </c>
      <c r="O190">
        <v>3</v>
      </c>
      <c r="P190" t="s">
        <v>40</v>
      </c>
      <c r="Q190">
        <v>1</v>
      </c>
      <c r="R190">
        <v>1</v>
      </c>
      <c r="S190" t="s">
        <v>36</v>
      </c>
      <c r="T190">
        <v>5</v>
      </c>
      <c r="U190">
        <v>14</v>
      </c>
      <c r="V190">
        <v>2</v>
      </c>
      <c r="W190">
        <v>5</v>
      </c>
      <c r="X190">
        <v>6</v>
      </c>
      <c r="Y190">
        <v>8</v>
      </c>
      <c r="Z190">
        <v>4</v>
      </c>
      <c r="AA190">
        <v>3</v>
      </c>
      <c r="AB190">
        <v>1</v>
      </c>
      <c r="AC190">
        <v>2</v>
      </c>
      <c r="AD190">
        <v>0</v>
      </c>
      <c r="AE190">
        <v>0</v>
      </c>
    </row>
    <row r="191" spans="1:31" x14ac:dyDescent="0.25">
      <c r="A191" t="s">
        <v>31</v>
      </c>
      <c r="B191" s="2">
        <v>45661</v>
      </c>
      <c r="C191" t="s">
        <v>37</v>
      </c>
      <c r="D191" t="s">
        <v>60</v>
      </c>
      <c r="E191" t="s">
        <v>46</v>
      </c>
      <c r="F191">
        <v>0.9</v>
      </c>
      <c r="G191">
        <v>2.5</v>
      </c>
      <c r="H191">
        <v>56</v>
      </c>
      <c r="I191">
        <v>44</v>
      </c>
      <c r="J191">
        <v>512</v>
      </c>
      <c r="K191">
        <v>400</v>
      </c>
      <c r="L191">
        <v>397</v>
      </c>
      <c r="M191">
        <v>308</v>
      </c>
      <c r="N191">
        <v>1</v>
      </c>
      <c r="O191">
        <v>2</v>
      </c>
      <c r="P191" t="s">
        <v>40</v>
      </c>
      <c r="Q191">
        <v>1</v>
      </c>
      <c r="R191">
        <v>2</v>
      </c>
      <c r="S191" t="s">
        <v>40</v>
      </c>
      <c r="T191">
        <v>13</v>
      </c>
      <c r="U191">
        <v>14</v>
      </c>
      <c r="V191">
        <v>4</v>
      </c>
      <c r="W191">
        <v>4</v>
      </c>
      <c r="X191">
        <v>11</v>
      </c>
      <c r="Y191">
        <v>15</v>
      </c>
      <c r="Z191">
        <v>9</v>
      </c>
      <c r="AA191">
        <v>10</v>
      </c>
      <c r="AB191">
        <v>1</v>
      </c>
      <c r="AC191">
        <v>4</v>
      </c>
      <c r="AD191">
        <v>0</v>
      </c>
      <c r="AE191">
        <v>0</v>
      </c>
    </row>
    <row r="192" spans="1:31" x14ac:dyDescent="0.25">
      <c r="A192" t="s">
        <v>31</v>
      </c>
      <c r="B192" s="2">
        <v>45661</v>
      </c>
      <c r="C192" t="s">
        <v>41</v>
      </c>
      <c r="D192" t="s">
        <v>52</v>
      </c>
      <c r="E192" t="s">
        <v>59</v>
      </c>
      <c r="F192">
        <v>1.4</v>
      </c>
      <c r="G192">
        <v>0.4</v>
      </c>
      <c r="H192">
        <v>60</v>
      </c>
      <c r="I192">
        <v>40</v>
      </c>
      <c r="J192">
        <v>657</v>
      </c>
      <c r="K192">
        <v>430</v>
      </c>
      <c r="L192">
        <v>574</v>
      </c>
      <c r="M192">
        <v>352</v>
      </c>
      <c r="N192">
        <v>2</v>
      </c>
      <c r="O192">
        <v>1</v>
      </c>
      <c r="P192" t="s">
        <v>35</v>
      </c>
      <c r="Q192">
        <v>0</v>
      </c>
      <c r="R192">
        <v>0</v>
      </c>
      <c r="S192" t="s">
        <v>36</v>
      </c>
      <c r="T192">
        <v>13</v>
      </c>
      <c r="U192">
        <v>4</v>
      </c>
      <c r="V192">
        <v>5</v>
      </c>
      <c r="W192">
        <v>2</v>
      </c>
      <c r="X192">
        <v>10</v>
      </c>
      <c r="Y192">
        <v>11</v>
      </c>
      <c r="Z192">
        <v>7</v>
      </c>
      <c r="AA192">
        <v>2</v>
      </c>
      <c r="AB192">
        <v>0</v>
      </c>
      <c r="AC192">
        <v>1</v>
      </c>
      <c r="AD192">
        <v>0</v>
      </c>
      <c r="AE192">
        <v>0</v>
      </c>
    </row>
    <row r="193" spans="1:31" x14ac:dyDescent="0.25">
      <c r="A193" t="s">
        <v>31</v>
      </c>
      <c r="B193" s="2">
        <v>45661</v>
      </c>
      <c r="C193" t="s">
        <v>41</v>
      </c>
      <c r="D193" t="s">
        <v>49</v>
      </c>
      <c r="E193" t="s">
        <v>44</v>
      </c>
      <c r="F193">
        <v>1.8</v>
      </c>
      <c r="G193">
        <v>0.7</v>
      </c>
      <c r="H193">
        <v>58</v>
      </c>
      <c r="I193">
        <v>42</v>
      </c>
      <c r="J193">
        <v>502</v>
      </c>
      <c r="K193">
        <v>371</v>
      </c>
      <c r="L193">
        <v>369</v>
      </c>
      <c r="M193">
        <v>239</v>
      </c>
      <c r="N193">
        <v>1</v>
      </c>
      <c r="O193">
        <v>0</v>
      </c>
      <c r="P193" t="s">
        <v>35</v>
      </c>
      <c r="Q193">
        <v>0</v>
      </c>
      <c r="R193">
        <v>0</v>
      </c>
      <c r="S193" t="s">
        <v>36</v>
      </c>
      <c r="T193">
        <v>19</v>
      </c>
      <c r="U193">
        <v>9</v>
      </c>
      <c r="V193">
        <v>8</v>
      </c>
      <c r="W193">
        <v>0</v>
      </c>
      <c r="X193">
        <v>15</v>
      </c>
      <c r="Y193">
        <v>14</v>
      </c>
      <c r="Z193">
        <v>9</v>
      </c>
      <c r="AA193">
        <v>3</v>
      </c>
      <c r="AB193">
        <v>2</v>
      </c>
      <c r="AC193">
        <v>2</v>
      </c>
      <c r="AD193">
        <v>0</v>
      </c>
      <c r="AE193">
        <v>0</v>
      </c>
    </row>
    <row r="194" spans="1:31" x14ac:dyDescent="0.25">
      <c r="A194" t="s">
        <v>31</v>
      </c>
      <c r="B194" s="2">
        <v>45661</v>
      </c>
      <c r="C194" t="s">
        <v>41</v>
      </c>
      <c r="D194" t="s">
        <v>55</v>
      </c>
      <c r="E194" t="s">
        <v>57</v>
      </c>
      <c r="F194">
        <v>1.1000000000000001</v>
      </c>
      <c r="G194">
        <v>1.2</v>
      </c>
      <c r="H194">
        <v>39</v>
      </c>
      <c r="I194">
        <v>61</v>
      </c>
      <c r="J194">
        <v>385</v>
      </c>
      <c r="K194">
        <v>608</v>
      </c>
      <c r="L194">
        <v>283</v>
      </c>
      <c r="M194">
        <v>516</v>
      </c>
      <c r="N194">
        <v>1</v>
      </c>
      <c r="O194">
        <v>1</v>
      </c>
      <c r="P194" t="s">
        <v>36</v>
      </c>
      <c r="Q194">
        <v>0</v>
      </c>
      <c r="R194">
        <v>1</v>
      </c>
      <c r="S194" t="s">
        <v>40</v>
      </c>
      <c r="T194">
        <v>13</v>
      </c>
      <c r="U194">
        <v>15</v>
      </c>
      <c r="V194">
        <v>6</v>
      </c>
      <c r="W194">
        <v>1</v>
      </c>
      <c r="X194">
        <v>9</v>
      </c>
      <c r="Y194">
        <v>12</v>
      </c>
      <c r="Z194">
        <v>6</v>
      </c>
      <c r="AA194">
        <v>6</v>
      </c>
      <c r="AB194">
        <v>0</v>
      </c>
      <c r="AC194">
        <v>2</v>
      </c>
      <c r="AD194">
        <v>0</v>
      </c>
      <c r="AE194">
        <v>0</v>
      </c>
    </row>
    <row r="195" spans="1:31" x14ac:dyDescent="0.25">
      <c r="A195" t="s">
        <v>31</v>
      </c>
      <c r="B195" s="2">
        <v>45661</v>
      </c>
      <c r="C195" t="s">
        <v>41</v>
      </c>
      <c r="D195" t="s">
        <v>58</v>
      </c>
      <c r="E195" t="s">
        <v>51</v>
      </c>
      <c r="F195">
        <v>1.9</v>
      </c>
      <c r="G195">
        <v>1.4</v>
      </c>
      <c r="H195">
        <v>56</v>
      </c>
      <c r="I195">
        <v>44</v>
      </c>
      <c r="J195">
        <v>583</v>
      </c>
      <c r="K195">
        <v>465</v>
      </c>
      <c r="L195">
        <v>510</v>
      </c>
      <c r="M195">
        <v>394</v>
      </c>
      <c r="N195">
        <v>4</v>
      </c>
      <c r="O195">
        <v>1</v>
      </c>
      <c r="P195" t="s">
        <v>35</v>
      </c>
      <c r="Q195">
        <v>2</v>
      </c>
      <c r="R195">
        <v>0</v>
      </c>
      <c r="S195" t="s">
        <v>35</v>
      </c>
      <c r="T195">
        <v>10</v>
      </c>
      <c r="U195">
        <v>17</v>
      </c>
      <c r="V195">
        <v>7</v>
      </c>
      <c r="W195">
        <v>4</v>
      </c>
      <c r="X195">
        <v>8</v>
      </c>
      <c r="Y195">
        <v>13</v>
      </c>
      <c r="Z195">
        <v>7</v>
      </c>
      <c r="AA195">
        <v>1</v>
      </c>
      <c r="AB195">
        <v>2</v>
      </c>
      <c r="AC195">
        <v>1</v>
      </c>
      <c r="AD195">
        <v>0</v>
      </c>
      <c r="AE195">
        <v>0</v>
      </c>
    </row>
    <row r="196" spans="1:31" x14ac:dyDescent="0.25">
      <c r="A196" t="s">
        <v>31</v>
      </c>
      <c r="B196" s="2">
        <v>45661</v>
      </c>
      <c r="C196" t="s">
        <v>41</v>
      </c>
      <c r="D196" t="s">
        <v>47</v>
      </c>
      <c r="E196" t="s">
        <v>54</v>
      </c>
      <c r="F196">
        <v>0.3</v>
      </c>
      <c r="G196">
        <v>4.4000000000000004</v>
      </c>
      <c r="H196">
        <v>50</v>
      </c>
      <c r="I196">
        <v>50</v>
      </c>
      <c r="J196">
        <v>494</v>
      </c>
      <c r="K196">
        <v>487</v>
      </c>
      <c r="L196">
        <v>412</v>
      </c>
      <c r="M196">
        <v>409</v>
      </c>
      <c r="N196">
        <v>0</v>
      </c>
      <c r="O196">
        <v>5</v>
      </c>
      <c r="P196" t="s">
        <v>40</v>
      </c>
      <c r="Q196">
        <v>0</v>
      </c>
      <c r="R196">
        <v>1</v>
      </c>
      <c r="S196" t="s">
        <v>40</v>
      </c>
      <c r="T196">
        <v>8</v>
      </c>
      <c r="U196">
        <v>20</v>
      </c>
      <c r="V196">
        <v>1</v>
      </c>
      <c r="W196">
        <v>11</v>
      </c>
      <c r="X196">
        <v>10</v>
      </c>
      <c r="Y196">
        <v>4</v>
      </c>
      <c r="Z196">
        <v>2</v>
      </c>
      <c r="AA196">
        <v>2</v>
      </c>
      <c r="AB196">
        <v>2</v>
      </c>
      <c r="AC196">
        <v>0</v>
      </c>
      <c r="AD196">
        <v>0</v>
      </c>
      <c r="AE196">
        <v>0</v>
      </c>
    </row>
    <row r="197" spans="1:31" x14ac:dyDescent="0.25">
      <c r="A197" t="s">
        <v>31</v>
      </c>
      <c r="B197" s="2">
        <v>45661</v>
      </c>
      <c r="C197" t="s">
        <v>50</v>
      </c>
      <c r="D197" t="s">
        <v>45</v>
      </c>
      <c r="E197" t="s">
        <v>42</v>
      </c>
      <c r="F197">
        <v>1.5</v>
      </c>
      <c r="G197">
        <v>0.9</v>
      </c>
      <c r="H197">
        <v>45</v>
      </c>
      <c r="I197">
        <v>55</v>
      </c>
      <c r="J197">
        <v>451</v>
      </c>
      <c r="K197">
        <v>555</v>
      </c>
      <c r="L197">
        <v>379</v>
      </c>
      <c r="M197">
        <v>473</v>
      </c>
      <c r="N197">
        <v>1</v>
      </c>
      <c r="O197">
        <v>1</v>
      </c>
      <c r="P197" t="s">
        <v>36</v>
      </c>
      <c r="Q197">
        <v>0</v>
      </c>
      <c r="R197">
        <v>1</v>
      </c>
      <c r="S197" t="s">
        <v>40</v>
      </c>
      <c r="T197">
        <v>11</v>
      </c>
      <c r="U197">
        <v>9</v>
      </c>
      <c r="V197">
        <v>4</v>
      </c>
      <c r="W197">
        <v>3</v>
      </c>
      <c r="X197">
        <v>17</v>
      </c>
      <c r="Y197">
        <v>14</v>
      </c>
      <c r="Z197">
        <v>2</v>
      </c>
      <c r="AA197">
        <v>5</v>
      </c>
      <c r="AB197">
        <v>2</v>
      </c>
      <c r="AC197">
        <v>3</v>
      </c>
      <c r="AD197">
        <v>0</v>
      </c>
      <c r="AE197">
        <v>0</v>
      </c>
    </row>
    <row r="198" spans="1:31" x14ac:dyDescent="0.25">
      <c r="A198" t="s">
        <v>31</v>
      </c>
      <c r="B198" s="2">
        <v>45662</v>
      </c>
      <c r="C198" t="s">
        <v>53</v>
      </c>
      <c r="D198" t="s">
        <v>34</v>
      </c>
      <c r="E198" t="s">
        <v>38</v>
      </c>
      <c r="F198">
        <v>2.2000000000000002</v>
      </c>
      <c r="G198">
        <v>1.5</v>
      </c>
      <c r="H198">
        <v>73</v>
      </c>
      <c r="I198">
        <v>27</v>
      </c>
      <c r="J198">
        <v>745</v>
      </c>
      <c r="K198">
        <v>282</v>
      </c>
      <c r="L198">
        <v>633</v>
      </c>
      <c r="M198">
        <v>206</v>
      </c>
      <c r="N198">
        <v>2</v>
      </c>
      <c r="O198">
        <v>2</v>
      </c>
      <c r="P198" t="s">
        <v>36</v>
      </c>
      <c r="Q198">
        <v>0</v>
      </c>
      <c r="R198">
        <v>1</v>
      </c>
      <c r="S198" t="s">
        <v>40</v>
      </c>
      <c r="T198">
        <v>15</v>
      </c>
      <c r="U198">
        <v>7</v>
      </c>
      <c r="V198">
        <v>4</v>
      </c>
      <c r="W198">
        <v>3</v>
      </c>
      <c r="X198">
        <v>10</v>
      </c>
      <c r="Y198">
        <v>14</v>
      </c>
      <c r="Z198">
        <v>9</v>
      </c>
      <c r="AA198">
        <v>2</v>
      </c>
      <c r="AB198">
        <v>1</v>
      </c>
      <c r="AC198">
        <v>5</v>
      </c>
      <c r="AD198">
        <v>0</v>
      </c>
      <c r="AE198">
        <v>0</v>
      </c>
    </row>
    <row r="199" spans="1:31" x14ac:dyDescent="0.25">
      <c r="A199" t="s">
        <v>31</v>
      </c>
      <c r="B199" s="2">
        <v>45662</v>
      </c>
      <c r="C199" t="s">
        <v>56</v>
      </c>
      <c r="D199" t="s">
        <v>39</v>
      </c>
      <c r="E199" t="s">
        <v>33</v>
      </c>
      <c r="F199">
        <v>2.7</v>
      </c>
      <c r="G199">
        <v>1</v>
      </c>
      <c r="H199">
        <v>53</v>
      </c>
      <c r="I199">
        <v>47</v>
      </c>
      <c r="J199">
        <v>477</v>
      </c>
      <c r="K199">
        <v>427</v>
      </c>
      <c r="L199">
        <v>388</v>
      </c>
      <c r="M199">
        <v>307</v>
      </c>
      <c r="N199">
        <v>2</v>
      </c>
      <c r="O199">
        <v>2</v>
      </c>
      <c r="P199" t="s">
        <v>36</v>
      </c>
      <c r="Q199">
        <v>0</v>
      </c>
      <c r="R199">
        <v>0</v>
      </c>
      <c r="S199" t="s">
        <v>36</v>
      </c>
      <c r="T199">
        <v>19</v>
      </c>
      <c r="U199">
        <v>13</v>
      </c>
      <c r="V199">
        <v>6</v>
      </c>
      <c r="W199">
        <v>4</v>
      </c>
      <c r="X199">
        <v>10</v>
      </c>
      <c r="Y199">
        <v>13</v>
      </c>
      <c r="Z199">
        <v>6</v>
      </c>
      <c r="AA199">
        <v>9</v>
      </c>
      <c r="AB199">
        <v>2</v>
      </c>
      <c r="AC199">
        <v>4</v>
      </c>
      <c r="AD199">
        <v>0</v>
      </c>
      <c r="AE199">
        <v>0</v>
      </c>
    </row>
    <row r="200" spans="1:31" x14ac:dyDescent="0.25">
      <c r="A200" t="s">
        <v>31</v>
      </c>
      <c r="B200" s="2">
        <v>45663</v>
      </c>
      <c r="C200" t="s">
        <v>32</v>
      </c>
      <c r="D200" t="s">
        <v>43</v>
      </c>
      <c r="E200" t="s">
        <v>48</v>
      </c>
      <c r="F200">
        <v>1.5</v>
      </c>
      <c r="G200">
        <v>2.1</v>
      </c>
      <c r="H200">
        <v>60</v>
      </c>
      <c r="I200">
        <v>40</v>
      </c>
      <c r="J200">
        <v>600</v>
      </c>
      <c r="K200">
        <v>393</v>
      </c>
      <c r="L200">
        <v>491</v>
      </c>
      <c r="M200">
        <v>299</v>
      </c>
      <c r="N200">
        <v>0</v>
      </c>
      <c r="O200">
        <v>3</v>
      </c>
      <c r="P200" t="s">
        <v>40</v>
      </c>
      <c r="Q200">
        <v>0</v>
      </c>
      <c r="R200">
        <v>2</v>
      </c>
      <c r="S200" t="s">
        <v>40</v>
      </c>
      <c r="T200">
        <v>13</v>
      </c>
      <c r="U200">
        <v>11</v>
      </c>
      <c r="V200">
        <v>6</v>
      </c>
      <c r="W200">
        <v>3</v>
      </c>
      <c r="X200">
        <v>10</v>
      </c>
      <c r="Y200">
        <v>8</v>
      </c>
      <c r="Z200">
        <v>5</v>
      </c>
      <c r="AA200">
        <v>3</v>
      </c>
      <c r="AB200">
        <v>1</v>
      </c>
      <c r="AC200">
        <v>2</v>
      </c>
      <c r="AD200">
        <v>0</v>
      </c>
      <c r="AE200">
        <v>0</v>
      </c>
    </row>
    <row r="201" spans="1:31" x14ac:dyDescent="0.25">
      <c r="A201" t="s">
        <v>31</v>
      </c>
      <c r="B201" s="2">
        <v>45671</v>
      </c>
      <c r="C201" t="s">
        <v>63</v>
      </c>
      <c r="D201" t="s">
        <v>54</v>
      </c>
      <c r="E201" t="s">
        <v>58</v>
      </c>
      <c r="F201">
        <v>2.5</v>
      </c>
      <c r="G201">
        <v>2.2000000000000002</v>
      </c>
      <c r="H201">
        <v>45</v>
      </c>
      <c r="I201">
        <v>55</v>
      </c>
      <c r="J201">
        <v>456</v>
      </c>
      <c r="K201">
        <v>557</v>
      </c>
      <c r="L201">
        <v>354</v>
      </c>
      <c r="M201">
        <v>472</v>
      </c>
      <c r="N201">
        <v>2</v>
      </c>
      <c r="O201">
        <v>2</v>
      </c>
      <c r="P201" t="s">
        <v>36</v>
      </c>
      <c r="Q201">
        <v>0</v>
      </c>
      <c r="R201">
        <v>0</v>
      </c>
      <c r="S201" t="s">
        <v>36</v>
      </c>
      <c r="T201">
        <v>18</v>
      </c>
      <c r="U201">
        <v>21</v>
      </c>
      <c r="V201">
        <v>6</v>
      </c>
      <c r="W201">
        <v>8</v>
      </c>
      <c r="X201">
        <v>4</v>
      </c>
      <c r="Y201">
        <v>4</v>
      </c>
      <c r="Z201">
        <v>4</v>
      </c>
      <c r="AA201">
        <v>5</v>
      </c>
      <c r="AB201">
        <v>0</v>
      </c>
      <c r="AC201">
        <v>0</v>
      </c>
      <c r="AD201">
        <v>0</v>
      </c>
      <c r="AE201">
        <v>0</v>
      </c>
    </row>
    <row r="202" spans="1:31" x14ac:dyDescent="0.25">
      <c r="A202" t="s">
        <v>31</v>
      </c>
      <c r="B202" s="2">
        <v>45671</v>
      </c>
      <c r="C202" t="s">
        <v>63</v>
      </c>
      <c r="D202" t="s">
        <v>57</v>
      </c>
      <c r="E202" t="s">
        <v>49</v>
      </c>
      <c r="F202">
        <v>2.5</v>
      </c>
      <c r="G202">
        <v>1.2</v>
      </c>
      <c r="H202">
        <v>57</v>
      </c>
      <c r="I202">
        <v>43</v>
      </c>
      <c r="J202">
        <v>470</v>
      </c>
      <c r="K202">
        <v>358</v>
      </c>
      <c r="L202">
        <v>382</v>
      </c>
      <c r="M202">
        <v>273</v>
      </c>
      <c r="N202">
        <v>2</v>
      </c>
      <c r="O202">
        <v>2</v>
      </c>
      <c r="P202" t="s">
        <v>36</v>
      </c>
      <c r="Q202">
        <v>1</v>
      </c>
      <c r="R202">
        <v>0</v>
      </c>
      <c r="S202" t="s">
        <v>35</v>
      </c>
      <c r="T202">
        <v>26</v>
      </c>
      <c r="U202">
        <v>7</v>
      </c>
      <c r="V202">
        <v>10</v>
      </c>
      <c r="W202">
        <v>3</v>
      </c>
      <c r="X202">
        <v>15</v>
      </c>
      <c r="Y202">
        <v>16</v>
      </c>
      <c r="Z202">
        <v>9</v>
      </c>
      <c r="AA202">
        <v>3</v>
      </c>
      <c r="AB202">
        <v>2</v>
      </c>
      <c r="AC202">
        <v>3</v>
      </c>
      <c r="AD202">
        <v>0</v>
      </c>
      <c r="AE202">
        <v>0</v>
      </c>
    </row>
    <row r="203" spans="1:31" x14ac:dyDescent="0.25">
      <c r="A203" t="s">
        <v>31</v>
      </c>
      <c r="B203" s="2">
        <v>45671</v>
      </c>
      <c r="C203" t="s">
        <v>63</v>
      </c>
      <c r="D203" t="s">
        <v>51</v>
      </c>
      <c r="E203" t="s">
        <v>34</v>
      </c>
      <c r="F203">
        <v>1</v>
      </c>
      <c r="G203">
        <v>1.7</v>
      </c>
      <c r="H203">
        <v>44</v>
      </c>
      <c r="I203">
        <v>56</v>
      </c>
      <c r="J203">
        <v>442</v>
      </c>
      <c r="K203">
        <v>573</v>
      </c>
      <c r="L203">
        <v>356</v>
      </c>
      <c r="M203">
        <v>478</v>
      </c>
      <c r="N203">
        <v>3</v>
      </c>
      <c r="O203">
        <v>2</v>
      </c>
      <c r="P203" t="s">
        <v>35</v>
      </c>
      <c r="Q203">
        <v>2</v>
      </c>
      <c r="R203">
        <v>0</v>
      </c>
      <c r="S203" t="s">
        <v>35</v>
      </c>
      <c r="T203">
        <v>4</v>
      </c>
      <c r="U203">
        <v>21</v>
      </c>
      <c r="V203">
        <v>3</v>
      </c>
      <c r="W203">
        <v>5</v>
      </c>
      <c r="X203">
        <v>9</v>
      </c>
      <c r="Y203">
        <v>18</v>
      </c>
      <c r="Z203">
        <v>0</v>
      </c>
      <c r="AA203">
        <v>3</v>
      </c>
      <c r="AB203">
        <v>3</v>
      </c>
      <c r="AC203">
        <v>3</v>
      </c>
      <c r="AD203">
        <v>0</v>
      </c>
      <c r="AE203">
        <v>0</v>
      </c>
    </row>
    <row r="204" spans="1:31" x14ac:dyDescent="0.25">
      <c r="A204" t="s">
        <v>31</v>
      </c>
      <c r="B204" s="2">
        <v>45671</v>
      </c>
      <c r="C204" t="s">
        <v>32</v>
      </c>
      <c r="D204" t="s">
        <v>48</v>
      </c>
      <c r="E204" t="s">
        <v>39</v>
      </c>
      <c r="F204">
        <v>0.3</v>
      </c>
      <c r="G204">
        <v>2</v>
      </c>
      <c r="H204">
        <v>30</v>
      </c>
      <c r="I204">
        <v>70</v>
      </c>
      <c r="J204">
        <v>268</v>
      </c>
      <c r="K204">
        <v>617</v>
      </c>
      <c r="L204">
        <v>168</v>
      </c>
      <c r="M204">
        <v>508</v>
      </c>
      <c r="N204">
        <v>1</v>
      </c>
      <c r="O204">
        <v>1</v>
      </c>
      <c r="P204" t="s">
        <v>36</v>
      </c>
      <c r="Q204">
        <v>1</v>
      </c>
      <c r="R204">
        <v>0</v>
      </c>
      <c r="S204" t="s">
        <v>35</v>
      </c>
      <c r="T204">
        <v>6</v>
      </c>
      <c r="U204">
        <v>23</v>
      </c>
      <c r="V204">
        <v>3</v>
      </c>
      <c r="W204">
        <v>7</v>
      </c>
      <c r="X204">
        <v>7</v>
      </c>
      <c r="Y204">
        <v>10</v>
      </c>
      <c r="Z204">
        <v>0</v>
      </c>
      <c r="AA204">
        <v>9</v>
      </c>
      <c r="AB204">
        <v>2</v>
      </c>
      <c r="AC204">
        <v>1</v>
      </c>
      <c r="AD204">
        <v>0</v>
      </c>
      <c r="AE204">
        <v>0</v>
      </c>
    </row>
    <row r="205" spans="1:31" x14ac:dyDescent="0.25">
      <c r="A205" t="s">
        <v>31</v>
      </c>
      <c r="B205" s="2">
        <v>45672</v>
      </c>
      <c r="C205" t="s">
        <v>63</v>
      </c>
      <c r="D205" t="s">
        <v>44</v>
      </c>
      <c r="E205" t="s">
        <v>52</v>
      </c>
      <c r="F205">
        <v>1.1000000000000001</v>
      </c>
      <c r="G205">
        <v>1.2</v>
      </c>
      <c r="H205">
        <v>50</v>
      </c>
      <c r="I205">
        <v>50</v>
      </c>
      <c r="J205">
        <v>468</v>
      </c>
      <c r="K205">
        <v>465</v>
      </c>
      <c r="L205">
        <v>363</v>
      </c>
      <c r="M205">
        <v>368</v>
      </c>
      <c r="N205">
        <v>0</v>
      </c>
      <c r="O205">
        <v>1</v>
      </c>
      <c r="P205" t="s">
        <v>40</v>
      </c>
      <c r="Q205">
        <v>0</v>
      </c>
      <c r="R205">
        <v>0</v>
      </c>
      <c r="S205" t="s">
        <v>36</v>
      </c>
      <c r="T205">
        <v>10</v>
      </c>
      <c r="U205">
        <v>11</v>
      </c>
      <c r="V205">
        <v>3</v>
      </c>
      <c r="W205">
        <v>3</v>
      </c>
      <c r="X205">
        <v>17</v>
      </c>
      <c r="Y205">
        <v>10</v>
      </c>
      <c r="Z205">
        <v>8</v>
      </c>
      <c r="AA205">
        <v>5</v>
      </c>
      <c r="AB205">
        <v>2</v>
      </c>
      <c r="AC205">
        <v>1</v>
      </c>
      <c r="AD205">
        <v>0</v>
      </c>
      <c r="AE205">
        <v>0</v>
      </c>
    </row>
    <row r="206" spans="1:31" x14ac:dyDescent="0.25">
      <c r="A206" t="s">
        <v>31</v>
      </c>
      <c r="B206" s="2">
        <v>45672</v>
      </c>
      <c r="C206" t="s">
        <v>63</v>
      </c>
      <c r="D206" t="s">
        <v>59</v>
      </c>
      <c r="E206" t="s">
        <v>55</v>
      </c>
      <c r="F206">
        <v>1.7</v>
      </c>
      <c r="G206">
        <v>1.8</v>
      </c>
      <c r="H206">
        <v>57</v>
      </c>
      <c r="I206">
        <v>43</v>
      </c>
      <c r="J206">
        <v>656</v>
      </c>
      <c r="K206">
        <v>485</v>
      </c>
      <c r="L206">
        <v>549</v>
      </c>
      <c r="M206">
        <v>375</v>
      </c>
      <c r="N206">
        <v>0</v>
      </c>
      <c r="O206">
        <v>2</v>
      </c>
      <c r="P206" t="s">
        <v>40</v>
      </c>
      <c r="Q206">
        <v>0</v>
      </c>
      <c r="R206">
        <v>0</v>
      </c>
      <c r="S206" t="s">
        <v>36</v>
      </c>
      <c r="T206">
        <v>21</v>
      </c>
      <c r="U206">
        <v>9</v>
      </c>
      <c r="V206">
        <v>4</v>
      </c>
      <c r="W206">
        <v>4</v>
      </c>
      <c r="X206">
        <v>7</v>
      </c>
      <c r="Y206">
        <v>6</v>
      </c>
      <c r="Z206">
        <v>4</v>
      </c>
      <c r="AA206">
        <v>3</v>
      </c>
      <c r="AB206">
        <v>0</v>
      </c>
      <c r="AC206">
        <v>0</v>
      </c>
      <c r="AD206">
        <v>0</v>
      </c>
      <c r="AE206">
        <v>0</v>
      </c>
    </row>
    <row r="207" spans="1:31" x14ac:dyDescent="0.25">
      <c r="A207" t="s">
        <v>31</v>
      </c>
      <c r="B207" s="2">
        <v>45672</v>
      </c>
      <c r="C207" t="s">
        <v>63</v>
      </c>
      <c r="D207" t="s">
        <v>46</v>
      </c>
      <c r="E207" t="s">
        <v>43</v>
      </c>
      <c r="F207">
        <v>2.1</v>
      </c>
      <c r="G207">
        <v>1.6</v>
      </c>
      <c r="H207">
        <v>60</v>
      </c>
      <c r="I207">
        <v>40</v>
      </c>
      <c r="J207">
        <v>626</v>
      </c>
      <c r="K207">
        <v>413</v>
      </c>
      <c r="L207">
        <v>534</v>
      </c>
      <c r="M207">
        <v>321</v>
      </c>
      <c r="N207">
        <v>3</v>
      </c>
      <c r="O207">
        <v>0</v>
      </c>
      <c r="P207" t="s">
        <v>35</v>
      </c>
      <c r="Q207">
        <v>1</v>
      </c>
      <c r="R207">
        <v>0</v>
      </c>
      <c r="S207" t="s">
        <v>35</v>
      </c>
      <c r="T207">
        <v>17</v>
      </c>
      <c r="U207">
        <v>13</v>
      </c>
      <c r="V207">
        <v>5</v>
      </c>
      <c r="W207">
        <v>7</v>
      </c>
      <c r="X207">
        <v>10</v>
      </c>
      <c r="Y207">
        <v>13</v>
      </c>
      <c r="Z207">
        <v>4</v>
      </c>
      <c r="AA207">
        <v>2</v>
      </c>
      <c r="AB207">
        <v>0</v>
      </c>
      <c r="AC207">
        <v>2</v>
      </c>
      <c r="AD207">
        <v>0</v>
      </c>
      <c r="AE207">
        <v>0</v>
      </c>
    </row>
    <row r="208" spans="1:31" x14ac:dyDescent="0.25">
      <c r="A208" t="s">
        <v>31</v>
      </c>
      <c r="B208" s="2">
        <v>45672</v>
      </c>
      <c r="C208" t="s">
        <v>32</v>
      </c>
      <c r="D208" t="s">
        <v>42</v>
      </c>
      <c r="E208" t="s">
        <v>60</v>
      </c>
      <c r="F208">
        <v>1.4</v>
      </c>
      <c r="G208">
        <v>0.8</v>
      </c>
      <c r="H208">
        <v>53</v>
      </c>
      <c r="I208">
        <v>47</v>
      </c>
      <c r="J208">
        <v>469</v>
      </c>
      <c r="K208">
        <v>419</v>
      </c>
      <c r="L208">
        <v>378</v>
      </c>
      <c r="M208">
        <v>341</v>
      </c>
      <c r="N208">
        <v>2</v>
      </c>
      <c r="O208">
        <v>1</v>
      </c>
      <c r="P208" t="s">
        <v>35</v>
      </c>
      <c r="Q208">
        <v>2</v>
      </c>
      <c r="R208">
        <v>1</v>
      </c>
      <c r="S208" t="s">
        <v>35</v>
      </c>
      <c r="T208">
        <v>14</v>
      </c>
      <c r="U208">
        <v>10</v>
      </c>
      <c r="V208">
        <v>4</v>
      </c>
      <c r="W208">
        <v>2</v>
      </c>
      <c r="X208">
        <v>16</v>
      </c>
      <c r="Y208">
        <v>9</v>
      </c>
      <c r="Z208">
        <v>10</v>
      </c>
      <c r="AA208">
        <v>4</v>
      </c>
      <c r="AB208">
        <v>3</v>
      </c>
      <c r="AC208">
        <v>1</v>
      </c>
      <c r="AD208">
        <v>0</v>
      </c>
      <c r="AE208">
        <v>0</v>
      </c>
    </row>
    <row r="209" spans="1:31" x14ac:dyDescent="0.25">
      <c r="A209" t="s">
        <v>31</v>
      </c>
      <c r="B209" s="2">
        <v>45673</v>
      </c>
      <c r="C209" t="s">
        <v>63</v>
      </c>
      <c r="D209" t="s">
        <v>38</v>
      </c>
      <c r="E209" t="s">
        <v>45</v>
      </c>
      <c r="F209">
        <v>0.3</v>
      </c>
      <c r="G209">
        <v>1</v>
      </c>
      <c r="H209">
        <v>47</v>
      </c>
      <c r="I209">
        <v>53</v>
      </c>
      <c r="J209">
        <v>437</v>
      </c>
      <c r="K209">
        <v>502</v>
      </c>
      <c r="L209">
        <v>357</v>
      </c>
      <c r="M209">
        <v>413</v>
      </c>
      <c r="N209">
        <v>0</v>
      </c>
      <c r="O209">
        <v>2</v>
      </c>
      <c r="P209" t="s">
        <v>40</v>
      </c>
      <c r="Q209">
        <v>0</v>
      </c>
      <c r="R209">
        <v>0</v>
      </c>
      <c r="S209" t="s">
        <v>36</v>
      </c>
      <c r="T209">
        <v>5</v>
      </c>
      <c r="U209">
        <v>11</v>
      </c>
      <c r="V209">
        <v>3</v>
      </c>
      <c r="W209">
        <v>5</v>
      </c>
      <c r="X209">
        <v>13</v>
      </c>
      <c r="Y209">
        <v>14</v>
      </c>
      <c r="Z209">
        <v>1</v>
      </c>
      <c r="AA209">
        <v>9</v>
      </c>
      <c r="AB209">
        <v>2</v>
      </c>
      <c r="AC209">
        <v>2</v>
      </c>
      <c r="AD209">
        <v>0</v>
      </c>
      <c r="AE209">
        <v>0</v>
      </c>
    </row>
    <row r="210" spans="1:31" x14ac:dyDescent="0.25">
      <c r="A210" t="s">
        <v>31</v>
      </c>
      <c r="B210" s="2">
        <v>45673</v>
      </c>
      <c r="C210" t="s">
        <v>32</v>
      </c>
      <c r="D210" t="s">
        <v>33</v>
      </c>
      <c r="E210" t="s">
        <v>47</v>
      </c>
      <c r="F210">
        <v>3.4</v>
      </c>
      <c r="G210">
        <v>1.4</v>
      </c>
      <c r="H210">
        <v>60</v>
      </c>
      <c r="I210">
        <v>40</v>
      </c>
      <c r="J210">
        <v>628</v>
      </c>
      <c r="K210">
        <v>426</v>
      </c>
      <c r="L210">
        <v>522</v>
      </c>
      <c r="M210">
        <v>335</v>
      </c>
      <c r="N210">
        <v>3</v>
      </c>
      <c r="O210">
        <v>1</v>
      </c>
      <c r="P210" t="s">
        <v>35</v>
      </c>
      <c r="Q210">
        <v>0</v>
      </c>
      <c r="R210">
        <v>1</v>
      </c>
      <c r="S210" t="s">
        <v>40</v>
      </c>
      <c r="T210">
        <v>23</v>
      </c>
      <c r="U210">
        <v>13</v>
      </c>
      <c r="V210">
        <v>9</v>
      </c>
      <c r="W210">
        <v>5</v>
      </c>
      <c r="X210">
        <v>7</v>
      </c>
      <c r="Y210">
        <v>10</v>
      </c>
      <c r="Z210">
        <v>5</v>
      </c>
      <c r="AA210">
        <v>4</v>
      </c>
      <c r="AB210">
        <v>1</v>
      </c>
      <c r="AC210">
        <v>3</v>
      </c>
      <c r="AD210">
        <v>0</v>
      </c>
      <c r="AE210">
        <v>0</v>
      </c>
    </row>
    <row r="211" spans="1:31" x14ac:dyDescent="0.25">
      <c r="A211" t="s">
        <v>31</v>
      </c>
      <c r="B211" s="2">
        <v>45675</v>
      </c>
      <c r="C211" t="s">
        <v>37</v>
      </c>
      <c r="D211" t="s">
        <v>46</v>
      </c>
      <c r="E211" t="s">
        <v>49</v>
      </c>
      <c r="F211">
        <v>0.8</v>
      </c>
      <c r="G211">
        <v>2</v>
      </c>
      <c r="H211">
        <v>56</v>
      </c>
      <c r="I211">
        <v>44</v>
      </c>
      <c r="J211">
        <v>459</v>
      </c>
      <c r="K211">
        <v>363</v>
      </c>
      <c r="L211">
        <v>347</v>
      </c>
      <c r="M211">
        <v>262</v>
      </c>
      <c r="N211">
        <v>1</v>
      </c>
      <c r="O211">
        <v>4</v>
      </c>
      <c r="P211" t="s">
        <v>40</v>
      </c>
      <c r="Q211">
        <v>1</v>
      </c>
      <c r="R211">
        <v>2</v>
      </c>
      <c r="S211" t="s">
        <v>40</v>
      </c>
      <c r="T211">
        <v>13</v>
      </c>
      <c r="U211">
        <v>19</v>
      </c>
      <c r="V211">
        <v>5</v>
      </c>
      <c r="W211">
        <v>10</v>
      </c>
      <c r="X211">
        <v>7</v>
      </c>
      <c r="Y211">
        <v>18</v>
      </c>
      <c r="Z211">
        <v>7</v>
      </c>
      <c r="AA211">
        <v>6</v>
      </c>
      <c r="AB211">
        <v>1</v>
      </c>
      <c r="AC211">
        <v>6</v>
      </c>
      <c r="AD211">
        <v>0</v>
      </c>
      <c r="AE211">
        <v>0</v>
      </c>
    </row>
    <row r="212" spans="1:31" x14ac:dyDescent="0.25">
      <c r="A212" t="s">
        <v>31</v>
      </c>
      <c r="B212" s="2">
        <v>45675</v>
      </c>
      <c r="C212" t="s">
        <v>41</v>
      </c>
      <c r="D212" t="s">
        <v>54</v>
      </c>
      <c r="E212" t="s">
        <v>39</v>
      </c>
      <c r="F212">
        <v>0.7</v>
      </c>
      <c r="G212">
        <v>3.4</v>
      </c>
      <c r="H212">
        <v>40</v>
      </c>
      <c r="I212">
        <v>60</v>
      </c>
      <c r="J212">
        <v>349</v>
      </c>
      <c r="K212">
        <v>532</v>
      </c>
      <c r="L212">
        <v>267</v>
      </c>
      <c r="M212">
        <v>449</v>
      </c>
      <c r="N212">
        <v>0</v>
      </c>
      <c r="O212">
        <v>2</v>
      </c>
      <c r="P212" t="s">
        <v>40</v>
      </c>
      <c r="Q212">
        <v>0</v>
      </c>
      <c r="R212">
        <v>0</v>
      </c>
      <c r="S212" t="s">
        <v>36</v>
      </c>
      <c r="T212">
        <v>11</v>
      </c>
      <c r="U212">
        <v>37</v>
      </c>
      <c r="V212">
        <v>6</v>
      </c>
      <c r="W212">
        <v>8</v>
      </c>
      <c r="X212">
        <v>6</v>
      </c>
      <c r="Y212">
        <v>14</v>
      </c>
      <c r="Z212">
        <v>2</v>
      </c>
      <c r="AA212">
        <v>15</v>
      </c>
      <c r="AB212">
        <v>2</v>
      </c>
      <c r="AC212">
        <v>3</v>
      </c>
      <c r="AD212">
        <v>0</v>
      </c>
      <c r="AE212">
        <v>0</v>
      </c>
    </row>
    <row r="213" spans="1:31" x14ac:dyDescent="0.25">
      <c r="A213" t="s">
        <v>31</v>
      </c>
      <c r="B213" s="2">
        <v>45675</v>
      </c>
      <c r="C213" t="s">
        <v>41</v>
      </c>
      <c r="D213" t="s">
        <v>59</v>
      </c>
      <c r="E213" t="s">
        <v>34</v>
      </c>
      <c r="F213">
        <v>0.6</v>
      </c>
      <c r="G213">
        <v>2</v>
      </c>
      <c r="H213">
        <v>40</v>
      </c>
      <c r="I213">
        <v>60</v>
      </c>
      <c r="J213">
        <v>420</v>
      </c>
      <c r="K213">
        <v>639</v>
      </c>
      <c r="L213">
        <v>317</v>
      </c>
      <c r="M213">
        <v>540</v>
      </c>
      <c r="N213">
        <v>0</v>
      </c>
      <c r="O213">
        <v>2</v>
      </c>
      <c r="P213" t="s">
        <v>40</v>
      </c>
      <c r="Q213">
        <v>0</v>
      </c>
      <c r="R213">
        <v>0</v>
      </c>
      <c r="S213" t="s">
        <v>36</v>
      </c>
      <c r="T213">
        <v>8</v>
      </c>
      <c r="U213">
        <v>17</v>
      </c>
      <c r="V213">
        <v>4</v>
      </c>
      <c r="W213">
        <v>2</v>
      </c>
      <c r="X213">
        <v>8</v>
      </c>
      <c r="Y213">
        <v>8</v>
      </c>
      <c r="Z213">
        <v>5</v>
      </c>
      <c r="AA213">
        <v>2</v>
      </c>
      <c r="AB213">
        <v>3</v>
      </c>
      <c r="AC213">
        <v>1</v>
      </c>
      <c r="AD213">
        <v>0</v>
      </c>
      <c r="AE213">
        <v>0</v>
      </c>
    </row>
    <row r="214" spans="1:31" x14ac:dyDescent="0.25">
      <c r="A214" t="s">
        <v>31</v>
      </c>
      <c r="B214" s="2">
        <v>45675</v>
      </c>
      <c r="C214" t="s">
        <v>41</v>
      </c>
      <c r="D214" t="s">
        <v>51</v>
      </c>
      <c r="E214" t="s">
        <v>55</v>
      </c>
      <c r="F214">
        <v>0.3</v>
      </c>
      <c r="G214">
        <v>1.3</v>
      </c>
      <c r="H214">
        <v>53</v>
      </c>
      <c r="I214">
        <v>47</v>
      </c>
      <c r="J214">
        <v>576</v>
      </c>
      <c r="K214">
        <v>512</v>
      </c>
      <c r="L214">
        <v>466</v>
      </c>
      <c r="M214">
        <v>405</v>
      </c>
      <c r="N214">
        <v>0</v>
      </c>
      <c r="O214">
        <v>2</v>
      </c>
      <c r="P214" t="s">
        <v>40</v>
      </c>
      <c r="Q214">
        <v>0</v>
      </c>
      <c r="R214">
        <v>0</v>
      </c>
      <c r="S214" t="s">
        <v>36</v>
      </c>
      <c r="T214">
        <v>7</v>
      </c>
      <c r="U214">
        <v>12</v>
      </c>
      <c r="V214">
        <v>0</v>
      </c>
      <c r="W214">
        <v>7</v>
      </c>
      <c r="X214">
        <v>13</v>
      </c>
      <c r="Y214">
        <v>10</v>
      </c>
      <c r="Z214">
        <v>2</v>
      </c>
      <c r="AA214">
        <v>4</v>
      </c>
      <c r="AB214">
        <v>1</v>
      </c>
      <c r="AC214">
        <v>0</v>
      </c>
      <c r="AD214">
        <v>1</v>
      </c>
      <c r="AE214">
        <v>0</v>
      </c>
    </row>
    <row r="215" spans="1:31" x14ac:dyDescent="0.25">
      <c r="A215" t="s">
        <v>31</v>
      </c>
      <c r="B215" s="2">
        <v>45675</v>
      </c>
      <c r="C215" t="s">
        <v>50</v>
      </c>
      <c r="D215" t="s">
        <v>42</v>
      </c>
      <c r="E215" t="s">
        <v>52</v>
      </c>
      <c r="F215">
        <v>1.3</v>
      </c>
      <c r="G215">
        <v>1</v>
      </c>
      <c r="H215">
        <v>66</v>
      </c>
      <c r="I215">
        <v>34</v>
      </c>
      <c r="J215">
        <v>543</v>
      </c>
      <c r="K215">
        <v>284</v>
      </c>
      <c r="L215">
        <v>451</v>
      </c>
      <c r="M215">
        <v>204</v>
      </c>
      <c r="N215">
        <v>2</v>
      </c>
      <c r="O215">
        <v>2</v>
      </c>
      <c r="P215" t="s">
        <v>36</v>
      </c>
      <c r="Q215">
        <v>1</v>
      </c>
      <c r="R215">
        <v>0</v>
      </c>
      <c r="S215" t="s">
        <v>35</v>
      </c>
      <c r="T215">
        <v>18</v>
      </c>
      <c r="U215">
        <v>8</v>
      </c>
      <c r="V215">
        <v>6</v>
      </c>
      <c r="W215">
        <v>4</v>
      </c>
      <c r="X215">
        <v>10</v>
      </c>
      <c r="Y215">
        <v>18</v>
      </c>
      <c r="Z215">
        <v>10</v>
      </c>
      <c r="AA215">
        <v>1</v>
      </c>
      <c r="AB215">
        <v>2</v>
      </c>
      <c r="AC215">
        <v>3</v>
      </c>
      <c r="AD215">
        <v>0</v>
      </c>
      <c r="AE215">
        <v>0</v>
      </c>
    </row>
    <row r="216" spans="1:31" x14ac:dyDescent="0.25">
      <c r="A216" t="s">
        <v>31</v>
      </c>
      <c r="B216" s="2">
        <v>45676</v>
      </c>
      <c r="C216" t="s">
        <v>53</v>
      </c>
      <c r="D216" t="s">
        <v>44</v>
      </c>
      <c r="E216" t="s">
        <v>60</v>
      </c>
      <c r="F216">
        <v>1.8</v>
      </c>
      <c r="G216">
        <v>1.1000000000000001</v>
      </c>
      <c r="H216">
        <v>36</v>
      </c>
      <c r="I216">
        <v>64</v>
      </c>
      <c r="J216">
        <v>366</v>
      </c>
      <c r="K216">
        <v>660</v>
      </c>
      <c r="L216">
        <v>289</v>
      </c>
      <c r="M216">
        <v>557</v>
      </c>
      <c r="N216">
        <v>3</v>
      </c>
      <c r="O216">
        <v>2</v>
      </c>
      <c r="P216" t="s">
        <v>35</v>
      </c>
      <c r="Q216">
        <v>3</v>
      </c>
      <c r="R216">
        <v>0</v>
      </c>
      <c r="S216" t="s">
        <v>35</v>
      </c>
      <c r="T216">
        <v>12</v>
      </c>
      <c r="U216">
        <v>11</v>
      </c>
      <c r="V216">
        <v>6</v>
      </c>
      <c r="W216">
        <v>6</v>
      </c>
      <c r="X216">
        <v>14</v>
      </c>
      <c r="Y216">
        <v>14</v>
      </c>
      <c r="Z216">
        <v>3</v>
      </c>
      <c r="AA216">
        <v>8</v>
      </c>
      <c r="AB216">
        <v>2</v>
      </c>
      <c r="AC216">
        <v>1</v>
      </c>
      <c r="AD216">
        <v>0</v>
      </c>
      <c r="AE216">
        <v>0</v>
      </c>
    </row>
    <row r="217" spans="1:31" x14ac:dyDescent="0.25">
      <c r="A217" t="s">
        <v>31</v>
      </c>
      <c r="B217" s="2">
        <v>45676</v>
      </c>
      <c r="C217" t="s">
        <v>53</v>
      </c>
      <c r="D217" t="s">
        <v>33</v>
      </c>
      <c r="E217" t="s">
        <v>45</v>
      </c>
      <c r="F217">
        <v>1.5</v>
      </c>
      <c r="G217">
        <v>1.9</v>
      </c>
      <c r="H217">
        <v>51</v>
      </c>
      <c r="I217">
        <v>49</v>
      </c>
      <c r="J217">
        <v>497</v>
      </c>
      <c r="K217">
        <v>469</v>
      </c>
      <c r="L217">
        <v>406</v>
      </c>
      <c r="M217">
        <v>370</v>
      </c>
      <c r="N217">
        <v>1</v>
      </c>
      <c r="O217">
        <v>3</v>
      </c>
      <c r="P217" t="s">
        <v>40</v>
      </c>
      <c r="Q217">
        <v>1</v>
      </c>
      <c r="R217">
        <v>1</v>
      </c>
      <c r="S217" t="s">
        <v>36</v>
      </c>
      <c r="T217">
        <v>10</v>
      </c>
      <c r="U217">
        <v>6</v>
      </c>
      <c r="V217">
        <v>1</v>
      </c>
      <c r="W217">
        <v>3</v>
      </c>
      <c r="X217">
        <v>13</v>
      </c>
      <c r="Y217">
        <v>12</v>
      </c>
      <c r="Z217">
        <v>4</v>
      </c>
      <c r="AA217">
        <v>2</v>
      </c>
      <c r="AB217">
        <v>3</v>
      </c>
      <c r="AC217">
        <v>3</v>
      </c>
      <c r="AD217">
        <v>0</v>
      </c>
      <c r="AE217">
        <v>0</v>
      </c>
    </row>
    <row r="218" spans="1:31" x14ac:dyDescent="0.25">
      <c r="A218" t="s">
        <v>31</v>
      </c>
      <c r="B218" s="2">
        <v>45676</v>
      </c>
      <c r="C218" t="s">
        <v>53</v>
      </c>
      <c r="D218" t="s">
        <v>48</v>
      </c>
      <c r="E218" t="s">
        <v>47</v>
      </c>
      <c r="F218">
        <v>1.8</v>
      </c>
      <c r="G218">
        <v>0.9</v>
      </c>
      <c r="H218">
        <v>45</v>
      </c>
      <c r="I218">
        <v>55</v>
      </c>
      <c r="J218">
        <v>423</v>
      </c>
      <c r="K218">
        <v>515</v>
      </c>
      <c r="L218">
        <v>334</v>
      </c>
      <c r="M218">
        <v>439</v>
      </c>
      <c r="N218">
        <v>3</v>
      </c>
      <c r="O218">
        <v>2</v>
      </c>
      <c r="P218" t="s">
        <v>35</v>
      </c>
      <c r="Q218">
        <v>3</v>
      </c>
      <c r="R218">
        <v>0</v>
      </c>
      <c r="S218" t="s">
        <v>35</v>
      </c>
      <c r="T218">
        <v>14</v>
      </c>
      <c r="U218">
        <v>10</v>
      </c>
      <c r="V218">
        <v>5</v>
      </c>
      <c r="W218">
        <v>4</v>
      </c>
      <c r="X218">
        <v>4</v>
      </c>
      <c r="Y218">
        <v>18</v>
      </c>
      <c r="Z218">
        <v>2</v>
      </c>
      <c r="AA218">
        <v>8</v>
      </c>
      <c r="AB218">
        <v>0</v>
      </c>
      <c r="AC218">
        <v>4</v>
      </c>
      <c r="AD218">
        <v>0</v>
      </c>
      <c r="AE218">
        <v>0</v>
      </c>
    </row>
    <row r="219" spans="1:31" x14ac:dyDescent="0.25">
      <c r="A219" t="s">
        <v>31</v>
      </c>
      <c r="B219" s="2">
        <v>45676</v>
      </c>
      <c r="C219" t="s">
        <v>56</v>
      </c>
      <c r="D219" t="s">
        <v>38</v>
      </c>
      <c r="E219" t="s">
        <v>58</v>
      </c>
      <c r="F219">
        <v>0.5</v>
      </c>
      <c r="G219">
        <v>3</v>
      </c>
      <c r="H219">
        <v>33</v>
      </c>
      <c r="I219">
        <v>67</v>
      </c>
      <c r="J219">
        <v>378</v>
      </c>
      <c r="K219">
        <v>773</v>
      </c>
      <c r="L219">
        <v>320</v>
      </c>
      <c r="M219">
        <v>700</v>
      </c>
      <c r="N219">
        <v>0</v>
      </c>
      <c r="O219">
        <v>6</v>
      </c>
      <c r="P219" t="s">
        <v>40</v>
      </c>
      <c r="Q219">
        <v>0</v>
      </c>
      <c r="R219">
        <v>3</v>
      </c>
      <c r="S219" t="s">
        <v>40</v>
      </c>
      <c r="T219">
        <v>8</v>
      </c>
      <c r="U219">
        <v>17</v>
      </c>
      <c r="V219">
        <v>4</v>
      </c>
      <c r="W219">
        <v>9</v>
      </c>
      <c r="X219">
        <v>4</v>
      </c>
      <c r="Y219">
        <v>7</v>
      </c>
      <c r="Z219">
        <v>4</v>
      </c>
      <c r="AA219">
        <v>7</v>
      </c>
      <c r="AB219">
        <v>0</v>
      </c>
      <c r="AC219">
        <v>1</v>
      </c>
      <c r="AD219">
        <v>0</v>
      </c>
      <c r="AE219">
        <v>0</v>
      </c>
    </row>
    <row r="220" spans="1:31" x14ac:dyDescent="0.25">
      <c r="A220" t="s">
        <v>31</v>
      </c>
      <c r="B220" s="2">
        <v>45677</v>
      </c>
      <c r="C220" t="s">
        <v>32</v>
      </c>
      <c r="D220" t="s">
        <v>57</v>
      </c>
      <c r="E220" t="s">
        <v>43</v>
      </c>
      <c r="F220">
        <v>3.1</v>
      </c>
      <c r="G220">
        <v>0.8</v>
      </c>
      <c r="H220">
        <v>63</v>
      </c>
      <c r="I220">
        <v>37</v>
      </c>
      <c r="J220">
        <v>624</v>
      </c>
      <c r="K220">
        <v>374</v>
      </c>
      <c r="L220">
        <v>536</v>
      </c>
      <c r="M220">
        <v>284</v>
      </c>
      <c r="N220">
        <v>3</v>
      </c>
      <c r="O220">
        <v>1</v>
      </c>
      <c r="P220" t="s">
        <v>35</v>
      </c>
      <c r="Q220">
        <v>1</v>
      </c>
      <c r="R220">
        <v>1</v>
      </c>
      <c r="S220" t="s">
        <v>36</v>
      </c>
      <c r="T220">
        <v>19</v>
      </c>
      <c r="U220">
        <v>9</v>
      </c>
      <c r="V220">
        <v>7</v>
      </c>
      <c r="W220">
        <v>4</v>
      </c>
      <c r="X220">
        <v>8</v>
      </c>
      <c r="Y220">
        <v>14</v>
      </c>
      <c r="Z220">
        <v>3</v>
      </c>
      <c r="AA220">
        <v>6</v>
      </c>
      <c r="AB220">
        <v>4</v>
      </c>
      <c r="AC220">
        <v>2</v>
      </c>
      <c r="AD220">
        <v>0</v>
      </c>
      <c r="AE220">
        <v>0</v>
      </c>
    </row>
    <row r="221" spans="1:31" x14ac:dyDescent="0.25">
      <c r="A221" t="s">
        <v>31</v>
      </c>
      <c r="B221" s="2">
        <v>45682</v>
      </c>
      <c r="C221" t="s">
        <v>41</v>
      </c>
      <c r="D221" t="s">
        <v>49</v>
      </c>
      <c r="E221" t="s">
        <v>48</v>
      </c>
      <c r="F221">
        <v>1.7</v>
      </c>
      <c r="G221">
        <v>1</v>
      </c>
      <c r="H221">
        <v>50</v>
      </c>
      <c r="I221">
        <v>50</v>
      </c>
      <c r="J221">
        <v>391</v>
      </c>
      <c r="K221">
        <v>386</v>
      </c>
      <c r="L221">
        <v>301</v>
      </c>
      <c r="M221">
        <v>278</v>
      </c>
      <c r="N221">
        <v>5</v>
      </c>
      <c r="O221">
        <v>0</v>
      </c>
      <c r="P221" t="s">
        <v>35</v>
      </c>
      <c r="Q221">
        <v>1</v>
      </c>
      <c r="R221">
        <v>0</v>
      </c>
      <c r="S221" t="s">
        <v>35</v>
      </c>
      <c r="T221">
        <v>16</v>
      </c>
      <c r="U221">
        <v>18</v>
      </c>
      <c r="V221">
        <v>10</v>
      </c>
      <c r="W221">
        <v>4</v>
      </c>
      <c r="X221">
        <v>9</v>
      </c>
      <c r="Y221">
        <v>12</v>
      </c>
      <c r="Z221">
        <v>3</v>
      </c>
      <c r="AA221">
        <v>9</v>
      </c>
      <c r="AB221">
        <v>2</v>
      </c>
      <c r="AC221">
        <v>3</v>
      </c>
      <c r="AD221">
        <v>0</v>
      </c>
      <c r="AE221">
        <v>0</v>
      </c>
    </row>
    <row r="222" spans="1:31" x14ac:dyDescent="0.25">
      <c r="A222" t="s">
        <v>31</v>
      </c>
      <c r="B222" s="2">
        <v>45682</v>
      </c>
      <c r="C222" t="s">
        <v>41</v>
      </c>
      <c r="D222" t="s">
        <v>45</v>
      </c>
      <c r="E222" t="s">
        <v>44</v>
      </c>
      <c r="F222">
        <v>0.7</v>
      </c>
      <c r="G222">
        <v>0.8</v>
      </c>
      <c r="H222">
        <v>69</v>
      </c>
      <c r="I222">
        <v>31</v>
      </c>
      <c r="J222">
        <v>696</v>
      </c>
      <c r="K222">
        <v>320</v>
      </c>
      <c r="L222">
        <v>587</v>
      </c>
      <c r="M222">
        <v>234</v>
      </c>
      <c r="N222">
        <v>0</v>
      </c>
      <c r="O222">
        <v>1</v>
      </c>
      <c r="P222" t="s">
        <v>40</v>
      </c>
      <c r="Q222">
        <v>0</v>
      </c>
      <c r="R222">
        <v>1</v>
      </c>
      <c r="S222" t="s">
        <v>40</v>
      </c>
      <c r="T222">
        <v>16</v>
      </c>
      <c r="U222">
        <v>3</v>
      </c>
      <c r="V222">
        <v>1</v>
      </c>
      <c r="W222">
        <v>1</v>
      </c>
      <c r="X222">
        <v>8</v>
      </c>
      <c r="Y222">
        <v>11</v>
      </c>
      <c r="Z222">
        <v>9</v>
      </c>
      <c r="AA222">
        <v>1</v>
      </c>
      <c r="AB222">
        <v>3</v>
      </c>
      <c r="AC222">
        <v>4</v>
      </c>
      <c r="AD222">
        <v>0</v>
      </c>
      <c r="AE222">
        <v>0</v>
      </c>
    </row>
    <row r="223" spans="1:31" x14ac:dyDescent="0.25">
      <c r="A223" t="s">
        <v>31</v>
      </c>
      <c r="B223" s="2">
        <v>45682</v>
      </c>
      <c r="C223" t="s">
        <v>41</v>
      </c>
      <c r="D223" t="s">
        <v>39</v>
      </c>
      <c r="E223" t="s">
        <v>38</v>
      </c>
      <c r="F223">
        <v>2</v>
      </c>
      <c r="G223">
        <v>0.5</v>
      </c>
      <c r="H223">
        <v>70</v>
      </c>
      <c r="I223">
        <v>30</v>
      </c>
      <c r="J223">
        <v>790</v>
      </c>
      <c r="K223">
        <v>337</v>
      </c>
      <c r="L223">
        <v>696</v>
      </c>
      <c r="M223">
        <v>254</v>
      </c>
      <c r="N223">
        <v>4</v>
      </c>
      <c r="O223">
        <v>1</v>
      </c>
      <c r="P223" t="s">
        <v>35</v>
      </c>
      <c r="Q223">
        <v>3</v>
      </c>
      <c r="R223">
        <v>0</v>
      </c>
      <c r="S223" t="s">
        <v>35</v>
      </c>
      <c r="T223">
        <v>16</v>
      </c>
      <c r="U223">
        <v>3</v>
      </c>
      <c r="V223">
        <v>6</v>
      </c>
      <c r="W223">
        <v>3</v>
      </c>
      <c r="X223">
        <v>10</v>
      </c>
      <c r="Y223">
        <v>11</v>
      </c>
      <c r="Z223">
        <v>3</v>
      </c>
      <c r="AA223">
        <v>4</v>
      </c>
      <c r="AB223">
        <v>0</v>
      </c>
      <c r="AC223">
        <v>2</v>
      </c>
      <c r="AD223">
        <v>0</v>
      </c>
      <c r="AE223">
        <v>0</v>
      </c>
    </row>
    <row r="224" spans="1:31" x14ac:dyDescent="0.25">
      <c r="A224" t="s">
        <v>31</v>
      </c>
      <c r="B224" s="2">
        <v>45682</v>
      </c>
      <c r="C224" t="s">
        <v>41</v>
      </c>
      <c r="D224" t="s">
        <v>47</v>
      </c>
      <c r="E224" t="s">
        <v>46</v>
      </c>
      <c r="F224">
        <v>0.8</v>
      </c>
      <c r="G224">
        <v>2.9</v>
      </c>
      <c r="H224">
        <v>53</v>
      </c>
      <c r="I224">
        <v>47</v>
      </c>
      <c r="J224">
        <v>509</v>
      </c>
      <c r="K224">
        <v>457</v>
      </c>
      <c r="L224">
        <v>421</v>
      </c>
      <c r="M224">
        <v>371</v>
      </c>
      <c r="N224">
        <v>1</v>
      </c>
      <c r="O224">
        <v>3</v>
      </c>
      <c r="P224" t="s">
        <v>40</v>
      </c>
      <c r="Q224">
        <v>1</v>
      </c>
      <c r="R224">
        <v>2</v>
      </c>
      <c r="S224" t="s">
        <v>40</v>
      </c>
      <c r="T224">
        <v>12</v>
      </c>
      <c r="U224">
        <v>17</v>
      </c>
      <c r="V224">
        <v>5</v>
      </c>
      <c r="W224">
        <v>9</v>
      </c>
      <c r="X224">
        <v>10</v>
      </c>
      <c r="Y224">
        <v>5</v>
      </c>
      <c r="Z224">
        <v>3</v>
      </c>
      <c r="AA224">
        <v>8</v>
      </c>
      <c r="AB224">
        <v>1</v>
      </c>
      <c r="AC224">
        <v>0</v>
      </c>
      <c r="AD224">
        <v>0</v>
      </c>
      <c r="AE224">
        <v>0</v>
      </c>
    </row>
    <row r="225" spans="1:31" x14ac:dyDescent="0.25">
      <c r="A225" t="s">
        <v>31</v>
      </c>
      <c r="B225" s="2">
        <v>45682</v>
      </c>
      <c r="C225" t="s">
        <v>41</v>
      </c>
      <c r="D225" t="s">
        <v>43</v>
      </c>
      <c r="E225" t="s">
        <v>42</v>
      </c>
      <c r="F225">
        <v>0.7</v>
      </c>
      <c r="G225">
        <v>1</v>
      </c>
      <c r="H225">
        <v>51</v>
      </c>
      <c r="I225">
        <v>49</v>
      </c>
      <c r="J225">
        <v>466</v>
      </c>
      <c r="K225">
        <v>451</v>
      </c>
      <c r="L225">
        <v>384</v>
      </c>
      <c r="M225">
        <v>359</v>
      </c>
      <c r="N225">
        <v>0</v>
      </c>
      <c r="O225">
        <v>1</v>
      </c>
      <c r="P225" t="s">
        <v>40</v>
      </c>
      <c r="Q225">
        <v>0</v>
      </c>
      <c r="R225">
        <v>0</v>
      </c>
      <c r="S225" t="s">
        <v>36</v>
      </c>
      <c r="T225">
        <v>9</v>
      </c>
      <c r="U225">
        <v>9</v>
      </c>
      <c r="V225">
        <v>4</v>
      </c>
      <c r="W225">
        <v>3</v>
      </c>
      <c r="X225">
        <v>20</v>
      </c>
      <c r="Y225">
        <v>10</v>
      </c>
      <c r="Z225">
        <v>1</v>
      </c>
      <c r="AA225">
        <v>5</v>
      </c>
      <c r="AB225">
        <v>0</v>
      </c>
      <c r="AC225">
        <v>1</v>
      </c>
      <c r="AD225">
        <v>1</v>
      </c>
      <c r="AE225">
        <v>1</v>
      </c>
    </row>
    <row r="226" spans="1:31" x14ac:dyDescent="0.25">
      <c r="A226" t="s">
        <v>31</v>
      </c>
      <c r="B226" s="2">
        <v>45682</v>
      </c>
      <c r="C226" t="s">
        <v>50</v>
      </c>
      <c r="D226" t="s">
        <v>58</v>
      </c>
      <c r="E226" t="s">
        <v>57</v>
      </c>
      <c r="F226">
        <v>2.2000000000000002</v>
      </c>
      <c r="G226">
        <v>1.8</v>
      </c>
      <c r="H226">
        <v>56</v>
      </c>
      <c r="I226">
        <v>44</v>
      </c>
      <c r="J226">
        <v>603</v>
      </c>
      <c r="K226">
        <v>466</v>
      </c>
      <c r="L226">
        <v>514</v>
      </c>
      <c r="M226">
        <v>375</v>
      </c>
      <c r="N226">
        <v>3</v>
      </c>
      <c r="O226">
        <v>1</v>
      </c>
      <c r="P226" t="s">
        <v>35</v>
      </c>
      <c r="Q226">
        <v>1</v>
      </c>
      <c r="R226">
        <v>1</v>
      </c>
      <c r="S226" t="s">
        <v>36</v>
      </c>
      <c r="T226">
        <v>15</v>
      </c>
      <c r="U226">
        <v>10</v>
      </c>
      <c r="V226">
        <v>6</v>
      </c>
      <c r="W226">
        <v>4</v>
      </c>
      <c r="X226">
        <v>6</v>
      </c>
      <c r="Y226">
        <v>8</v>
      </c>
      <c r="Z226">
        <v>2</v>
      </c>
      <c r="AA226">
        <v>4</v>
      </c>
      <c r="AB226">
        <v>3</v>
      </c>
      <c r="AC226">
        <v>2</v>
      </c>
      <c r="AD226">
        <v>0</v>
      </c>
      <c r="AE226">
        <v>0</v>
      </c>
    </row>
    <row r="227" spans="1:31" x14ac:dyDescent="0.25">
      <c r="A227" t="s">
        <v>31</v>
      </c>
      <c r="B227" s="2">
        <v>45683</v>
      </c>
      <c r="C227" t="s">
        <v>53</v>
      </c>
      <c r="D227" t="s">
        <v>55</v>
      </c>
      <c r="E227" t="s">
        <v>54</v>
      </c>
      <c r="F227">
        <v>1.1000000000000001</v>
      </c>
      <c r="G227">
        <v>1.3</v>
      </c>
      <c r="H227">
        <v>47</v>
      </c>
      <c r="I227">
        <v>53</v>
      </c>
      <c r="J227">
        <v>350</v>
      </c>
      <c r="K227">
        <v>395</v>
      </c>
      <c r="L227">
        <v>238</v>
      </c>
      <c r="M227">
        <v>276</v>
      </c>
      <c r="N227">
        <v>1</v>
      </c>
      <c r="O227">
        <v>2</v>
      </c>
      <c r="P227" t="s">
        <v>40</v>
      </c>
      <c r="Q227">
        <v>0</v>
      </c>
      <c r="R227">
        <v>0</v>
      </c>
      <c r="S227" t="s">
        <v>36</v>
      </c>
      <c r="T227">
        <v>16</v>
      </c>
      <c r="U227">
        <v>13</v>
      </c>
      <c r="V227">
        <v>5</v>
      </c>
      <c r="W227">
        <v>6</v>
      </c>
      <c r="X227">
        <v>8</v>
      </c>
      <c r="Y227">
        <v>11</v>
      </c>
      <c r="Z227">
        <v>4</v>
      </c>
      <c r="AA227">
        <v>7</v>
      </c>
      <c r="AB227">
        <v>2</v>
      </c>
      <c r="AC227">
        <v>2</v>
      </c>
      <c r="AD227">
        <v>0</v>
      </c>
      <c r="AE227">
        <v>0</v>
      </c>
    </row>
    <row r="228" spans="1:31" x14ac:dyDescent="0.25">
      <c r="A228" t="s">
        <v>31</v>
      </c>
      <c r="B228" s="2">
        <v>45683</v>
      </c>
      <c r="C228" t="s">
        <v>53</v>
      </c>
      <c r="D228" t="s">
        <v>60</v>
      </c>
      <c r="E228" t="s">
        <v>59</v>
      </c>
      <c r="F228">
        <v>1</v>
      </c>
      <c r="G228">
        <v>1.6</v>
      </c>
      <c r="H228">
        <v>61</v>
      </c>
      <c r="I228">
        <v>39</v>
      </c>
      <c r="J228">
        <v>605</v>
      </c>
      <c r="K228">
        <v>387</v>
      </c>
      <c r="L228">
        <v>483</v>
      </c>
      <c r="M228">
        <v>280</v>
      </c>
      <c r="N228">
        <v>1</v>
      </c>
      <c r="O228">
        <v>2</v>
      </c>
      <c r="P228" t="s">
        <v>40</v>
      </c>
      <c r="Q228">
        <v>1</v>
      </c>
      <c r="R228">
        <v>0</v>
      </c>
      <c r="S228" t="s">
        <v>35</v>
      </c>
      <c r="T228">
        <v>15</v>
      </c>
      <c r="U228">
        <v>12</v>
      </c>
      <c r="V228">
        <v>6</v>
      </c>
      <c r="W228">
        <v>3</v>
      </c>
      <c r="X228">
        <v>6</v>
      </c>
      <c r="Y228">
        <v>16</v>
      </c>
      <c r="Z228">
        <v>6</v>
      </c>
      <c r="AA228">
        <v>4</v>
      </c>
      <c r="AB228">
        <v>1</v>
      </c>
      <c r="AC228">
        <v>5</v>
      </c>
      <c r="AD228">
        <v>0</v>
      </c>
      <c r="AE228">
        <v>0</v>
      </c>
    </row>
    <row r="229" spans="1:31" x14ac:dyDescent="0.25">
      <c r="A229" t="s">
        <v>31</v>
      </c>
      <c r="B229" s="2">
        <v>45683</v>
      </c>
      <c r="C229" t="s">
        <v>56</v>
      </c>
      <c r="D229" t="s">
        <v>52</v>
      </c>
      <c r="E229" t="s">
        <v>51</v>
      </c>
      <c r="F229">
        <v>0.9</v>
      </c>
      <c r="G229">
        <v>1.3</v>
      </c>
      <c r="H229">
        <v>46</v>
      </c>
      <c r="I229">
        <v>54</v>
      </c>
      <c r="J229">
        <v>416</v>
      </c>
      <c r="K229">
        <v>490</v>
      </c>
      <c r="L229">
        <v>326</v>
      </c>
      <c r="M229">
        <v>399</v>
      </c>
      <c r="N229">
        <v>1</v>
      </c>
      <c r="O229">
        <v>1</v>
      </c>
      <c r="P229" t="s">
        <v>36</v>
      </c>
      <c r="Q229">
        <v>1</v>
      </c>
      <c r="R229">
        <v>0</v>
      </c>
      <c r="S229" t="s">
        <v>35</v>
      </c>
      <c r="T229">
        <v>14</v>
      </c>
      <c r="U229">
        <v>14</v>
      </c>
      <c r="V229">
        <v>4</v>
      </c>
      <c r="W229">
        <v>4</v>
      </c>
      <c r="X229">
        <v>13</v>
      </c>
      <c r="Y229">
        <v>16</v>
      </c>
      <c r="Z229">
        <v>4</v>
      </c>
      <c r="AA229">
        <v>3</v>
      </c>
      <c r="AB229">
        <v>2</v>
      </c>
      <c r="AC229">
        <v>3</v>
      </c>
      <c r="AD229">
        <v>0</v>
      </c>
      <c r="AE229">
        <v>0</v>
      </c>
    </row>
    <row r="230" spans="1:31" x14ac:dyDescent="0.25">
      <c r="A230" t="s">
        <v>31</v>
      </c>
      <c r="B230" s="2">
        <v>45683</v>
      </c>
      <c r="C230" t="s">
        <v>65</v>
      </c>
      <c r="D230" t="s">
        <v>34</v>
      </c>
      <c r="E230" t="s">
        <v>33</v>
      </c>
      <c r="F230">
        <v>0.7</v>
      </c>
      <c r="G230">
        <v>0.3</v>
      </c>
      <c r="H230">
        <v>51</v>
      </c>
      <c r="I230">
        <v>49</v>
      </c>
      <c r="J230">
        <v>538</v>
      </c>
      <c r="K230">
        <v>522</v>
      </c>
      <c r="L230">
        <v>437</v>
      </c>
      <c r="M230">
        <v>432</v>
      </c>
      <c r="N230">
        <v>0</v>
      </c>
      <c r="O230">
        <v>1</v>
      </c>
      <c r="P230" t="s">
        <v>40</v>
      </c>
      <c r="Q230">
        <v>0</v>
      </c>
      <c r="R230">
        <v>0</v>
      </c>
      <c r="S230" t="s">
        <v>36</v>
      </c>
      <c r="T230">
        <v>9</v>
      </c>
      <c r="U230">
        <v>4</v>
      </c>
      <c r="V230">
        <v>3</v>
      </c>
      <c r="W230">
        <v>1</v>
      </c>
      <c r="X230">
        <v>7</v>
      </c>
      <c r="Y230">
        <v>9</v>
      </c>
      <c r="Z230">
        <v>3</v>
      </c>
      <c r="AA230">
        <v>0</v>
      </c>
      <c r="AB230">
        <v>0</v>
      </c>
      <c r="AC230">
        <v>1</v>
      </c>
      <c r="AD230">
        <v>0</v>
      </c>
      <c r="AE230">
        <v>0</v>
      </c>
    </row>
    <row r="231" spans="1:31" x14ac:dyDescent="0.25">
      <c r="A231" t="s">
        <v>31</v>
      </c>
      <c r="B231" s="2">
        <v>45689</v>
      </c>
      <c r="C231" t="s">
        <v>37</v>
      </c>
      <c r="D231" t="s">
        <v>48</v>
      </c>
      <c r="E231" t="s">
        <v>45</v>
      </c>
      <c r="F231">
        <v>3.3</v>
      </c>
      <c r="G231">
        <v>0.9</v>
      </c>
      <c r="H231">
        <v>38</v>
      </c>
      <c r="I231">
        <v>62</v>
      </c>
      <c r="J231">
        <v>352</v>
      </c>
      <c r="K231">
        <v>575</v>
      </c>
      <c r="L231">
        <v>274</v>
      </c>
      <c r="M231">
        <v>477</v>
      </c>
      <c r="N231">
        <v>7</v>
      </c>
      <c r="O231">
        <v>0</v>
      </c>
      <c r="P231" t="s">
        <v>35</v>
      </c>
      <c r="Q231">
        <v>3</v>
      </c>
      <c r="R231">
        <v>0</v>
      </c>
      <c r="S231" t="s">
        <v>35</v>
      </c>
      <c r="T231">
        <v>14</v>
      </c>
      <c r="U231">
        <v>10</v>
      </c>
      <c r="V231">
        <v>9</v>
      </c>
      <c r="W231">
        <v>5</v>
      </c>
      <c r="X231">
        <v>8</v>
      </c>
      <c r="Y231">
        <v>13</v>
      </c>
      <c r="Z231">
        <v>4</v>
      </c>
      <c r="AA231">
        <v>6</v>
      </c>
      <c r="AB231">
        <v>1</v>
      </c>
      <c r="AC231">
        <v>3</v>
      </c>
      <c r="AD231">
        <v>0</v>
      </c>
      <c r="AE231">
        <v>0</v>
      </c>
    </row>
    <row r="232" spans="1:31" x14ac:dyDescent="0.25">
      <c r="A232" t="s">
        <v>31</v>
      </c>
      <c r="B232" s="2">
        <v>45689</v>
      </c>
      <c r="C232" t="s">
        <v>41</v>
      </c>
      <c r="D232" t="s">
        <v>49</v>
      </c>
      <c r="E232" t="s">
        <v>39</v>
      </c>
      <c r="F232">
        <v>1.6</v>
      </c>
      <c r="G232">
        <v>2.5</v>
      </c>
      <c r="H232">
        <v>49</v>
      </c>
      <c r="I232">
        <v>51</v>
      </c>
      <c r="J232">
        <v>449</v>
      </c>
      <c r="K232">
        <v>464</v>
      </c>
      <c r="L232">
        <v>346</v>
      </c>
      <c r="M232">
        <v>369</v>
      </c>
      <c r="N232">
        <v>0</v>
      </c>
      <c r="O232">
        <v>2</v>
      </c>
      <c r="P232" t="s">
        <v>40</v>
      </c>
      <c r="Q232">
        <v>0</v>
      </c>
      <c r="R232">
        <v>1</v>
      </c>
      <c r="S232" t="s">
        <v>40</v>
      </c>
      <c r="T232">
        <v>14</v>
      </c>
      <c r="U232">
        <v>19</v>
      </c>
      <c r="V232">
        <v>3</v>
      </c>
      <c r="W232">
        <v>7</v>
      </c>
      <c r="X232">
        <v>15</v>
      </c>
      <c r="Y232">
        <v>9</v>
      </c>
      <c r="Z232">
        <v>3</v>
      </c>
      <c r="AA232">
        <v>3</v>
      </c>
      <c r="AB232">
        <v>2</v>
      </c>
      <c r="AC232">
        <v>3</v>
      </c>
      <c r="AD232">
        <v>0</v>
      </c>
      <c r="AE232">
        <v>0</v>
      </c>
    </row>
    <row r="233" spans="1:31" x14ac:dyDescent="0.25">
      <c r="A233" t="s">
        <v>31</v>
      </c>
      <c r="B233" s="2">
        <v>45689</v>
      </c>
      <c r="C233" t="s">
        <v>41</v>
      </c>
      <c r="D233" t="s">
        <v>44</v>
      </c>
      <c r="E233" t="s">
        <v>59</v>
      </c>
      <c r="F233">
        <v>2.5</v>
      </c>
      <c r="G233">
        <v>0.3</v>
      </c>
      <c r="H233">
        <v>48</v>
      </c>
      <c r="I233">
        <v>52</v>
      </c>
      <c r="J233">
        <v>486</v>
      </c>
      <c r="K233">
        <v>531</v>
      </c>
      <c r="L233">
        <v>385</v>
      </c>
      <c r="M233">
        <v>418</v>
      </c>
      <c r="N233">
        <v>4</v>
      </c>
      <c r="O233">
        <v>0</v>
      </c>
      <c r="P233" t="s">
        <v>35</v>
      </c>
      <c r="Q233">
        <v>3</v>
      </c>
      <c r="R233">
        <v>0</v>
      </c>
      <c r="S233" t="s">
        <v>35</v>
      </c>
      <c r="T233">
        <v>13</v>
      </c>
      <c r="U233">
        <v>9</v>
      </c>
      <c r="V233">
        <v>7</v>
      </c>
      <c r="W233">
        <v>1</v>
      </c>
      <c r="X233">
        <v>7</v>
      </c>
      <c r="Y233">
        <v>13</v>
      </c>
      <c r="Z233">
        <v>5</v>
      </c>
      <c r="AA233">
        <v>6</v>
      </c>
      <c r="AB233">
        <v>0</v>
      </c>
      <c r="AC233">
        <v>0</v>
      </c>
      <c r="AD233">
        <v>0</v>
      </c>
      <c r="AE233">
        <v>0</v>
      </c>
    </row>
    <row r="234" spans="1:31" x14ac:dyDescent="0.25">
      <c r="A234" t="s">
        <v>31</v>
      </c>
      <c r="B234" s="2">
        <v>45689</v>
      </c>
      <c r="C234" t="s">
        <v>41</v>
      </c>
      <c r="D234" t="s">
        <v>38</v>
      </c>
      <c r="E234" t="s">
        <v>47</v>
      </c>
      <c r="F234">
        <v>1.8</v>
      </c>
      <c r="G234">
        <v>0.9</v>
      </c>
      <c r="H234">
        <v>57</v>
      </c>
      <c r="I234">
        <v>43</v>
      </c>
      <c r="J234">
        <v>578</v>
      </c>
      <c r="K234">
        <v>430</v>
      </c>
      <c r="L234">
        <v>483</v>
      </c>
      <c r="M234">
        <v>327</v>
      </c>
      <c r="N234">
        <v>1</v>
      </c>
      <c r="O234">
        <v>2</v>
      </c>
      <c r="P234" t="s">
        <v>40</v>
      </c>
      <c r="Q234">
        <v>1</v>
      </c>
      <c r="R234">
        <v>1</v>
      </c>
      <c r="S234" t="s">
        <v>36</v>
      </c>
      <c r="T234">
        <v>15</v>
      </c>
      <c r="U234">
        <v>9</v>
      </c>
      <c r="V234">
        <v>6</v>
      </c>
      <c r="W234">
        <v>4</v>
      </c>
      <c r="X234">
        <v>11</v>
      </c>
      <c r="Y234">
        <v>14</v>
      </c>
      <c r="Z234">
        <v>1</v>
      </c>
      <c r="AA234">
        <v>2</v>
      </c>
      <c r="AB234">
        <v>0</v>
      </c>
      <c r="AC234">
        <v>3</v>
      </c>
      <c r="AD234">
        <v>0</v>
      </c>
      <c r="AE234">
        <v>0</v>
      </c>
    </row>
    <row r="235" spans="1:31" x14ac:dyDescent="0.25">
      <c r="A235" t="s">
        <v>31</v>
      </c>
      <c r="B235" s="2">
        <v>45689</v>
      </c>
      <c r="C235" t="s">
        <v>41</v>
      </c>
      <c r="D235" t="s">
        <v>46</v>
      </c>
      <c r="E235" t="s">
        <v>34</v>
      </c>
      <c r="F235">
        <v>0.8</v>
      </c>
      <c r="G235">
        <v>1.6</v>
      </c>
      <c r="H235">
        <v>49</v>
      </c>
      <c r="I235">
        <v>51</v>
      </c>
      <c r="J235">
        <v>454</v>
      </c>
      <c r="K235">
        <v>482</v>
      </c>
      <c r="L235">
        <v>366</v>
      </c>
      <c r="M235">
        <v>380</v>
      </c>
      <c r="N235">
        <v>1</v>
      </c>
      <c r="O235">
        <v>2</v>
      </c>
      <c r="P235" t="s">
        <v>40</v>
      </c>
      <c r="Q235">
        <v>1</v>
      </c>
      <c r="R235">
        <v>0</v>
      </c>
      <c r="S235" t="s">
        <v>35</v>
      </c>
      <c r="T235">
        <v>11</v>
      </c>
      <c r="U235">
        <v>15</v>
      </c>
      <c r="V235">
        <v>4</v>
      </c>
      <c r="W235">
        <v>4</v>
      </c>
      <c r="X235">
        <v>10</v>
      </c>
      <c r="Y235">
        <v>15</v>
      </c>
      <c r="Z235">
        <v>4</v>
      </c>
      <c r="AA235">
        <v>7</v>
      </c>
      <c r="AB235">
        <v>4</v>
      </c>
      <c r="AC235">
        <v>4</v>
      </c>
      <c r="AD235">
        <v>0</v>
      </c>
      <c r="AE235">
        <v>0</v>
      </c>
    </row>
    <row r="236" spans="1:31" x14ac:dyDescent="0.25">
      <c r="A236" t="s">
        <v>31</v>
      </c>
      <c r="B236" s="2">
        <v>45689</v>
      </c>
      <c r="C236" t="s">
        <v>50</v>
      </c>
      <c r="D236" t="s">
        <v>43</v>
      </c>
      <c r="E236" t="s">
        <v>52</v>
      </c>
      <c r="F236">
        <v>1.6</v>
      </c>
      <c r="G236">
        <v>0.4</v>
      </c>
      <c r="H236">
        <v>32</v>
      </c>
      <c r="I236">
        <v>68</v>
      </c>
      <c r="J236">
        <v>284</v>
      </c>
      <c r="K236">
        <v>598</v>
      </c>
      <c r="L236">
        <v>214</v>
      </c>
      <c r="M236">
        <v>511</v>
      </c>
      <c r="N236">
        <v>2</v>
      </c>
      <c r="O236">
        <v>0</v>
      </c>
      <c r="P236" t="s">
        <v>35</v>
      </c>
      <c r="Q236">
        <v>1</v>
      </c>
      <c r="R236">
        <v>0</v>
      </c>
      <c r="S236" t="s">
        <v>35</v>
      </c>
      <c r="T236">
        <v>8</v>
      </c>
      <c r="U236">
        <v>10</v>
      </c>
      <c r="V236">
        <v>5</v>
      </c>
      <c r="W236">
        <v>3</v>
      </c>
      <c r="X236">
        <v>20</v>
      </c>
      <c r="Y236">
        <v>13</v>
      </c>
      <c r="Z236">
        <v>5</v>
      </c>
      <c r="AA236">
        <v>8</v>
      </c>
      <c r="AB236">
        <v>2</v>
      </c>
      <c r="AC236">
        <v>3</v>
      </c>
      <c r="AD236">
        <v>0</v>
      </c>
      <c r="AE236">
        <v>0</v>
      </c>
    </row>
    <row r="237" spans="1:31" x14ac:dyDescent="0.25">
      <c r="A237" t="s">
        <v>31</v>
      </c>
      <c r="B237" s="2">
        <v>45690</v>
      </c>
      <c r="C237" t="s">
        <v>53</v>
      </c>
      <c r="D237" t="s">
        <v>54</v>
      </c>
      <c r="E237" t="s">
        <v>60</v>
      </c>
      <c r="F237">
        <v>2.1</v>
      </c>
      <c r="G237">
        <v>0.8</v>
      </c>
      <c r="H237">
        <v>54</v>
      </c>
      <c r="I237">
        <v>46</v>
      </c>
      <c r="J237">
        <v>534</v>
      </c>
      <c r="K237">
        <v>456</v>
      </c>
      <c r="L237">
        <v>419</v>
      </c>
      <c r="M237">
        <v>369</v>
      </c>
      <c r="N237">
        <v>0</v>
      </c>
      <c r="O237">
        <v>2</v>
      </c>
      <c r="P237" t="s">
        <v>40</v>
      </c>
      <c r="Q237">
        <v>0</v>
      </c>
      <c r="R237">
        <v>1</v>
      </c>
      <c r="S237" t="s">
        <v>40</v>
      </c>
      <c r="T237">
        <v>20</v>
      </c>
      <c r="U237">
        <v>13</v>
      </c>
      <c r="V237">
        <v>4</v>
      </c>
      <c r="W237">
        <v>2</v>
      </c>
      <c r="X237">
        <v>4</v>
      </c>
      <c r="Y237">
        <v>11</v>
      </c>
      <c r="Z237">
        <v>10</v>
      </c>
      <c r="AA237">
        <v>3</v>
      </c>
      <c r="AB237">
        <v>0</v>
      </c>
      <c r="AC237">
        <v>1</v>
      </c>
      <c r="AD237">
        <v>0</v>
      </c>
      <c r="AE237">
        <v>0</v>
      </c>
    </row>
    <row r="238" spans="1:31" x14ac:dyDescent="0.25">
      <c r="A238" t="s">
        <v>31</v>
      </c>
      <c r="B238" s="2">
        <v>45690</v>
      </c>
      <c r="C238" t="s">
        <v>53</v>
      </c>
      <c r="D238" t="s">
        <v>33</v>
      </c>
      <c r="E238" t="s">
        <v>55</v>
      </c>
      <c r="F238">
        <v>1.1000000000000001</v>
      </c>
      <c r="G238">
        <v>2.6</v>
      </c>
      <c r="H238">
        <v>66</v>
      </c>
      <c r="I238">
        <v>34</v>
      </c>
      <c r="J238">
        <v>608</v>
      </c>
      <c r="K238">
        <v>315</v>
      </c>
      <c r="L238">
        <v>484</v>
      </c>
      <c r="M238">
        <v>204</v>
      </c>
      <c r="N238">
        <v>0</v>
      </c>
      <c r="O238">
        <v>2</v>
      </c>
      <c r="P238" t="s">
        <v>40</v>
      </c>
      <c r="Q238">
        <v>0</v>
      </c>
      <c r="R238">
        <v>0</v>
      </c>
      <c r="S238" t="s">
        <v>36</v>
      </c>
      <c r="T238">
        <v>17</v>
      </c>
      <c r="U238">
        <v>11</v>
      </c>
      <c r="V238">
        <v>2</v>
      </c>
      <c r="W238">
        <v>3</v>
      </c>
      <c r="X238">
        <v>12</v>
      </c>
      <c r="Y238">
        <v>13</v>
      </c>
      <c r="Z238">
        <v>11</v>
      </c>
      <c r="AA238">
        <v>0</v>
      </c>
      <c r="AB238">
        <v>3</v>
      </c>
      <c r="AC238">
        <v>1</v>
      </c>
      <c r="AD238">
        <v>0</v>
      </c>
      <c r="AE238">
        <v>0</v>
      </c>
    </row>
    <row r="239" spans="1:31" x14ac:dyDescent="0.25">
      <c r="A239" t="s">
        <v>31</v>
      </c>
      <c r="B239" s="2">
        <v>45690</v>
      </c>
      <c r="C239" t="s">
        <v>56</v>
      </c>
      <c r="D239" t="s">
        <v>42</v>
      </c>
      <c r="E239" t="s">
        <v>58</v>
      </c>
      <c r="F239">
        <v>1</v>
      </c>
      <c r="G239">
        <v>0.8</v>
      </c>
      <c r="H239">
        <v>46</v>
      </c>
      <c r="I239">
        <v>54</v>
      </c>
      <c r="J239">
        <v>430</v>
      </c>
      <c r="K239">
        <v>505</v>
      </c>
      <c r="L239">
        <v>363</v>
      </c>
      <c r="M239">
        <v>442</v>
      </c>
      <c r="N239">
        <v>5</v>
      </c>
      <c r="O239">
        <v>1</v>
      </c>
      <c r="P239" t="s">
        <v>35</v>
      </c>
      <c r="Q239">
        <v>1</v>
      </c>
      <c r="R239">
        <v>0</v>
      </c>
      <c r="S239" t="s">
        <v>35</v>
      </c>
      <c r="T239">
        <v>12</v>
      </c>
      <c r="U239">
        <v>7</v>
      </c>
      <c r="V239">
        <v>7</v>
      </c>
      <c r="W239">
        <v>4</v>
      </c>
      <c r="X239">
        <v>6</v>
      </c>
      <c r="Y239">
        <v>7</v>
      </c>
      <c r="Z239">
        <v>5</v>
      </c>
      <c r="AA239">
        <v>2</v>
      </c>
      <c r="AB239">
        <v>2</v>
      </c>
      <c r="AC239">
        <v>0</v>
      </c>
      <c r="AD239">
        <v>0</v>
      </c>
      <c r="AE239">
        <v>0</v>
      </c>
    </row>
    <row r="240" spans="1:31" x14ac:dyDescent="0.25">
      <c r="A240" t="s">
        <v>31</v>
      </c>
      <c r="B240" s="2">
        <v>45691</v>
      </c>
      <c r="C240" t="s">
        <v>32</v>
      </c>
      <c r="D240" t="s">
        <v>57</v>
      </c>
      <c r="E240" t="s">
        <v>51</v>
      </c>
      <c r="F240">
        <v>1.6</v>
      </c>
      <c r="G240">
        <v>1.2</v>
      </c>
      <c r="H240">
        <v>68</v>
      </c>
      <c r="I240">
        <v>32</v>
      </c>
      <c r="J240">
        <v>643</v>
      </c>
      <c r="K240">
        <v>307</v>
      </c>
      <c r="L240">
        <v>545</v>
      </c>
      <c r="M240">
        <v>222</v>
      </c>
      <c r="N240">
        <v>2</v>
      </c>
      <c r="O240">
        <v>1</v>
      </c>
      <c r="P240" t="s">
        <v>35</v>
      </c>
      <c r="Q240">
        <v>0</v>
      </c>
      <c r="R240">
        <v>1</v>
      </c>
      <c r="S240" t="s">
        <v>40</v>
      </c>
      <c r="T240">
        <v>22</v>
      </c>
      <c r="U240">
        <v>14</v>
      </c>
      <c r="V240">
        <v>3</v>
      </c>
      <c r="W240">
        <v>5</v>
      </c>
      <c r="X240">
        <v>11</v>
      </c>
      <c r="Y240">
        <v>10</v>
      </c>
      <c r="Z240">
        <v>4</v>
      </c>
      <c r="AA240">
        <v>3</v>
      </c>
      <c r="AB240">
        <v>3</v>
      </c>
      <c r="AC240">
        <v>1</v>
      </c>
      <c r="AD240">
        <v>0</v>
      </c>
      <c r="AE240">
        <v>0</v>
      </c>
    </row>
    <row r="241" spans="1:31" x14ac:dyDescent="0.25">
      <c r="A241" t="s">
        <v>31</v>
      </c>
      <c r="B241" s="2">
        <v>45700</v>
      </c>
      <c r="C241" t="s">
        <v>63</v>
      </c>
      <c r="D241" t="s">
        <v>44</v>
      </c>
      <c r="E241" t="s">
        <v>39</v>
      </c>
      <c r="F241">
        <v>1</v>
      </c>
      <c r="G241">
        <v>0.6</v>
      </c>
      <c r="H241">
        <v>37</v>
      </c>
      <c r="I241">
        <v>63</v>
      </c>
      <c r="J241">
        <v>348</v>
      </c>
      <c r="K241">
        <v>581</v>
      </c>
      <c r="L241">
        <v>235</v>
      </c>
      <c r="M241">
        <v>469</v>
      </c>
      <c r="N241">
        <v>2</v>
      </c>
      <c r="O241">
        <v>2</v>
      </c>
      <c r="P241" t="s">
        <v>36</v>
      </c>
      <c r="Q241">
        <v>1</v>
      </c>
      <c r="R241">
        <v>1</v>
      </c>
      <c r="S241" t="s">
        <v>36</v>
      </c>
      <c r="T241">
        <v>10</v>
      </c>
      <c r="U241">
        <v>6</v>
      </c>
      <c r="V241">
        <v>3</v>
      </c>
      <c r="W241">
        <v>4</v>
      </c>
      <c r="X241">
        <v>9</v>
      </c>
      <c r="Y241">
        <v>20</v>
      </c>
      <c r="Z241">
        <v>2</v>
      </c>
      <c r="AA241">
        <v>3</v>
      </c>
      <c r="AB241">
        <v>2</v>
      </c>
      <c r="AC241">
        <v>2</v>
      </c>
      <c r="AD241">
        <v>1</v>
      </c>
      <c r="AE241">
        <v>1</v>
      </c>
    </row>
    <row r="242" spans="1:31" x14ac:dyDescent="0.25">
      <c r="A242" t="s">
        <v>31</v>
      </c>
      <c r="B242" s="2">
        <v>45702</v>
      </c>
      <c r="C242" t="s">
        <v>32</v>
      </c>
      <c r="D242" t="s">
        <v>45</v>
      </c>
      <c r="E242" t="s">
        <v>57</v>
      </c>
      <c r="F242">
        <v>1.4</v>
      </c>
      <c r="G242">
        <v>0.5</v>
      </c>
      <c r="H242">
        <v>31</v>
      </c>
      <c r="I242">
        <v>69</v>
      </c>
      <c r="J242">
        <v>344</v>
      </c>
      <c r="K242">
        <v>776</v>
      </c>
      <c r="L242">
        <v>265</v>
      </c>
      <c r="M242">
        <v>685</v>
      </c>
      <c r="N242">
        <v>3</v>
      </c>
      <c r="O242">
        <v>0</v>
      </c>
      <c r="P242" t="s">
        <v>35</v>
      </c>
      <c r="Q242">
        <v>2</v>
      </c>
      <c r="R242">
        <v>0</v>
      </c>
      <c r="S242" t="s">
        <v>35</v>
      </c>
      <c r="T242">
        <v>13</v>
      </c>
      <c r="U242">
        <v>8</v>
      </c>
      <c r="V242">
        <v>5</v>
      </c>
      <c r="W242">
        <v>0</v>
      </c>
      <c r="X242">
        <v>12</v>
      </c>
      <c r="Y242">
        <v>15</v>
      </c>
      <c r="Z242">
        <v>2</v>
      </c>
      <c r="AA242">
        <v>9</v>
      </c>
      <c r="AB242">
        <v>1</v>
      </c>
      <c r="AC242">
        <v>2</v>
      </c>
      <c r="AD242">
        <v>0</v>
      </c>
      <c r="AE242">
        <v>0</v>
      </c>
    </row>
    <row r="243" spans="1:31" x14ac:dyDescent="0.25">
      <c r="A243" t="s">
        <v>31</v>
      </c>
      <c r="B243" s="2">
        <v>45703</v>
      </c>
      <c r="C243" t="s">
        <v>37</v>
      </c>
      <c r="D243" t="s">
        <v>59</v>
      </c>
      <c r="E243" t="s">
        <v>42</v>
      </c>
      <c r="F243">
        <v>0.2</v>
      </c>
      <c r="G243">
        <v>1.4</v>
      </c>
      <c r="H243">
        <v>40</v>
      </c>
      <c r="I243">
        <v>60</v>
      </c>
      <c r="J243">
        <v>362</v>
      </c>
      <c r="K243">
        <v>542</v>
      </c>
      <c r="L243">
        <v>258</v>
      </c>
      <c r="M243">
        <v>450</v>
      </c>
      <c r="N243">
        <v>0</v>
      </c>
      <c r="O243">
        <v>2</v>
      </c>
      <c r="P243" t="s">
        <v>40</v>
      </c>
      <c r="Q243">
        <v>0</v>
      </c>
      <c r="R243">
        <v>0</v>
      </c>
      <c r="S243" t="s">
        <v>36</v>
      </c>
      <c r="T243">
        <v>6</v>
      </c>
      <c r="U243">
        <v>11</v>
      </c>
      <c r="V243">
        <v>2</v>
      </c>
      <c r="W243">
        <v>5</v>
      </c>
      <c r="X243">
        <v>9</v>
      </c>
      <c r="Y243">
        <v>10</v>
      </c>
      <c r="Z243">
        <v>3</v>
      </c>
      <c r="AA243">
        <v>7</v>
      </c>
      <c r="AB243">
        <v>2</v>
      </c>
      <c r="AC243">
        <v>1</v>
      </c>
      <c r="AD243">
        <v>0</v>
      </c>
      <c r="AE243">
        <v>0</v>
      </c>
    </row>
    <row r="244" spans="1:31" x14ac:dyDescent="0.25">
      <c r="A244" t="s">
        <v>31</v>
      </c>
      <c r="B244" s="2">
        <v>45703</v>
      </c>
      <c r="C244" t="s">
        <v>41</v>
      </c>
      <c r="D244" t="s">
        <v>52</v>
      </c>
      <c r="E244" t="s">
        <v>38</v>
      </c>
      <c r="F244">
        <v>2.4</v>
      </c>
      <c r="G244">
        <v>0.4</v>
      </c>
      <c r="H244">
        <v>75</v>
      </c>
      <c r="I244">
        <v>25</v>
      </c>
      <c r="J244">
        <v>715</v>
      </c>
      <c r="K244">
        <v>242</v>
      </c>
      <c r="L244">
        <v>622</v>
      </c>
      <c r="M244">
        <v>173</v>
      </c>
      <c r="N244">
        <v>1</v>
      </c>
      <c r="O244">
        <v>1</v>
      </c>
      <c r="P244" t="s">
        <v>36</v>
      </c>
      <c r="Q244">
        <v>0</v>
      </c>
      <c r="R244">
        <v>0</v>
      </c>
      <c r="S244" t="s">
        <v>36</v>
      </c>
      <c r="T244">
        <v>25</v>
      </c>
      <c r="U244">
        <v>4</v>
      </c>
      <c r="V244">
        <v>6</v>
      </c>
      <c r="W244">
        <v>3</v>
      </c>
      <c r="X244">
        <v>7</v>
      </c>
      <c r="Y244">
        <v>11</v>
      </c>
      <c r="Z244">
        <v>16</v>
      </c>
      <c r="AA244">
        <v>1</v>
      </c>
      <c r="AB244">
        <v>0</v>
      </c>
      <c r="AC244">
        <v>3</v>
      </c>
      <c r="AD244">
        <v>0</v>
      </c>
      <c r="AE244">
        <v>1</v>
      </c>
    </row>
    <row r="245" spans="1:31" x14ac:dyDescent="0.25">
      <c r="A245" t="s">
        <v>31</v>
      </c>
      <c r="B245" s="2">
        <v>45703</v>
      </c>
      <c r="C245" t="s">
        <v>41</v>
      </c>
      <c r="D245" t="s">
        <v>34</v>
      </c>
      <c r="E245" t="s">
        <v>48</v>
      </c>
      <c r="F245">
        <v>2.1</v>
      </c>
      <c r="G245">
        <v>0.4</v>
      </c>
      <c r="H245">
        <v>55</v>
      </c>
      <c r="I245">
        <v>45</v>
      </c>
      <c r="J245">
        <v>549</v>
      </c>
      <c r="K245">
        <v>441</v>
      </c>
      <c r="L245">
        <v>464</v>
      </c>
      <c r="M245">
        <v>358</v>
      </c>
      <c r="N245">
        <v>2</v>
      </c>
      <c r="O245">
        <v>1</v>
      </c>
      <c r="P245" t="s">
        <v>35</v>
      </c>
      <c r="Q245">
        <v>1</v>
      </c>
      <c r="R245">
        <v>1</v>
      </c>
      <c r="S245" t="s">
        <v>36</v>
      </c>
      <c r="T245">
        <v>24</v>
      </c>
      <c r="U245">
        <v>8</v>
      </c>
      <c r="V245">
        <v>10</v>
      </c>
      <c r="W245">
        <v>2</v>
      </c>
      <c r="X245">
        <v>13</v>
      </c>
      <c r="Y245">
        <v>8</v>
      </c>
      <c r="Z245">
        <v>8</v>
      </c>
      <c r="AA245">
        <v>4</v>
      </c>
      <c r="AB245">
        <v>0</v>
      </c>
      <c r="AC245">
        <v>0</v>
      </c>
      <c r="AD245">
        <v>0</v>
      </c>
      <c r="AE245">
        <v>0</v>
      </c>
    </row>
    <row r="246" spans="1:31" x14ac:dyDescent="0.25">
      <c r="A246" t="s">
        <v>31</v>
      </c>
      <c r="B246" s="2">
        <v>45703</v>
      </c>
      <c r="C246" t="s">
        <v>41</v>
      </c>
      <c r="D246" t="s">
        <v>58</v>
      </c>
      <c r="E246" t="s">
        <v>46</v>
      </c>
      <c r="F246">
        <v>1.9</v>
      </c>
      <c r="G246">
        <v>0.5</v>
      </c>
      <c r="H246">
        <v>61</v>
      </c>
      <c r="I246">
        <v>39</v>
      </c>
      <c r="J246">
        <v>618</v>
      </c>
      <c r="K246">
        <v>395</v>
      </c>
      <c r="L246">
        <v>564</v>
      </c>
      <c r="M246">
        <v>319</v>
      </c>
      <c r="N246">
        <v>4</v>
      </c>
      <c r="O246">
        <v>0</v>
      </c>
      <c r="P246" t="s">
        <v>35</v>
      </c>
      <c r="Q246">
        <v>3</v>
      </c>
      <c r="R246">
        <v>0</v>
      </c>
      <c r="S246" t="s">
        <v>35</v>
      </c>
      <c r="T246">
        <v>11</v>
      </c>
      <c r="U246">
        <v>3</v>
      </c>
      <c r="V246">
        <v>7</v>
      </c>
      <c r="W246">
        <v>1</v>
      </c>
      <c r="X246">
        <v>5</v>
      </c>
      <c r="Y246">
        <v>13</v>
      </c>
      <c r="Z246">
        <v>7</v>
      </c>
      <c r="AA246">
        <v>4</v>
      </c>
      <c r="AB246">
        <v>0</v>
      </c>
      <c r="AC246">
        <v>1</v>
      </c>
      <c r="AD246">
        <v>0</v>
      </c>
      <c r="AE246">
        <v>0</v>
      </c>
    </row>
    <row r="247" spans="1:31" x14ac:dyDescent="0.25">
      <c r="A247" t="s">
        <v>31</v>
      </c>
      <c r="B247" s="2">
        <v>45703</v>
      </c>
      <c r="C247" t="s">
        <v>41</v>
      </c>
      <c r="D247" t="s">
        <v>47</v>
      </c>
      <c r="E247" t="s">
        <v>49</v>
      </c>
      <c r="F247">
        <v>0.8</v>
      </c>
      <c r="G247">
        <v>1.2</v>
      </c>
      <c r="H247">
        <v>44</v>
      </c>
      <c r="I247">
        <v>56</v>
      </c>
      <c r="J247">
        <v>423</v>
      </c>
      <c r="K247">
        <v>531</v>
      </c>
      <c r="L247">
        <v>325</v>
      </c>
      <c r="M247">
        <v>426</v>
      </c>
      <c r="N247">
        <v>1</v>
      </c>
      <c r="O247">
        <v>3</v>
      </c>
      <c r="P247" t="s">
        <v>40</v>
      </c>
      <c r="Q247">
        <v>0</v>
      </c>
      <c r="R247">
        <v>2</v>
      </c>
      <c r="S247" t="s">
        <v>40</v>
      </c>
      <c r="T247">
        <v>11</v>
      </c>
      <c r="U247">
        <v>14</v>
      </c>
      <c r="V247">
        <v>4</v>
      </c>
      <c r="W247">
        <v>7</v>
      </c>
      <c r="X247">
        <v>13</v>
      </c>
      <c r="Y247">
        <v>15</v>
      </c>
      <c r="Z247">
        <v>4</v>
      </c>
      <c r="AA247">
        <v>6</v>
      </c>
      <c r="AB247">
        <v>1</v>
      </c>
      <c r="AC247">
        <v>3</v>
      </c>
      <c r="AD247">
        <v>0</v>
      </c>
      <c r="AE247">
        <v>0</v>
      </c>
    </row>
    <row r="248" spans="1:31" x14ac:dyDescent="0.25">
      <c r="A248" t="s">
        <v>31</v>
      </c>
      <c r="B248" s="2">
        <v>45703</v>
      </c>
      <c r="C248" t="s">
        <v>41</v>
      </c>
      <c r="D248" t="s">
        <v>51</v>
      </c>
      <c r="E248" t="s">
        <v>54</v>
      </c>
      <c r="F248">
        <v>0.8</v>
      </c>
      <c r="G248">
        <v>1.6</v>
      </c>
      <c r="H248">
        <v>58</v>
      </c>
      <c r="I248">
        <v>42</v>
      </c>
      <c r="J248">
        <v>559</v>
      </c>
      <c r="K248">
        <v>399</v>
      </c>
      <c r="L248">
        <v>453</v>
      </c>
      <c r="M248">
        <v>302</v>
      </c>
      <c r="N248">
        <v>0</v>
      </c>
      <c r="O248">
        <v>1</v>
      </c>
      <c r="P248" t="s">
        <v>40</v>
      </c>
      <c r="Q248">
        <v>0</v>
      </c>
      <c r="R248">
        <v>1</v>
      </c>
      <c r="S248" t="s">
        <v>40</v>
      </c>
      <c r="T248">
        <v>13</v>
      </c>
      <c r="U248">
        <v>14</v>
      </c>
      <c r="V248">
        <v>3</v>
      </c>
      <c r="W248">
        <v>5</v>
      </c>
      <c r="X248">
        <v>10</v>
      </c>
      <c r="Y248">
        <v>13</v>
      </c>
      <c r="Z248">
        <v>9</v>
      </c>
      <c r="AA248">
        <v>2</v>
      </c>
      <c r="AB248">
        <v>1</v>
      </c>
      <c r="AC248">
        <v>1</v>
      </c>
      <c r="AD248">
        <v>0</v>
      </c>
      <c r="AE248">
        <v>0</v>
      </c>
    </row>
    <row r="249" spans="1:31" x14ac:dyDescent="0.25">
      <c r="A249" t="s">
        <v>31</v>
      </c>
      <c r="B249" s="2">
        <v>45703</v>
      </c>
      <c r="C249" t="s">
        <v>50</v>
      </c>
      <c r="D249" t="s">
        <v>55</v>
      </c>
      <c r="E249" t="s">
        <v>44</v>
      </c>
      <c r="F249">
        <v>1.6</v>
      </c>
      <c r="G249">
        <v>0.9</v>
      </c>
      <c r="H249">
        <v>58</v>
      </c>
      <c r="I249">
        <v>42</v>
      </c>
      <c r="J249">
        <v>568</v>
      </c>
      <c r="K249">
        <v>411</v>
      </c>
      <c r="L249">
        <v>427</v>
      </c>
      <c r="M249">
        <v>286</v>
      </c>
      <c r="N249">
        <v>1</v>
      </c>
      <c r="O249">
        <v>2</v>
      </c>
      <c r="P249" t="s">
        <v>40</v>
      </c>
      <c r="Q249">
        <v>0</v>
      </c>
      <c r="R249">
        <v>1</v>
      </c>
      <c r="S249" t="s">
        <v>40</v>
      </c>
      <c r="T249">
        <v>17</v>
      </c>
      <c r="U249">
        <v>11</v>
      </c>
      <c r="V249">
        <v>6</v>
      </c>
      <c r="W249">
        <v>6</v>
      </c>
      <c r="X249">
        <v>9</v>
      </c>
      <c r="Y249">
        <v>12</v>
      </c>
      <c r="Z249">
        <v>6</v>
      </c>
      <c r="AA249">
        <v>2</v>
      </c>
      <c r="AB249">
        <v>0</v>
      </c>
      <c r="AC249">
        <v>1</v>
      </c>
      <c r="AD249">
        <v>0</v>
      </c>
      <c r="AE249">
        <v>0</v>
      </c>
    </row>
    <row r="250" spans="1:31" x14ac:dyDescent="0.25">
      <c r="A250" t="s">
        <v>31</v>
      </c>
      <c r="B250" s="2">
        <v>45704</v>
      </c>
      <c r="C250" t="s">
        <v>53</v>
      </c>
      <c r="D250" t="s">
        <v>39</v>
      </c>
      <c r="E250" t="s">
        <v>43</v>
      </c>
      <c r="F250">
        <v>1.7</v>
      </c>
      <c r="G250">
        <v>1.5</v>
      </c>
      <c r="H250">
        <v>50</v>
      </c>
      <c r="I250">
        <v>50</v>
      </c>
      <c r="J250">
        <v>489</v>
      </c>
      <c r="K250">
        <v>489</v>
      </c>
      <c r="L250">
        <v>392</v>
      </c>
      <c r="M250">
        <v>406</v>
      </c>
      <c r="N250">
        <v>2</v>
      </c>
      <c r="O250">
        <v>1</v>
      </c>
      <c r="P250" t="s">
        <v>35</v>
      </c>
      <c r="Q250">
        <v>2</v>
      </c>
      <c r="R250">
        <v>0</v>
      </c>
      <c r="S250" t="s">
        <v>35</v>
      </c>
      <c r="T250">
        <v>10</v>
      </c>
      <c r="U250">
        <v>16</v>
      </c>
      <c r="V250">
        <v>3</v>
      </c>
      <c r="W250">
        <v>4</v>
      </c>
      <c r="X250">
        <v>15</v>
      </c>
      <c r="Y250">
        <v>13</v>
      </c>
      <c r="Z250">
        <v>4</v>
      </c>
      <c r="AA250">
        <v>3</v>
      </c>
      <c r="AB250">
        <v>2</v>
      </c>
      <c r="AC250">
        <v>2</v>
      </c>
      <c r="AD250">
        <v>0</v>
      </c>
      <c r="AE250">
        <v>0</v>
      </c>
    </row>
    <row r="251" spans="1:31" x14ac:dyDescent="0.25">
      <c r="A251" t="s">
        <v>31</v>
      </c>
      <c r="B251" s="2">
        <v>45704</v>
      </c>
      <c r="C251" t="s">
        <v>56</v>
      </c>
      <c r="D251" t="s">
        <v>60</v>
      </c>
      <c r="E251" t="s">
        <v>33</v>
      </c>
      <c r="F251">
        <v>2.2000000000000002</v>
      </c>
      <c r="G251">
        <v>1.5</v>
      </c>
      <c r="H251">
        <v>55</v>
      </c>
      <c r="I251">
        <v>45</v>
      </c>
      <c r="J251">
        <v>566</v>
      </c>
      <c r="K251">
        <v>461</v>
      </c>
      <c r="L251">
        <v>482</v>
      </c>
      <c r="M251">
        <v>367</v>
      </c>
      <c r="N251">
        <v>1</v>
      </c>
      <c r="O251">
        <v>0</v>
      </c>
      <c r="P251" t="s">
        <v>35</v>
      </c>
      <c r="Q251">
        <v>1</v>
      </c>
      <c r="R251">
        <v>0</v>
      </c>
      <c r="S251" t="s">
        <v>35</v>
      </c>
      <c r="T251">
        <v>22</v>
      </c>
      <c r="U251">
        <v>16</v>
      </c>
      <c r="V251">
        <v>7</v>
      </c>
      <c r="W251">
        <v>6</v>
      </c>
      <c r="X251">
        <v>13</v>
      </c>
      <c r="Y251">
        <v>9</v>
      </c>
      <c r="Z251">
        <v>10</v>
      </c>
      <c r="AA251">
        <v>5</v>
      </c>
      <c r="AB251">
        <v>1</v>
      </c>
      <c r="AC251">
        <v>2</v>
      </c>
      <c r="AD251">
        <v>0</v>
      </c>
      <c r="AE251">
        <v>0</v>
      </c>
    </row>
    <row r="252" spans="1:31" x14ac:dyDescent="0.25">
      <c r="A252" t="s">
        <v>31</v>
      </c>
      <c r="B252" s="2">
        <v>45707</v>
      </c>
      <c r="C252" t="s">
        <v>63</v>
      </c>
      <c r="D252" t="s">
        <v>52</v>
      </c>
      <c r="E252" t="s">
        <v>39</v>
      </c>
      <c r="F252">
        <v>0.6</v>
      </c>
      <c r="G252">
        <v>2.5</v>
      </c>
      <c r="H252">
        <v>52</v>
      </c>
      <c r="I252">
        <v>48</v>
      </c>
      <c r="J252">
        <v>486</v>
      </c>
      <c r="K252">
        <v>448</v>
      </c>
      <c r="L252">
        <v>394</v>
      </c>
      <c r="M252">
        <v>360</v>
      </c>
      <c r="N252">
        <v>2</v>
      </c>
      <c r="O252">
        <v>2</v>
      </c>
      <c r="P252" t="s">
        <v>36</v>
      </c>
      <c r="Q252">
        <v>2</v>
      </c>
      <c r="R252">
        <v>1</v>
      </c>
      <c r="S252" t="s">
        <v>35</v>
      </c>
      <c r="T252">
        <v>9</v>
      </c>
      <c r="U252">
        <v>17</v>
      </c>
      <c r="V252">
        <v>4</v>
      </c>
      <c r="W252">
        <v>3</v>
      </c>
      <c r="X252">
        <v>8</v>
      </c>
      <c r="Y252">
        <v>6</v>
      </c>
      <c r="Z252">
        <v>6</v>
      </c>
      <c r="AA252">
        <v>8</v>
      </c>
      <c r="AB252">
        <v>1</v>
      </c>
      <c r="AC252">
        <v>0</v>
      </c>
      <c r="AD252">
        <v>0</v>
      </c>
      <c r="AE252">
        <v>0</v>
      </c>
    </row>
    <row r="253" spans="1:31" x14ac:dyDescent="0.25">
      <c r="A253" t="s">
        <v>31</v>
      </c>
      <c r="B253" s="2">
        <v>45709</v>
      </c>
      <c r="C253" t="s">
        <v>32</v>
      </c>
      <c r="D253" t="s">
        <v>59</v>
      </c>
      <c r="E253" t="s">
        <v>54</v>
      </c>
      <c r="F253">
        <v>0.5</v>
      </c>
      <c r="G253">
        <v>1.5</v>
      </c>
      <c r="H253">
        <v>48</v>
      </c>
      <c r="I253">
        <v>52</v>
      </c>
      <c r="J253">
        <v>429</v>
      </c>
      <c r="K253">
        <v>460</v>
      </c>
      <c r="L253">
        <v>333</v>
      </c>
      <c r="M253">
        <v>379</v>
      </c>
      <c r="N253">
        <v>0</v>
      </c>
      <c r="O253">
        <v>4</v>
      </c>
      <c r="P253" t="s">
        <v>40</v>
      </c>
      <c r="Q253">
        <v>0</v>
      </c>
      <c r="R253">
        <v>3</v>
      </c>
      <c r="S253" t="s">
        <v>40</v>
      </c>
      <c r="T253">
        <v>8</v>
      </c>
      <c r="U253">
        <v>14</v>
      </c>
      <c r="V253">
        <v>3</v>
      </c>
      <c r="W253">
        <v>6</v>
      </c>
      <c r="X253">
        <v>10</v>
      </c>
      <c r="Y253">
        <v>10</v>
      </c>
      <c r="Z253">
        <v>5</v>
      </c>
      <c r="AA253">
        <v>6</v>
      </c>
      <c r="AB253">
        <v>4</v>
      </c>
      <c r="AC253">
        <v>0</v>
      </c>
      <c r="AD253">
        <v>0</v>
      </c>
      <c r="AE253">
        <v>0</v>
      </c>
    </row>
    <row r="254" spans="1:31" x14ac:dyDescent="0.25">
      <c r="A254" t="s">
        <v>31</v>
      </c>
      <c r="B254" s="2">
        <v>45710</v>
      </c>
      <c r="C254" t="s">
        <v>37</v>
      </c>
      <c r="D254" t="s">
        <v>44</v>
      </c>
      <c r="E254" t="s">
        <v>33</v>
      </c>
      <c r="F254">
        <v>1.6</v>
      </c>
      <c r="G254">
        <v>0.4</v>
      </c>
      <c r="H254">
        <v>38</v>
      </c>
      <c r="I254">
        <v>62</v>
      </c>
      <c r="J254">
        <v>355</v>
      </c>
      <c r="K254">
        <v>575</v>
      </c>
      <c r="L254">
        <v>256</v>
      </c>
      <c r="M254">
        <v>479</v>
      </c>
      <c r="N254">
        <v>2</v>
      </c>
      <c r="O254">
        <v>2</v>
      </c>
      <c r="P254" t="s">
        <v>36</v>
      </c>
      <c r="Q254">
        <v>2</v>
      </c>
      <c r="R254">
        <v>0</v>
      </c>
      <c r="S254" t="s">
        <v>35</v>
      </c>
      <c r="T254">
        <v>9</v>
      </c>
      <c r="U254">
        <v>9</v>
      </c>
      <c r="V254">
        <v>8</v>
      </c>
      <c r="W254">
        <v>3</v>
      </c>
      <c r="X254">
        <v>12</v>
      </c>
      <c r="Y254">
        <v>9</v>
      </c>
      <c r="Z254">
        <v>7</v>
      </c>
      <c r="AA254">
        <v>9</v>
      </c>
      <c r="AB254">
        <v>4</v>
      </c>
      <c r="AC254">
        <v>1</v>
      </c>
      <c r="AD254">
        <v>0</v>
      </c>
      <c r="AE254">
        <v>0</v>
      </c>
    </row>
    <row r="255" spans="1:31" x14ac:dyDescent="0.25">
      <c r="A255" t="s">
        <v>31</v>
      </c>
      <c r="B255" s="2">
        <v>45710</v>
      </c>
      <c r="C255" t="s">
        <v>41</v>
      </c>
      <c r="D255" t="s">
        <v>42</v>
      </c>
      <c r="E255" t="s">
        <v>51</v>
      </c>
      <c r="F255">
        <v>1.2</v>
      </c>
      <c r="G255">
        <v>1.1000000000000001</v>
      </c>
      <c r="H255">
        <v>68</v>
      </c>
      <c r="I255">
        <v>32</v>
      </c>
      <c r="J255">
        <v>694</v>
      </c>
      <c r="K255">
        <v>334</v>
      </c>
      <c r="L255">
        <v>600</v>
      </c>
      <c r="M255">
        <v>257</v>
      </c>
      <c r="N255">
        <v>0</v>
      </c>
      <c r="O255">
        <v>1</v>
      </c>
      <c r="P255" t="s">
        <v>40</v>
      </c>
      <c r="Q255">
        <v>0</v>
      </c>
      <c r="R255">
        <v>1</v>
      </c>
      <c r="S255" t="s">
        <v>40</v>
      </c>
      <c r="T255">
        <v>20</v>
      </c>
      <c r="U255">
        <v>5</v>
      </c>
      <c r="V255">
        <v>2</v>
      </c>
      <c r="W255">
        <v>2</v>
      </c>
      <c r="X255">
        <v>16</v>
      </c>
      <c r="Y255">
        <v>15</v>
      </c>
      <c r="Z255">
        <v>2</v>
      </c>
      <c r="AA255">
        <v>0</v>
      </c>
      <c r="AB255">
        <v>1</v>
      </c>
      <c r="AC255">
        <v>3</v>
      </c>
      <c r="AD255">
        <v>1</v>
      </c>
      <c r="AE255">
        <v>0</v>
      </c>
    </row>
    <row r="256" spans="1:31" x14ac:dyDescent="0.25">
      <c r="A256" t="s">
        <v>31</v>
      </c>
      <c r="B256" s="2">
        <v>45710</v>
      </c>
      <c r="C256" t="s">
        <v>41</v>
      </c>
      <c r="D256" t="s">
        <v>49</v>
      </c>
      <c r="E256" t="s">
        <v>43</v>
      </c>
      <c r="F256">
        <v>0.9</v>
      </c>
      <c r="G256">
        <v>2</v>
      </c>
      <c r="H256">
        <v>46</v>
      </c>
      <c r="I256">
        <v>54</v>
      </c>
      <c r="J256">
        <v>412</v>
      </c>
      <c r="K256">
        <v>490</v>
      </c>
      <c r="L256">
        <v>298</v>
      </c>
      <c r="M256">
        <v>381</v>
      </c>
      <c r="N256">
        <v>0</v>
      </c>
      <c r="O256">
        <v>1</v>
      </c>
      <c r="P256" t="s">
        <v>40</v>
      </c>
      <c r="Q256">
        <v>0</v>
      </c>
      <c r="R256">
        <v>1</v>
      </c>
      <c r="S256" t="s">
        <v>40</v>
      </c>
      <c r="T256">
        <v>8</v>
      </c>
      <c r="U256">
        <v>13</v>
      </c>
      <c r="V256">
        <v>3</v>
      </c>
      <c r="W256">
        <v>5</v>
      </c>
      <c r="X256">
        <v>17</v>
      </c>
      <c r="Y256">
        <v>9</v>
      </c>
      <c r="Z256">
        <v>6</v>
      </c>
      <c r="AA256">
        <v>7</v>
      </c>
      <c r="AB256">
        <v>3</v>
      </c>
      <c r="AC256">
        <v>3</v>
      </c>
      <c r="AD256">
        <v>1</v>
      </c>
      <c r="AE256">
        <v>0</v>
      </c>
    </row>
    <row r="257" spans="1:31" x14ac:dyDescent="0.25">
      <c r="A257" t="s">
        <v>31</v>
      </c>
      <c r="B257" s="2">
        <v>45710</v>
      </c>
      <c r="C257" t="s">
        <v>41</v>
      </c>
      <c r="D257" t="s">
        <v>34</v>
      </c>
      <c r="E257" t="s">
        <v>55</v>
      </c>
      <c r="F257">
        <v>0.2</v>
      </c>
      <c r="G257">
        <v>1.3</v>
      </c>
      <c r="H257">
        <v>62</v>
      </c>
      <c r="I257">
        <v>38</v>
      </c>
      <c r="J257">
        <v>588</v>
      </c>
      <c r="K257">
        <v>363</v>
      </c>
      <c r="L257">
        <v>471</v>
      </c>
      <c r="M257">
        <v>267</v>
      </c>
      <c r="N257">
        <v>0</v>
      </c>
      <c r="O257">
        <v>2</v>
      </c>
      <c r="P257" t="s">
        <v>40</v>
      </c>
      <c r="Q257">
        <v>0</v>
      </c>
      <c r="R257">
        <v>1</v>
      </c>
      <c r="S257" t="s">
        <v>40</v>
      </c>
      <c r="T257">
        <v>10</v>
      </c>
      <c r="U257">
        <v>10</v>
      </c>
      <c r="V257">
        <v>0</v>
      </c>
      <c r="W257">
        <v>5</v>
      </c>
      <c r="X257">
        <v>10</v>
      </c>
      <c r="Y257">
        <v>7</v>
      </c>
      <c r="Z257">
        <v>7</v>
      </c>
      <c r="AA257">
        <v>7</v>
      </c>
      <c r="AB257">
        <v>1</v>
      </c>
      <c r="AC257">
        <v>3</v>
      </c>
      <c r="AD257">
        <v>0</v>
      </c>
      <c r="AE257">
        <v>0</v>
      </c>
    </row>
    <row r="258" spans="1:31" x14ac:dyDescent="0.25">
      <c r="A258" t="s">
        <v>31</v>
      </c>
      <c r="B258" s="2">
        <v>45710</v>
      </c>
      <c r="C258" t="s">
        <v>41</v>
      </c>
      <c r="D258" t="s">
        <v>38</v>
      </c>
      <c r="E258" t="s">
        <v>60</v>
      </c>
      <c r="F258">
        <v>1.1000000000000001</v>
      </c>
      <c r="G258">
        <v>1.7</v>
      </c>
      <c r="H258">
        <v>42</v>
      </c>
      <c r="I258">
        <v>58</v>
      </c>
      <c r="J258">
        <v>391</v>
      </c>
      <c r="K258">
        <v>549</v>
      </c>
      <c r="L258">
        <v>312</v>
      </c>
      <c r="M258">
        <v>473</v>
      </c>
      <c r="N258">
        <v>1</v>
      </c>
      <c r="O258">
        <v>4</v>
      </c>
      <c r="P258" t="s">
        <v>40</v>
      </c>
      <c r="Q258">
        <v>1</v>
      </c>
      <c r="R258">
        <v>2</v>
      </c>
      <c r="S258" t="s">
        <v>40</v>
      </c>
      <c r="T258">
        <v>17</v>
      </c>
      <c r="U258">
        <v>10</v>
      </c>
      <c r="V258">
        <v>5</v>
      </c>
      <c r="W258">
        <v>6</v>
      </c>
      <c r="X258">
        <v>15</v>
      </c>
      <c r="Y258">
        <v>14</v>
      </c>
      <c r="Z258">
        <v>4</v>
      </c>
      <c r="AA258">
        <v>4</v>
      </c>
      <c r="AB258">
        <v>2</v>
      </c>
      <c r="AC258">
        <v>1</v>
      </c>
      <c r="AD258">
        <v>0</v>
      </c>
      <c r="AE258">
        <v>0</v>
      </c>
    </row>
    <row r="259" spans="1:31" x14ac:dyDescent="0.25">
      <c r="A259" t="s">
        <v>31</v>
      </c>
      <c r="B259" s="2">
        <v>45710</v>
      </c>
      <c r="C259" t="s">
        <v>41</v>
      </c>
      <c r="D259" t="s">
        <v>47</v>
      </c>
      <c r="E259" t="s">
        <v>45</v>
      </c>
      <c r="F259">
        <v>0.1</v>
      </c>
      <c r="G259">
        <v>3.9</v>
      </c>
      <c r="H259">
        <v>50</v>
      </c>
      <c r="I259">
        <v>50</v>
      </c>
      <c r="J259">
        <v>467</v>
      </c>
      <c r="K259">
        <v>467</v>
      </c>
      <c r="L259">
        <v>369</v>
      </c>
      <c r="M259">
        <v>374</v>
      </c>
      <c r="N259">
        <v>0</v>
      </c>
      <c r="O259">
        <v>4</v>
      </c>
      <c r="P259" t="s">
        <v>40</v>
      </c>
      <c r="Q259">
        <v>0</v>
      </c>
      <c r="R259">
        <v>1</v>
      </c>
      <c r="S259" t="s">
        <v>40</v>
      </c>
      <c r="T259">
        <v>6</v>
      </c>
      <c r="U259">
        <v>18</v>
      </c>
      <c r="V259">
        <v>1</v>
      </c>
      <c r="W259">
        <v>12</v>
      </c>
      <c r="X259">
        <v>11</v>
      </c>
      <c r="Y259">
        <v>12</v>
      </c>
      <c r="Z259">
        <v>5</v>
      </c>
      <c r="AA259">
        <v>6</v>
      </c>
      <c r="AB259">
        <v>2</v>
      </c>
      <c r="AC259">
        <v>0</v>
      </c>
      <c r="AD259">
        <v>0</v>
      </c>
      <c r="AE259">
        <v>0</v>
      </c>
    </row>
    <row r="260" spans="1:31" x14ac:dyDescent="0.25">
      <c r="A260" t="s">
        <v>31</v>
      </c>
      <c r="B260" s="2">
        <v>45710</v>
      </c>
      <c r="C260" t="s">
        <v>50</v>
      </c>
      <c r="D260" t="s">
        <v>52</v>
      </c>
      <c r="E260" t="s">
        <v>57</v>
      </c>
      <c r="F260">
        <v>2.2999999999999998</v>
      </c>
      <c r="G260">
        <v>2.2999999999999998</v>
      </c>
      <c r="H260">
        <v>52</v>
      </c>
      <c r="I260">
        <v>48</v>
      </c>
      <c r="J260">
        <v>518</v>
      </c>
      <c r="K260">
        <v>475</v>
      </c>
      <c r="L260">
        <v>441</v>
      </c>
      <c r="M260">
        <v>409</v>
      </c>
      <c r="N260">
        <v>2</v>
      </c>
      <c r="O260">
        <v>1</v>
      </c>
      <c r="P260" t="s">
        <v>35</v>
      </c>
      <c r="Q260">
        <v>0</v>
      </c>
      <c r="R260">
        <v>1</v>
      </c>
      <c r="S260" t="s">
        <v>40</v>
      </c>
      <c r="T260">
        <v>12</v>
      </c>
      <c r="U260">
        <v>15</v>
      </c>
      <c r="V260">
        <v>6</v>
      </c>
      <c r="W260">
        <v>7</v>
      </c>
      <c r="X260">
        <v>15</v>
      </c>
      <c r="Y260">
        <v>16</v>
      </c>
      <c r="Z260">
        <v>2</v>
      </c>
      <c r="AA260">
        <v>3</v>
      </c>
      <c r="AB260">
        <v>1</v>
      </c>
      <c r="AC260">
        <v>3</v>
      </c>
      <c r="AD260">
        <v>0</v>
      </c>
      <c r="AE260">
        <v>0</v>
      </c>
    </row>
    <row r="261" spans="1:31" x14ac:dyDescent="0.25">
      <c r="A261" t="s">
        <v>31</v>
      </c>
      <c r="B261" s="2">
        <v>45711</v>
      </c>
      <c r="C261" t="s">
        <v>53</v>
      </c>
      <c r="D261" t="s">
        <v>46</v>
      </c>
      <c r="E261" t="s">
        <v>48</v>
      </c>
      <c r="F261">
        <v>2.9</v>
      </c>
      <c r="G261">
        <v>1.7</v>
      </c>
      <c r="H261">
        <v>57</v>
      </c>
      <c r="I261">
        <v>43</v>
      </c>
      <c r="J261">
        <v>512</v>
      </c>
      <c r="K261">
        <v>386</v>
      </c>
      <c r="L261">
        <v>407</v>
      </c>
      <c r="M261">
        <v>279</v>
      </c>
      <c r="N261">
        <v>4</v>
      </c>
      <c r="O261">
        <v>3</v>
      </c>
      <c r="P261" t="s">
        <v>35</v>
      </c>
      <c r="Q261">
        <v>4</v>
      </c>
      <c r="R261">
        <v>1</v>
      </c>
      <c r="S261" t="s">
        <v>35</v>
      </c>
      <c r="T261">
        <v>13</v>
      </c>
      <c r="U261">
        <v>17</v>
      </c>
      <c r="V261">
        <v>5</v>
      </c>
      <c r="W261">
        <v>5</v>
      </c>
      <c r="X261">
        <v>11</v>
      </c>
      <c r="Y261">
        <v>13</v>
      </c>
      <c r="Z261">
        <v>7</v>
      </c>
      <c r="AA261">
        <v>6</v>
      </c>
      <c r="AB261">
        <v>1</v>
      </c>
      <c r="AC261">
        <v>4</v>
      </c>
      <c r="AD261">
        <v>0</v>
      </c>
      <c r="AE261">
        <v>0</v>
      </c>
    </row>
    <row r="262" spans="1:31" x14ac:dyDescent="0.25">
      <c r="A262" t="s">
        <v>31</v>
      </c>
      <c r="B262" s="2">
        <v>45711</v>
      </c>
      <c r="C262" t="s">
        <v>56</v>
      </c>
      <c r="D262" t="s">
        <v>58</v>
      </c>
      <c r="E262" t="s">
        <v>39</v>
      </c>
      <c r="F262">
        <v>0.6</v>
      </c>
      <c r="G262">
        <v>0.7</v>
      </c>
      <c r="H262">
        <v>66</v>
      </c>
      <c r="I262">
        <v>34</v>
      </c>
      <c r="J262">
        <v>704</v>
      </c>
      <c r="K262">
        <v>356</v>
      </c>
      <c r="L262">
        <v>627</v>
      </c>
      <c r="M262">
        <v>282</v>
      </c>
      <c r="N262">
        <v>0</v>
      </c>
      <c r="O262">
        <v>2</v>
      </c>
      <c r="P262" t="s">
        <v>40</v>
      </c>
      <c r="Q262">
        <v>0</v>
      </c>
      <c r="R262">
        <v>2</v>
      </c>
      <c r="S262" t="s">
        <v>40</v>
      </c>
      <c r="T262">
        <v>16</v>
      </c>
      <c r="U262">
        <v>8</v>
      </c>
      <c r="V262">
        <v>5</v>
      </c>
      <c r="W262">
        <v>4</v>
      </c>
      <c r="X262">
        <v>3</v>
      </c>
      <c r="Y262">
        <v>10</v>
      </c>
      <c r="Z262">
        <v>7</v>
      </c>
      <c r="AA262">
        <v>5</v>
      </c>
      <c r="AB262">
        <v>0</v>
      </c>
      <c r="AC262">
        <v>0</v>
      </c>
      <c r="AD262">
        <v>0</v>
      </c>
      <c r="AE262">
        <v>0</v>
      </c>
    </row>
    <row r="263" spans="1:31" x14ac:dyDescent="0.25">
      <c r="A263" t="s">
        <v>31</v>
      </c>
      <c r="B263" s="2">
        <v>45713</v>
      </c>
      <c r="C263" t="s">
        <v>63</v>
      </c>
      <c r="D263" t="s">
        <v>45</v>
      </c>
      <c r="E263" t="s">
        <v>49</v>
      </c>
      <c r="F263">
        <v>2.4</v>
      </c>
      <c r="G263">
        <v>1.5</v>
      </c>
      <c r="H263">
        <v>44</v>
      </c>
      <c r="I263">
        <v>56</v>
      </c>
      <c r="J263">
        <v>404</v>
      </c>
      <c r="K263">
        <v>515</v>
      </c>
      <c r="L263">
        <v>285</v>
      </c>
      <c r="M263">
        <v>402</v>
      </c>
      <c r="N263">
        <v>2</v>
      </c>
      <c r="O263">
        <v>1</v>
      </c>
      <c r="P263" t="s">
        <v>35</v>
      </c>
      <c r="Q263">
        <v>1</v>
      </c>
      <c r="R263">
        <v>0</v>
      </c>
      <c r="S263" t="s">
        <v>35</v>
      </c>
      <c r="T263">
        <v>11</v>
      </c>
      <c r="U263">
        <v>19</v>
      </c>
      <c r="V263">
        <v>4</v>
      </c>
      <c r="W263">
        <v>5</v>
      </c>
      <c r="X263">
        <v>12</v>
      </c>
      <c r="Y263">
        <v>14</v>
      </c>
      <c r="Z263">
        <v>1</v>
      </c>
      <c r="AA263">
        <v>9</v>
      </c>
      <c r="AB263">
        <v>2</v>
      </c>
      <c r="AC263">
        <v>1</v>
      </c>
      <c r="AD263">
        <v>0</v>
      </c>
      <c r="AE263">
        <v>0</v>
      </c>
    </row>
    <row r="264" spans="1:31" x14ac:dyDescent="0.25">
      <c r="A264" t="s">
        <v>31</v>
      </c>
      <c r="B264" s="2">
        <v>45713</v>
      </c>
      <c r="C264" t="s">
        <v>63</v>
      </c>
      <c r="D264" t="s">
        <v>55</v>
      </c>
      <c r="E264" t="s">
        <v>52</v>
      </c>
      <c r="F264">
        <v>4.3</v>
      </c>
      <c r="G264">
        <v>0.4</v>
      </c>
      <c r="H264">
        <v>36</v>
      </c>
      <c r="I264">
        <v>64</v>
      </c>
      <c r="J264">
        <v>290</v>
      </c>
      <c r="K264">
        <v>509</v>
      </c>
      <c r="L264">
        <v>202</v>
      </c>
      <c r="M264">
        <v>424</v>
      </c>
      <c r="N264">
        <v>4</v>
      </c>
      <c r="O264">
        <v>1</v>
      </c>
      <c r="P264" t="s">
        <v>35</v>
      </c>
      <c r="Q264">
        <v>1</v>
      </c>
      <c r="R264">
        <v>0</v>
      </c>
      <c r="S264" t="s">
        <v>35</v>
      </c>
      <c r="T264">
        <v>19</v>
      </c>
      <c r="U264">
        <v>6</v>
      </c>
      <c r="V264">
        <v>6</v>
      </c>
      <c r="W264">
        <v>2</v>
      </c>
      <c r="X264">
        <v>19</v>
      </c>
      <c r="Y264">
        <v>10</v>
      </c>
      <c r="Z264">
        <v>3</v>
      </c>
      <c r="AA264">
        <v>8</v>
      </c>
      <c r="AB264">
        <v>3</v>
      </c>
      <c r="AC264">
        <v>1</v>
      </c>
      <c r="AD264">
        <v>0</v>
      </c>
      <c r="AE264">
        <v>0</v>
      </c>
    </row>
    <row r="265" spans="1:31" x14ac:dyDescent="0.25">
      <c r="A265" t="s">
        <v>31</v>
      </c>
      <c r="B265" s="2">
        <v>45713</v>
      </c>
      <c r="C265" t="s">
        <v>63</v>
      </c>
      <c r="D265" t="s">
        <v>43</v>
      </c>
      <c r="E265" t="s">
        <v>34</v>
      </c>
      <c r="F265">
        <v>1.3</v>
      </c>
      <c r="G265">
        <v>1.7</v>
      </c>
      <c r="H265">
        <v>60</v>
      </c>
      <c r="I265">
        <v>40</v>
      </c>
      <c r="J265">
        <v>625</v>
      </c>
      <c r="K265">
        <v>410</v>
      </c>
      <c r="L265">
        <v>535</v>
      </c>
      <c r="M265">
        <v>343</v>
      </c>
      <c r="N265">
        <v>1</v>
      </c>
      <c r="O265">
        <v>2</v>
      </c>
      <c r="P265" t="s">
        <v>40</v>
      </c>
      <c r="Q265">
        <v>1</v>
      </c>
      <c r="R265">
        <v>1</v>
      </c>
      <c r="S265" t="s">
        <v>36</v>
      </c>
      <c r="T265">
        <v>18</v>
      </c>
      <c r="U265">
        <v>11</v>
      </c>
      <c r="V265">
        <v>5</v>
      </c>
      <c r="W265">
        <v>5</v>
      </c>
      <c r="X265">
        <v>8</v>
      </c>
      <c r="Y265">
        <v>15</v>
      </c>
      <c r="Z265">
        <v>7</v>
      </c>
      <c r="AA265">
        <v>5</v>
      </c>
      <c r="AB265">
        <v>1</v>
      </c>
      <c r="AC265">
        <v>3</v>
      </c>
      <c r="AD265">
        <v>0</v>
      </c>
      <c r="AE265">
        <v>0</v>
      </c>
    </row>
    <row r="266" spans="1:31" x14ac:dyDescent="0.25">
      <c r="A266" t="s">
        <v>31</v>
      </c>
      <c r="B266" s="2">
        <v>45713</v>
      </c>
      <c r="C266" t="s">
        <v>64</v>
      </c>
      <c r="D266" t="s">
        <v>57</v>
      </c>
      <c r="E266" t="s">
        <v>47</v>
      </c>
      <c r="F266">
        <v>2.4</v>
      </c>
      <c r="G266">
        <v>0.7</v>
      </c>
      <c r="H266">
        <v>60</v>
      </c>
      <c r="I266">
        <v>40</v>
      </c>
      <c r="J266">
        <v>648</v>
      </c>
      <c r="K266">
        <v>441</v>
      </c>
      <c r="L266">
        <v>585</v>
      </c>
      <c r="M266">
        <v>370</v>
      </c>
      <c r="N266">
        <v>4</v>
      </c>
      <c r="O266">
        <v>0</v>
      </c>
      <c r="P266" t="s">
        <v>35</v>
      </c>
      <c r="Q266">
        <v>3</v>
      </c>
      <c r="R266">
        <v>0</v>
      </c>
      <c r="S266" t="s">
        <v>35</v>
      </c>
      <c r="T266">
        <v>19</v>
      </c>
      <c r="U266">
        <v>7</v>
      </c>
      <c r="V266">
        <v>10</v>
      </c>
      <c r="W266">
        <v>2</v>
      </c>
      <c r="X266">
        <v>6</v>
      </c>
      <c r="Y266">
        <v>9</v>
      </c>
      <c r="Z266">
        <v>4</v>
      </c>
      <c r="AA266">
        <v>2</v>
      </c>
      <c r="AB266">
        <v>1</v>
      </c>
      <c r="AC266">
        <v>2</v>
      </c>
      <c r="AD266">
        <v>0</v>
      </c>
      <c r="AE266">
        <v>0</v>
      </c>
    </row>
    <row r="267" spans="1:31" x14ac:dyDescent="0.25">
      <c r="A267" t="s">
        <v>31</v>
      </c>
      <c r="B267" s="2">
        <v>45714</v>
      </c>
      <c r="C267" t="s">
        <v>63</v>
      </c>
      <c r="D267" t="s">
        <v>54</v>
      </c>
      <c r="E267" t="s">
        <v>44</v>
      </c>
      <c r="F267">
        <v>1.4</v>
      </c>
      <c r="G267">
        <v>1.5</v>
      </c>
      <c r="H267">
        <v>52</v>
      </c>
      <c r="I267">
        <v>48</v>
      </c>
      <c r="J267">
        <v>507</v>
      </c>
      <c r="K267">
        <v>474</v>
      </c>
      <c r="L267">
        <v>411</v>
      </c>
      <c r="M267">
        <v>378</v>
      </c>
      <c r="N267">
        <v>1</v>
      </c>
      <c r="O267">
        <v>1</v>
      </c>
      <c r="P267" t="s">
        <v>36</v>
      </c>
      <c r="Q267">
        <v>1</v>
      </c>
      <c r="R267">
        <v>0</v>
      </c>
      <c r="S267" t="s">
        <v>35</v>
      </c>
      <c r="T267">
        <v>12</v>
      </c>
      <c r="U267">
        <v>14</v>
      </c>
      <c r="V267">
        <v>3</v>
      </c>
      <c r="W267">
        <v>4</v>
      </c>
      <c r="X267">
        <v>3</v>
      </c>
      <c r="Y267">
        <v>6</v>
      </c>
      <c r="Z267">
        <v>2</v>
      </c>
      <c r="AA267">
        <v>5</v>
      </c>
      <c r="AB267">
        <v>2</v>
      </c>
      <c r="AC267">
        <v>1</v>
      </c>
      <c r="AD267">
        <v>0</v>
      </c>
      <c r="AE267">
        <v>0</v>
      </c>
    </row>
    <row r="268" spans="1:31" x14ac:dyDescent="0.25">
      <c r="A268" t="s">
        <v>31</v>
      </c>
      <c r="B268" s="2">
        <v>45714</v>
      </c>
      <c r="C268" t="s">
        <v>63</v>
      </c>
      <c r="D268" t="s">
        <v>33</v>
      </c>
      <c r="E268" t="s">
        <v>38</v>
      </c>
      <c r="F268">
        <v>0.7</v>
      </c>
      <c r="G268">
        <v>1.4</v>
      </c>
      <c r="H268">
        <v>45</v>
      </c>
      <c r="I268">
        <v>55</v>
      </c>
      <c r="J268">
        <v>397</v>
      </c>
      <c r="K268">
        <v>486</v>
      </c>
      <c r="L268">
        <v>313</v>
      </c>
      <c r="M268">
        <v>404</v>
      </c>
      <c r="N268">
        <v>3</v>
      </c>
      <c r="O268">
        <v>2</v>
      </c>
      <c r="P268" t="s">
        <v>35</v>
      </c>
      <c r="Q268">
        <v>2</v>
      </c>
      <c r="R268">
        <v>2</v>
      </c>
      <c r="S268" t="s">
        <v>36</v>
      </c>
      <c r="T268">
        <v>10</v>
      </c>
      <c r="U268">
        <v>12</v>
      </c>
      <c r="V268">
        <v>6</v>
      </c>
      <c r="W268">
        <v>3</v>
      </c>
      <c r="X268">
        <v>9</v>
      </c>
      <c r="Y268">
        <v>16</v>
      </c>
      <c r="Z268">
        <v>5</v>
      </c>
      <c r="AA268">
        <v>6</v>
      </c>
      <c r="AB268">
        <v>4</v>
      </c>
      <c r="AC268">
        <v>4</v>
      </c>
      <c r="AD268">
        <v>1</v>
      </c>
      <c r="AE268">
        <v>0</v>
      </c>
    </row>
    <row r="269" spans="1:31" x14ac:dyDescent="0.25">
      <c r="A269" t="s">
        <v>31</v>
      </c>
      <c r="B269" s="2">
        <v>45714</v>
      </c>
      <c r="C269" t="s">
        <v>63</v>
      </c>
      <c r="D269" t="s">
        <v>48</v>
      </c>
      <c r="E269" t="s">
        <v>42</v>
      </c>
      <c r="F269">
        <v>0.4</v>
      </c>
      <c r="G269">
        <v>1</v>
      </c>
      <c r="H269">
        <v>36</v>
      </c>
      <c r="I269">
        <v>64</v>
      </c>
      <c r="J269">
        <v>303</v>
      </c>
      <c r="K269">
        <v>544</v>
      </c>
      <c r="L269">
        <v>213</v>
      </c>
      <c r="M269">
        <v>455</v>
      </c>
      <c r="N269">
        <v>0</v>
      </c>
      <c r="O269">
        <v>0</v>
      </c>
      <c r="P269" t="s">
        <v>36</v>
      </c>
      <c r="Q269">
        <v>0</v>
      </c>
      <c r="R269">
        <v>0</v>
      </c>
      <c r="S269" t="s">
        <v>36</v>
      </c>
      <c r="T269">
        <v>6</v>
      </c>
      <c r="U269">
        <v>13</v>
      </c>
      <c r="V269">
        <v>2</v>
      </c>
      <c r="W269">
        <v>1</v>
      </c>
      <c r="X269">
        <v>10</v>
      </c>
      <c r="Y269">
        <v>17</v>
      </c>
      <c r="Z269">
        <v>3</v>
      </c>
      <c r="AA269">
        <v>11</v>
      </c>
      <c r="AB269">
        <v>1</v>
      </c>
      <c r="AC269">
        <v>1</v>
      </c>
      <c r="AD269">
        <v>0</v>
      </c>
      <c r="AE269">
        <v>0</v>
      </c>
    </row>
    <row r="270" spans="1:31" x14ac:dyDescent="0.25">
      <c r="A270" t="s">
        <v>31</v>
      </c>
      <c r="B270" s="2">
        <v>45714</v>
      </c>
      <c r="C270" t="s">
        <v>63</v>
      </c>
      <c r="D270" t="s">
        <v>60</v>
      </c>
      <c r="E270" t="s">
        <v>58</v>
      </c>
      <c r="F270">
        <v>1.3</v>
      </c>
      <c r="G270">
        <v>2.1</v>
      </c>
      <c r="H270">
        <v>55</v>
      </c>
      <c r="I270">
        <v>45</v>
      </c>
      <c r="J270">
        <v>569</v>
      </c>
      <c r="K270">
        <v>460</v>
      </c>
      <c r="L270">
        <v>497</v>
      </c>
      <c r="M270">
        <v>392</v>
      </c>
      <c r="N270">
        <v>0</v>
      </c>
      <c r="O270">
        <v>1</v>
      </c>
      <c r="P270" t="s">
        <v>40</v>
      </c>
      <c r="Q270">
        <v>0</v>
      </c>
      <c r="R270">
        <v>1</v>
      </c>
      <c r="S270" t="s">
        <v>40</v>
      </c>
      <c r="T270">
        <v>11</v>
      </c>
      <c r="U270">
        <v>12</v>
      </c>
      <c r="V270">
        <v>6</v>
      </c>
      <c r="W270">
        <v>5</v>
      </c>
      <c r="X270">
        <v>12</v>
      </c>
      <c r="Y270">
        <v>15</v>
      </c>
      <c r="Z270">
        <v>8</v>
      </c>
      <c r="AA270">
        <v>3</v>
      </c>
      <c r="AB270">
        <v>3</v>
      </c>
      <c r="AC270">
        <v>0</v>
      </c>
      <c r="AD270">
        <v>0</v>
      </c>
      <c r="AE270">
        <v>0</v>
      </c>
    </row>
    <row r="271" spans="1:31" x14ac:dyDescent="0.25">
      <c r="A271" t="s">
        <v>31</v>
      </c>
      <c r="B271" s="2">
        <v>45714</v>
      </c>
      <c r="C271" t="s">
        <v>64</v>
      </c>
      <c r="D271" t="s">
        <v>39</v>
      </c>
      <c r="E271" t="s">
        <v>46</v>
      </c>
      <c r="F271">
        <v>1.7</v>
      </c>
      <c r="G271">
        <v>0.2</v>
      </c>
      <c r="H271">
        <v>61</v>
      </c>
      <c r="I271">
        <v>39</v>
      </c>
      <c r="J271">
        <v>623</v>
      </c>
      <c r="K271">
        <v>402</v>
      </c>
      <c r="L271">
        <v>555</v>
      </c>
      <c r="M271">
        <v>327</v>
      </c>
      <c r="N271">
        <v>2</v>
      </c>
      <c r="O271">
        <v>0</v>
      </c>
      <c r="P271" t="s">
        <v>35</v>
      </c>
      <c r="Q271">
        <v>1</v>
      </c>
      <c r="R271">
        <v>0</v>
      </c>
      <c r="S271" t="s">
        <v>35</v>
      </c>
      <c r="T271">
        <v>12</v>
      </c>
      <c r="U271">
        <v>3</v>
      </c>
      <c r="V271">
        <v>3</v>
      </c>
      <c r="W271">
        <v>0</v>
      </c>
      <c r="X271">
        <v>12</v>
      </c>
      <c r="Y271">
        <v>11</v>
      </c>
      <c r="Z271">
        <v>4</v>
      </c>
      <c r="AA271">
        <v>2</v>
      </c>
      <c r="AB271">
        <v>0</v>
      </c>
      <c r="AC271">
        <v>1</v>
      </c>
      <c r="AD271">
        <v>0</v>
      </c>
      <c r="AE271">
        <v>0</v>
      </c>
    </row>
    <row r="272" spans="1:31" x14ac:dyDescent="0.25">
      <c r="A272" t="s">
        <v>31</v>
      </c>
      <c r="B272" s="2">
        <v>45715</v>
      </c>
      <c r="C272" t="s">
        <v>32</v>
      </c>
      <c r="D272" t="s">
        <v>51</v>
      </c>
      <c r="E272" t="s">
        <v>59</v>
      </c>
      <c r="F272">
        <v>1.3</v>
      </c>
      <c r="G272">
        <v>0.4</v>
      </c>
      <c r="H272">
        <v>58</v>
      </c>
      <c r="I272">
        <v>42</v>
      </c>
      <c r="J272">
        <v>686</v>
      </c>
      <c r="K272">
        <v>504</v>
      </c>
      <c r="L272">
        <v>602</v>
      </c>
      <c r="M272">
        <v>411</v>
      </c>
      <c r="N272">
        <v>2</v>
      </c>
      <c r="O272">
        <v>0</v>
      </c>
      <c r="P272" t="s">
        <v>35</v>
      </c>
      <c r="Q272">
        <v>2</v>
      </c>
      <c r="R272">
        <v>0</v>
      </c>
      <c r="S272" t="s">
        <v>35</v>
      </c>
      <c r="T272">
        <v>8</v>
      </c>
      <c r="U272">
        <v>10</v>
      </c>
      <c r="V272">
        <v>2</v>
      </c>
      <c r="W272">
        <v>2</v>
      </c>
      <c r="X272">
        <v>12</v>
      </c>
      <c r="Y272">
        <v>6</v>
      </c>
      <c r="Z272">
        <v>3</v>
      </c>
      <c r="AA272">
        <v>3</v>
      </c>
      <c r="AB272">
        <v>0</v>
      </c>
      <c r="AC272">
        <v>0</v>
      </c>
      <c r="AD272">
        <v>0</v>
      </c>
      <c r="AE272">
        <v>0</v>
      </c>
    </row>
    <row r="273" spans="1:31" x14ac:dyDescent="0.25">
      <c r="A273" t="s">
        <v>31</v>
      </c>
      <c r="B273" s="2">
        <v>45724</v>
      </c>
      <c r="C273" t="s">
        <v>37</v>
      </c>
      <c r="D273" t="s">
        <v>48</v>
      </c>
      <c r="E273" t="s">
        <v>58</v>
      </c>
      <c r="F273">
        <v>0.7</v>
      </c>
      <c r="G273">
        <v>0.9</v>
      </c>
      <c r="H273">
        <v>31</v>
      </c>
      <c r="I273">
        <v>69</v>
      </c>
      <c r="J273">
        <v>299</v>
      </c>
      <c r="K273">
        <v>652</v>
      </c>
      <c r="L273">
        <v>230</v>
      </c>
      <c r="M273">
        <v>571</v>
      </c>
      <c r="N273">
        <v>1</v>
      </c>
      <c r="O273">
        <v>0</v>
      </c>
      <c r="P273" t="s">
        <v>35</v>
      </c>
      <c r="Q273">
        <v>0</v>
      </c>
      <c r="R273">
        <v>0</v>
      </c>
      <c r="S273" t="s">
        <v>36</v>
      </c>
      <c r="T273">
        <v>9</v>
      </c>
      <c r="U273">
        <v>14</v>
      </c>
      <c r="V273">
        <v>4</v>
      </c>
      <c r="W273">
        <v>3</v>
      </c>
      <c r="X273">
        <v>9</v>
      </c>
      <c r="Y273">
        <v>7</v>
      </c>
      <c r="Z273">
        <v>3</v>
      </c>
      <c r="AA273">
        <v>2</v>
      </c>
      <c r="AB273">
        <v>3</v>
      </c>
      <c r="AC273">
        <v>2</v>
      </c>
      <c r="AD273">
        <v>0</v>
      </c>
      <c r="AE273">
        <v>0</v>
      </c>
    </row>
    <row r="274" spans="1:31" x14ac:dyDescent="0.25">
      <c r="A274" t="s">
        <v>31</v>
      </c>
      <c r="B274" s="2">
        <v>45724</v>
      </c>
      <c r="C274" t="s">
        <v>41</v>
      </c>
      <c r="D274" t="s">
        <v>45</v>
      </c>
      <c r="E274" t="s">
        <v>34</v>
      </c>
      <c r="F274">
        <v>1.5</v>
      </c>
      <c r="G274">
        <v>0.9</v>
      </c>
      <c r="H274">
        <v>53</v>
      </c>
      <c r="I274">
        <v>47</v>
      </c>
      <c r="J274">
        <v>550</v>
      </c>
      <c r="K274">
        <v>479</v>
      </c>
      <c r="L274">
        <v>463</v>
      </c>
      <c r="M274">
        <v>391</v>
      </c>
      <c r="N274">
        <v>2</v>
      </c>
      <c r="O274">
        <v>1</v>
      </c>
      <c r="P274" t="s">
        <v>35</v>
      </c>
      <c r="Q274">
        <v>1</v>
      </c>
      <c r="R274">
        <v>1</v>
      </c>
      <c r="S274" t="s">
        <v>36</v>
      </c>
      <c r="T274">
        <v>9</v>
      </c>
      <c r="U274">
        <v>6</v>
      </c>
      <c r="V274">
        <v>4</v>
      </c>
      <c r="W274">
        <v>1</v>
      </c>
      <c r="X274">
        <v>6</v>
      </c>
      <c r="Y274">
        <v>12</v>
      </c>
      <c r="Z274">
        <v>3</v>
      </c>
      <c r="AA274">
        <v>7</v>
      </c>
      <c r="AB274">
        <v>0</v>
      </c>
      <c r="AC274">
        <v>2</v>
      </c>
      <c r="AD274">
        <v>0</v>
      </c>
      <c r="AE274">
        <v>0</v>
      </c>
    </row>
    <row r="275" spans="1:31" x14ac:dyDescent="0.25">
      <c r="A275" t="s">
        <v>31</v>
      </c>
      <c r="B275" s="2">
        <v>45724</v>
      </c>
      <c r="C275" t="s">
        <v>41</v>
      </c>
      <c r="D275" t="s">
        <v>55</v>
      </c>
      <c r="E275" t="s">
        <v>38</v>
      </c>
      <c r="F275">
        <v>3.2</v>
      </c>
      <c r="G275">
        <v>1.5</v>
      </c>
      <c r="H275">
        <v>55</v>
      </c>
      <c r="I275">
        <v>45</v>
      </c>
      <c r="J275">
        <v>459</v>
      </c>
      <c r="K275">
        <v>380</v>
      </c>
      <c r="L275">
        <v>336</v>
      </c>
      <c r="M275">
        <v>269</v>
      </c>
      <c r="N275">
        <v>1</v>
      </c>
      <c r="O275">
        <v>0</v>
      </c>
      <c r="P275" t="s">
        <v>35</v>
      </c>
      <c r="Q275">
        <v>0</v>
      </c>
      <c r="R275">
        <v>0</v>
      </c>
      <c r="S275" t="s">
        <v>36</v>
      </c>
      <c r="T275">
        <v>19</v>
      </c>
      <c r="U275">
        <v>15</v>
      </c>
      <c r="V275">
        <v>4</v>
      </c>
      <c r="W275">
        <v>8</v>
      </c>
      <c r="X275">
        <v>8</v>
      </c>
      <c r="Y275">
        <v>7</v>
      </c>
      <c r="Z275">
        <v>5</v>
      </c>
      <c r="AA275">
        <v>4</v>
      </c>
      <c r="AB275">
        <v>4</v>
      </c>
      <c r="AC275">
        <v>3</v>
      </c>
      <c r="AD275">
        <v>0</v>
      </c>
      <c r="AE275">
        <v>0</v>
      </c>
    </row>
    <row r="276" spans="1:31" x14ac:dyDescent="0.25">
      <c r="A276" t="s">
        <v>31</v>
      </c>
      <c r="B276" s="2">
        <v>45724</v>
      </c>
      <c r="C276" t="s">
        <v>41</v>
      </c>
      <c r="D276" t="s">
        <v>39</v>
      </c>
      <c r="E276" t="s">
        <v>47</v>
      </c>
      <c r="F276">
        <v>3.9</v>
      </c>
      <c r="G276">
        <v>0.4</v>
      </c>
      <c r="H276">
        <v>71</v>
      </c>
      <c r="I276">
        <v>29</v>
      </c>
      <c r="J276">
        <v>700</v>
      </c>
      <c r="K276">
        <v>286</v>
      </c>
      <c r="L276">
        <v>623</v>
      </c>
      <c r="M276">
        <v>216</v>
      </c>
      <c r="N276">
        <v>3</v>
      </c>
      <c r="O276">
        <v>1</v>
      </c>
      <c r="P276" t="s">
        <v>35</v>
      </c>
      <c r="Q276">
        <v>0</v>
      </c>
      <c r="R276">
        <v>1</v>
      </c>
      <c r="S276" t="s">
        <v>40</v>
      </c>
      <c r="T276">
        <v>28</v>
      </c>
      <c r="U276">
        <v>6</v>
      </c>
      <c r="V276">
        <v>7</v>
      </c>
      <c r="W276">
        <v>4</v>
      </c>
      <c r="X276">
        <v>10</v>
      </c>
      <c r="Y276">
        <v>9</v>
      </c>
      <c r="Z276">
        <v>6</v>
      </c>
      <c r="AA276">
        <v>4</v>
      </c>
      <c r="AB276">
        <v>2</v>
      </c>
      <c r="AC276">
        <v>1</v>
      </c>
      <c r="AD276">
        <v>0</v>
      </c>
      <c r="AE276">
        <v>0</v>
      </c>
    </row>
    <row r="277" spans="1:31" x14ac:dyDescent="0.25">
      <c r="A277" t="s">
        <v>31</v>
      </c>
      <c r="B277" s="2">
        <v>45724</v>
      </c>
      <c r="C277" t="s">
        <v>50</v>
      </c>
      <c r="D277" t="s">
        <v>54</v>
      </c>
      <c r="E277" t="s">
        <v>52</v>
      </c>
      <c r="F277">
        <v>0.8</v>
      </c>
      <c r="G277">
        <v>1.3</v>
      </c>
      <c r="H277">
        <v>59</v>
      </c>
      <c r="I277">
        <v>41</v>
      </c>
      <c r="J277">
        <v>505</v>
      </c>
      <c r="K277">
        <v>346</v>
      </c>
      <c r="L277">
        <v>415</v>
      </c>
      <c r="M277">
        <v>254</v>
      </c>
      <c r="N277">
        <v>0</v>
      </c>
      <c r="O277">
        <v>1</v>
      </c>
      <c r="P277" t="s">
        <v>40</v>
      </c>
      <c r="Q277">
        <v>0</v>
      </c>
      <c r="R277">
        <v>0</v>
      </c>
      <c r="S277" t="s">
        <v>36</v>
      </c>
      <c r="T277">
        <v>13</v>
      </c>
      <c r="U277">
        <v>12</v>
      </c>
      <c r="V277">
        <v>3</v>
      </c>
      <c r="W277">
        <v>4</v>
      </c>
      <c r="X277">
        <v>10</v>
      </c>
      <c r="Y277">
        <v>5</v>
      </c>
      <c r="Z277">
        <v>6</v>
      </c>
      <c r="AA277">
        <v>5</v>
      </c>
      <c r="AB277">
        <v>2</v>
      </c>
      <c r="AC277">
        <v>2</v>
      </c>
      <c r="AD277">
        <v>0</v>
      </c>
      <c r="AE277">
        <v>0</v>
      </c>
    </row>
    <row r="278" spans="1:31" x14ac:dyDescent="0.25">
      <c r="A278" t="s">
        <v>31</v>
      </c>
      <c r="B278" s="2">
        <v>45724</v>
      </c>
      <c r="C278" t="s">
        <v>32</v>
      </c>
      <c r="D278" t="s">
        <v>43</v>
      </c>
      <c r="E278" t="s">
        <v>44</v>
      </c>
      <c r="F278">
        <v>0.8</v>
      </c>
      <c r="G278">
        <v>1.2</v>
      </c>
      <c r="H278">
        <v>66</v>
      </c>
      <c r="I278">
        <v>34</v>
      </c>
      <c r="J278">
        <v>643</v>
      </c>
      <c r="K278">
        <v>337</v>
      </c>
      <c r="L278">
        <v>554</v>
      </c>
      <c r="M278">
        <v>252</v>
      </c>
      <c r="N278">
        <v>1</v>
      </c>
      <c r="O278">
        <v>1</v>
      </c>
      <c r="P278" t="s">
        <v>36</v>
      </c>
      <c r="Q278">
        <v>1</v>
      </c>
      <c r="R278">
        <v>1</v>
      </c>
      <c r="S278" t="s">
        <v>36</v>
      </c>
      <c r="T278">
        <v>11</v>
      </c>
      <c r="U278">
        <v>12</v>
      </c>
      <c r="V278">
        <v>3</v>
      </c>
      <c r="W278">
        <v>4</v>
      </c>
      <c r="X278">
        <v>11</v>
      </c>
      <c r="Y278">
        <v>16</v>
      </c>
      <c r="Z278">
        <v>5</v>
      </c>
      <c r="AA278">
        <v>5</v>
      </c>
      <c r="AB278">
        <v>2</v>
      </c>
      <c r="AC278">
        <v>2</v>
      </c>
      <c r="AD278">
        <v>0</v>
      </c>
      <c r="AE278">
        <v>0</v>
      </c>
    </row>
    <row r="279" spans="1:31" x14ac:dyDescent="0.25">
      <c r="A279" t="s">
        <v>31</v>
      </c>
      <c r="B279" s="2">
        <v>45725</v>
      </c>
      <c r="C279" t="s">
        <v>53</v>
      </c>
      <c r="D279" t="s">
        <v>57</v>
      </c>
      <c r="E279" t="s">
        <v>59</v>
      </c>
      <c r="F279">
        <v>1.7</v>
      </c>
      <c r="G279">
        <v>0.1</v>
      </c>
      <c r="H279">
        <v>56</v>
      </c>
      <c r="I279">
        <v>44</v>
      </c>
      <c r="J279">
        <v>584</v>
      </c>
      <c r="K279">
        <v>462</v>
      </c>
      <c r="L279">
        <v>488</v>
      </c>
      <c r="M279">
        <v>364</v>
      </c>
      <c r="N279">
        <v>1</v>
      </c>
      <c r="O279">
        <v>0</v>
      </c>
      <c r="P279" t="s">
        <v>35</v>
      </c>
      <c r="Q279">
        <v>0</v>
      </c>
      <c r="R279">
        <v>0</v>
      </c>
      <c r="S279" t="s">
        <v>36</v>
      </c>
      <c r="T279">
        <v>20</v>
      </c>
      <c r="U279">
        <v>3</v>
      </c>
      <c r="V279">
        <v>7</v>
      </c>
      <c r="W279">
        <v>3</v>
      </c>
      <c r="X279">
        <v>12</v>
      </c>
      <c r="Y279">
        <v>13</v>
      </c>
      <c r="Z279">
        <v>12</v>
      </c>
      <c r="AA279">
        <v>2</v>
      </c>
      <c r="AB279">
        <v>1</v>
      </c>
      <c r="AC279">
        <v>0</v>
      </c>
      <c r="AD279">
        <v>0</v>
      </c>
      <c r="AE279">
        <v>0</v>
      </c>
    </row>
    <row r="280" spans="1:31" x14ac:dyDescent="0.25">
      <c r="A280" t="s">
        <v>31</v>
      </c>
      <c r="B280" s="2">
        <v>45725</v>
      </c>
      <c r="C280" t="s">
        <v>53</v>
      </c>
      <c r="D280" t="s">
        <v>60</v>
      </c>
      <c r="E280" t="s">
        <v>49</v>
      </c>
      <c r="F280">
        <v>1.5</v>
      </c>
      <c r="G280">
        <v>2.2000000000000002</v>
      </c>
      <c r="H280">
        <v>61</v>
      </c>
      <c r="I280">
        <v>39</v>
      </c>
      <c r="J280">
        <v>587</v>
      </c>
      <c r="K280">
        <v>370</v>
      </c>
      <c r="L280">
        <v>475</v>
      </c>
      <c r="M280">
        <v>274</v>
      </c>
      <c r="N280">
        <v>2</v>
      </c>
      <c r="O280">
        <v>2</v>
      </c>
      <c r="P280" t="s">
        <v>36</v>
      </c>
      <c r="Q280">
        <v>0</v>
      </c>
      <c r="R280">
        <v>1</v>
      </c>
      <c r="S280" t="s">
        <v>40</v>
      </c>
      <c r="T280">
        <v>12</v>
      </c>
      <c r="U280">
        <v>17</v>
      </c>
      <c r="V280">
        <v>4</v>
      </c>
      <c r="W280">
        <v>8</v>
      </c>
      <c r="X280">
        <v>15</v>
      </c>
      <c r="Y280">
        <v>16</v>
      </c>
      <c r="Z280">
        <v>3</v>
      </c>
      <c r="AA280">
        <v>6</v>
      </c>
      <c r="AB280">
        <v>3</v>
      </c>
      <c r="AC280">
        <v>3</v>
      </c>
      <c r="AD280">
        <v>0</v>
      </c>
      <c r="AE280">
        <v>0</v>
      </c>
    </row>
    <row r="281" spans="1:31" x14ac:dyDescent="0.25">
      <c r="A281" t="s">
        <v>31</v>
      </c>
      <c r="B281" s="2">
        <v>45725</v>
      </c>
      <c r="C281" t="s">
        <v>56</v>
      </c>
      <c r="D281" t="s">
        <v>33</v>
      </c>
      <c r="E281" t="s">
        <v>42</v>
      </c>
      <c r="F281">
        <v>1.5</v>
      </c>
      <c r="G281">
        <v>1.6</v>
      </c>
      <c r="H281">
        <v>32</v>
      </c>
      <c r="I281">
        <v>68</v>
      </c>
      <c r="J281">
        <v>298</v>
      </c>
      <c r="K281">
        <v>644</v>
      </c>
      <c r="L281">
        <v>219</v>
      </c>
      <c r="M281">
        <v>553</v>
      </c>
      <c r="N281">
        <v>1</v>
      </c>
      <c r="O281">
        <v>1</v>
      </c>
      <c r="P281" t="s">
        <v>36</v>
      </c>
      <c r="Q281">
        <v>1</v>
      </c>
      <c r="R281">
        <v>0</v>
      </c>
      <c r="S281" t="s">
        <v>35</v>
      </c>
      <c r="T281">
        <v>10</v>
      </c>
      <c r="U281">
        <v>17</v>
      </c>
      <c r="V281">
        <v>6</v>
      </c>
      <c r="W281">
        <v>6</v>
      </c>
      <c r="X281">
        <v>8</v>
      </c>
      <c r="Y281">
        <v>11</v>
      </c>
      <c r="Z281">
        <v>2</v>
      </c>
      <c r="AA281">
        <v>9</v>
      </c>
      <c r="AB281">
        <v>0</v>
      </c>
      <c r="AC281">
        <v>1</v>
      </c>
      <c r="AD281">
        <v>0</v>
      </c>
      <c r="AE281">
        <v>0</v>
      </c>
    </row>
    <row r="282" spans="1:31" x14ac:dyDescent="0.25">
      <c r="A282" t="s">
        <v>31</v>
      </c>
      <c r="B282" s="2">
        <v>45726</v>
      </c>
      <c r="C282" t="s">
        <v>32</v>
      </c>
      <c r="D282" t="s">
        <v>51</v>
      </c>
      <c r="E282" t="s">
        <v>46</v>
      </c>
      <c r="F282">
        <v>0.7</v>
      </c>
      <c r="G282">
        <v>1.4</v>
      </c>
      <c r="H282">
        <v>51</v>
      </c>
      <c r="I282">
        <v>49</v>
      </c>
      <c r="J282">
        <v>505</v>
      </c>
      <c r="K282">
        <v>484</v>
      </c>
      <c r="L282">
        <v>393</v>
      </c>
      <c r="M282">
        <v>384</v>
      </c>
      <c r="N282">
        <v>0</v>
      </c>
      <c r="O282">
        <v>1</v>
      </c>
      <c r="P282" t="s">
        <v>40</v>
      </c>
      <c r="Q282">
        <v>0</v>
      </c>
      <c r="R282">
        <v>0</v>
      </c>
      <c r="S282" t="s">
        <v>36</v>
      </c>
      <c r="T282">
        <v>9</v>
      </c>
      <c r="U282">
        <v>9</v>
      </c>
      <c r="V282">
        <v>2</v>
      </c>
      <c r="W282">
        <v>3</v>
      </c>
      <c r="X282">
        <v>7</v>
      </c>
      <c r="Y282">
        <v>15</v>
      </c>
      <c r="Z282">
        <v>3</v>
      </c>
      <c r="AA282">
        <v>4</v>
      </c>
      <c r="AB282">
        <v>0</v>
      </c>
      <c r="AC282">
        <v>1</v>
      </c>
      <c r="AD282">
        <v>0</v>
      </c>
      <c r="AE282">
        <v>0</v>
      </c>
    </row>
    <row r="283" spans="1:31" x14ac:dyDescent="0.25">
      <c r="A283" t="s">
        <v>31</v>
      </c>
      <c r="B283" s="2">
        <v>45731</v>
      </c>
      <c r="C283" t="s">
        <v>41</v>
      </c>
      <c r="D283" t="s">
        <v>44</v>
      </c>
      <c r="E283" t="s">
        <v>51</v>
      </c>
      <c r="F283">
        <v>1</v>
      </c>
      <c r="G283">
        <v>0.8</v>
      </c>
      <c r="H283">
        <v>54</v>
      </c>
      <c r="I283">
        <v>46</v>
      </c>
      <c r="J283">
        <v>550</v>
      </c>
      <c r="K283">
        <v>474</v>
      </c>
      <c r="L283">
        <v>446</v>
      </c>
      <c r="M283">
        <v>377</v>
      </c>
      <c r="N283">
        <v>1</v>
      </c>
      <c r="O283">
        <v>1</v>
      </c>
      <c r="P283" t="s">
        <v>36</v>
      </c>
      <c r="Q283">
        <v>0</v>
      </c>
      <c r="R283">
        <v>0</v>
      </c>
      <c r="S283" t="s">
        <v>36</v>
      </c>
      <c r="T283">
        <v>13</v>
      </c>
      <c r="U283">
        <v>10</v>
      </c>
      <c r="V283">
        <v>5</v>
      </c>
      <c r="W283">
        <v>5</v>
      </c>
      <c r="X283">
        <v>12</v>
      </c>
      <c r="Y283">
        <v>8</v>
      </c>
      <c r="Z283">
        <v>6</v>
      </c>
      <c r="AA283">
        <v>5</v>
      </c>
      <c r="AB283">
        <v>1</v>
      </c>
      <c r="AC283">
        <v>2</v>
      </c>
      <c r="AD283">
        <v>0</v>
      </c>
      <c r="AE283">
        <v>0</v>
      </c>
    </row>
    <row r="284" spans="1:31" x14ac:dyDescent="0.25">
      <c r="A284" t="s">
        <v>31</v>
      </c>
      <c r="B284" s="2">
        <v>45731</v>
      </c>
      <c r="C284" t="s">
        <v>41</v>
      </c>
      <c r="D284" t="s">
        <v>38</v>
      </c>
      <c r="E284" t="s">
        <v>48</v>
      </c>
      <c r="F284">
        <v>0.4</v>
      </c>
      <c r="G284">
        <v>1.5</v>
      </c>
      <c r="H284">
        <v>55</v>
      </c>
      <c r="I284">
        <v>45</v>
      </c>
      <c r="J284">
        <v>480</v>
      </c>
      <c r="K284">
        <v>392</v>
      </c>
      <c r="L284">
        <v>391</v>
      </c>
      <c r="M284">
        <v>298</v>
      </c>
      <c r="N284">
        <v>2</v>
      </c>
      <c r="O284">
        <v>4</v>
      </c>
      <c r="P284" t="s">
        <v>40</v>
      </c>
      <c r="Q284">
        <v>0</v>
      </c>
      <c r="R284">
        <v>3</v>
      </c>
      <c r="S284" t="s">
        <v>40</v>
      </c>
      <c r="T284">
        <v>11</v>
      </c>
      <c r="U284">
        <v>11</v>
      </c>
      <c r="V284">
        <v>4</v>
      </c>
      <c r="W284">
        <v>6</v>
      </c>
      <c r="X284">
        <v>4</v>
      </c>
      <c r="Y284">
        <v>13</v>
      </c>
      <c r="Z284">
        <v>6</v>
      </c>
      <c r="AA284">
        <v>3</v>
      </c>
      <c r="AB284">
        <v>1</v>
      </c>
      <c r="AC284">
        <v>1</v>
      </c>
      <c r="AD284">
        <v>0</v>
      </c>
      <c r="AE284">
        <v>0</v>
      </c>
    </row>
    <row r="285" spans="1:31" x14ac:dyDescent="0.25">
      <c r="A285" t="s">
        <v>31</v>
      </c>
      <c r="B285" s="2">
        <v>45731</v>
      </c>
      <c r="C285" t="s">
        <v>41</v>
      </c>
      <c r="D285" t="s">
        <v>58</v>
      </c>
      <c r="E285" t="s">
        <v>45</v>
      </c>
      <c r="F285">
        <v>1.7</v>
      </c>
      <c r="G285">
        <v>2</v>
      </c>
      <c r="H285">
        <v>60</v>
      </c>
      <c r="I285">
        <v>40</v>
      </c>
      <c r="J285">
        <v>535</v>
      </c>
      <c r="K285">
        <v>363</v>
      </c>
      <c r="L285">
        <v>443</v>
      </c>
      <c r="M285">
        <v>272</v>
      </c>
      <c r="N285">
        <v>2</v>
      </c>
      <c r="O285">
        <v>2</v>
      </c>
      <c r="P285" t="s">
        <v>36</v>
      </c>
      <c r="Q285">
        <v>2</v>
      </c>
      <c r="R285">
        <v>1</v>
      </c>
      <c r="S285" t="s">
        <v>35</v>
      </c>
      <c r="T285">
        <v>11</v>
      </c>
      <c r="U285">
        <v>15</v>
      </c>
      <c r="V285">
        <v>3</v>
      </c>
      <c r="W285">
        <v>3</v>
      </c>
      <c r="X285">
        <v>10</v>
      </c>
      <c r="Y285">
        <v>10</v>
      </c>
      <c r="Z285">
        <v>4</v>
      </c>
      <c r="AA285">
        <v>5</v>
      </c>
      <c r="AB285">
        <v>2</v>
      </c>
      <c r="AC285">
        <v>5</v>
      </c>
      <c r="AD285">
        <v>0</v>
      </c>
      <c r="AE285">
        <v>0</v>
      </c>
    </row>
    <row r="286" spans="1:31" x14ac:dyDescent="0.25">
      <c r="A286" t="s">
        <v>31</v>
      </c>
      <c r="B286" s="2">
        <v>45731</v>
      </c>
      <c r="C286" t="s">
        <v>41</v>
      </c>
      <c r="D286" t="s">
        <v>47</v>
      </c>
      <c r="E286" t="s">
        <v>43</v>
      </c>
      <c r="F286">
        <v>1.3</v>
      </c>
      <c r="G286">
        <v>0.4</v>
      </c>
      <c r="H286">
        <v>60</v>
      </c>
      <c r="I286">
        <v>40</v>
      </c>
      <c r="J286">
        <v>645</v>
      </c>
      <c r="K286">
        <v>437</v>
      </c>
      <c r="L286">
        <v>564</v>
      </c>
      <c r="M286">
        <v>368</v>
      </c>
      <c r="N286">
        <v>1</v>
      </c>
      <c r="O286">
        <v>2</v>
      </c>
      <c r="P286" t="s">
        <v>40</v>
      </c>
      <c r="Q286">
        <v>0</v>
      </c>
      <c r="R286">
        <v>1</v>
      </c>
      <c r="S286" t="s">
        <v>40</v>
      </c>
      <c r="T286">
        <v>10</v>
      </c>
      <c r="U286">
        <v>5</v>
      </c>
      <c r="V286">
        <v>3</v>
      </c>
      <c r="W286">
        <v>3</v>
      </c>
      <c r="X286">
        <v>12</v>
      </c>
      <c r="Y286">
        <v>13</v>
      </c>
      <c r="Z286">
        <v>5</v>
      </c>
      <c r="AA286">
        <v>1</v>
      </c>
      <c r="AB286">
        <v>0</v>
      </c>
      <c r="AC286">
        <v>0</v>
      </c>
      <c r="AD286">
        <v>0</v>
      </c>
      <c r="AE286">
        <v>0</v>
      </c>
    </row>
    <row r="287" spans="1:31" x14ac:dyDescent="0.25">
      <c r="A287" t="s">
        <v>31</v>
      </c>
      <c r="B287" s="2">
        <v>45731</v>
      </c>
      <c r="C287" t="s">
        <v>50</v>
      </c>
      <c r="D287" t="s">
        <v>49</v>
      </c>
      <c r="E287" t="s">
        <v>54</v>
      </c>
      <c r="F287">
        <v>1.6</v>
      </c>
      <c r="G287">
        <v>0.8</v>
      </c>
      <c r="H287">
        <v>58</v>
      </c>
      <c r="I287">
        <v>42</v>
      </c>
      <c r="J287">
        <v>539</v>
      </c>
      <c r="K287">
        <v>386</v>
      </c>
      <c r="L287">
        <v>422</v>
      </c>
      <c r="M287">
        <v>261</v>
      </c>
      <c r="N287">
        <v>1</v>
      </c>
      <c r="O287">
        <v>2</v>
      </c>
      <c r="P287" t="s">
        <v>40</v>
      </c>
      <c r="Q287">
        <v>1</v>
      </c>
      <c r="R287">
        <v>1</v>
      </c>
      <c r="S287" t="s">
        <v>36</v>
      </c>
      <c r="T287">
        <v>17</v>
      </c>
      <c r="U287">
        <v>10</v>
      </c>
      <c r="V287">
        <v>5</v>
      </c>
      <c r="W287">
        <v>4</v>
      </c>
      <c r="X287">
        <v>13</v>
      </c>
      <c r="Y287">
        <v>7</v>
      </c>
      <c r="Z287">
        <v>4</v>
      </c>
      <c r="AA287">
        <v>3</v>
      </c>
      <c r="AB287">
        <v>3</v>
      </c>
      <c r="AC287">
        <v>0</v>
      </c>
      <c r="AD287">
        <v>0</v>
      </c>
      <c r="AE287">
        <v>0</v>
      </c>
    </row>
    <row r="288" spans="1:31" x14ac:dyDescent="0.25">
      <c r="A288" t="s">
        <v>31</v>
      </c>
      <c r="B288" s="2">
        <v>45732</v>
      </c>
      <c r="C288" t="s">
        <v>61</v>
      </c>
      <c r="D288" t="s">
        <v>42</v>
      </c>
      <c r="E288" t="s">
        <v>57</v>
      </c>
      <c r="F288">
        <v>0.7</v>
      </c>
      <c r="G288">
        <v>0.4</v>
      </c>
      <c r="H288">
        <v>42</v>
      </c>
      <c r="I288">
        <v>58</v>
      </c>
      <c r="J288">
        <v>390</v>
      </c>
      <c r="K288">
        <v>548</v>
      </c>
      <c r="L288">
        <v>322</v>
      </c>
      <c r="M288">
        <v>466</v>
      </c>
      <c r="N288">
        <v>1</v>
      </c>
      <c r="O288">
        <v>0</v>
      </c>
      <c r="P288" t="s">
        <v>35</v>
      </c>
      <c r="Q288">
        <v>1</v>
      </c>
      <c r="R288">
        <v>0</v>
      </c>
      <c r="S288" t="s">
        <v>35</v>
      </c>
      <c r="T288">
        <v>12</v>
      </c>
      <c r="U288">
        <v>8</v>
      </c>
      <c r="V288">
        <v>4</v>
      </c>
      <c r="W288">
        <v>2</v>
      </c>
      <c r="X288">
        <v>10</v>
      </c>
      <c r="Y288">
        <v>13</v>
      </c>
      <c r="Z288">
        <v>5</v>
      </c>
      <c r="AA288">
        <v>4</v>
      </c>
      <c r="AB288">
        <v>3</v>
      </c>
      <c r="AC288">
        <v>3</v>
      </c>
      <c r="AD288">
        <v>0</v>
      </c>
      <c r="AE288">
        <v>0</v>
      </c>
    </row>
    <row r="289" spans="1:31" x14ac:dyDescent="0.25">
      <c r="A289" t="s">
        <v>31</v>
      </c>
      <c r="B289" s="2">
        <v>45732</v>
      </c>
      <c r="C289" t="s">
        <v>61</v>
      </c>
      <c r="D289" t="s">
        <v>34</v>
      </c>
      <c r="E289" t="s">
        <v>60</v>
      </c>
      <c r="F289">
        <v>1</v>
      </c>
      <c r="G289">
        <v>0.9</v>
      </c>
      <c r="H289">
        <v>57</v>
      </c>
      <c r="I289">
        <v>43</v>
      </c>
      <c r="J289">
        <v>590</v>
      </c>
      <c r="K289">
        <v>451</v>
      </c>
      <c r="L289">
        <v>481</v>
      </c>
      <c r="M289">
        <v>376</v>
      </c>
      <c r="N289">
        <v>2</v>
      </c>
      <c r="O289">
        <v>0</v>
      </c>
      <c r="P289" t="s">
        <v>35</v>
      </c>
      <c r="Q289">
        <v>0</v>
      </c>
      <c r="R289">
        <v>0</v>
      </c>
      <c r="S289" t="s">
        <v>36</v>
      </c>
      <c r="T289">
        <v>13</v>
      </c>
      <c r="U289">
        <v>12</v>
      </c>
      <c r="V289">
        <v>4</v>
      </c>
      <c r="W289">
        <v>4</v>
      </c>
      <c r="X289">
        <v>13</v>
      </c>
      <c r="Y289">
        <v>10</v>
      </c>
      <c r="Z289">
        <v>6</v>
      </c>
      <c r="AA289">
        <v>5</v>
      </c>
      <c r="AB289">
        <v>0</v>
      </c>
      <c r="AC289">
        <v>0</v>
      </c>
      <c r="AD289">
        <v>0</v>
      </c>
      <c r="AE289">
        <v>0</v>
      </c>
    </row>
    <row r="290" spans="1:31" x14ac:dyDescent="0.25">
      <c r="A290" t="s">
        <v>31</v>
      </c>
      <c r="B290" s="2">
        <v>45732</v>
      </c>
      <c r="C290" t="s">
        <v>65</v>
      </c>
      <c r="D290" t="s">
        <v>59</v>
      </c>
      <c r="E290" t="s">
        <v>33</v>
      </c>
      <c r="F290">
        <v>1</v>
      </c>
      <c r="G290">
        <v>0.9</v>
      </c>
      <c r="H290">
        <v>53</v>
      </c>
      <c r="I290">
        <v>47</v>
      </c>
      <c r="J290">
        <v>575</v>
      </c>
      <c r="K290">
        <v>503</v>
      </c>
      <c r="L290">
        <v>455</v>
      </c>
      <c r="M290">
        <v>383</v>
      </c>
      <c r="N290">
        <v>0</v>
      </c>
      <c r="O290">
        <v>3</v>
      </c>
      <c r="P290" t="s">
        <v>40</v>
      </c>
      <c r="Q290">
        <v>0</v>
      </c>
      <c r="R290">
        <v>1</v>
      </c>
      <c r="S290" t="s">
        <v>40</v>
      </c>
      <c r="T290">
        <v>11</v>
      </c>
      <c r="U290">
        <v>18</v>
      </c>
      <c r="V290">
        <v>3</v>
      </c>
      <c r="W290">
        <v>5</v>
      </c>
      <c r="X290">
        <v>6</v>
      </c>
      <c r="Y290">
        <v>6</v>
      </c>
      <c r="Z290">
        <v>6</v>
      </c>
      <c r="AA290">
        <v>4</v>
      </c>
      <c r="AB290">
        <v>2</v>
      </c>
      <c r="AC290">
        <v>0</v>
      </c>
      <c r="AD290">
        <v>0</v>
      </c>
      <c r="AE290">
        <v>0</v>
      </c>
    </row>
    <row r="291" spans="1:31" x14ac:dyDescent="0.25">
      <c r="A291" t="s">
        <v>31</v>
      </c>
      <c r="B291" s="2">
        <v>45748</v>
      </c>
      <c r="C291" t="s">
        <v>68</v>
      </c>
      <c r="D291" t="s">
        <v>42</v>
      </c>
      <c r="E291" t="s">
        <v>34</v>
      </c>
      <c r="F291">
        <v>2.2000000000000002</v>
      </c>
      <c r="G291">
        <v>1</v>
      </c>
      <c r="H291">
        <v>51</v>
      </c>
      <c r="I291">
        <v>49</v>
      </c>
      <c r="J291">
        <v>528</v>
      </c>
      <c r="K291">
        <v>500</v>
      </c>
      <c r="L291">
        <v>454</v>
      </c>
      <c r="M291">
        <v>424</v>
      </c>
      <c r="N291">
        <v>2</v>
      </c>
      <c r="O291">
        <v>1</v>
      </c>
      <c r="P291" t="s">
        <v>35</v>
      </c>
      <c r="Q291">
        <v>1</v>
      </c>
      <c r="R291">
        <v>0</v>
      </c>
      <c r="S291" t="s">
        <v>35</v>
      </c>
      <c r="T291">
        <v>17</v>
      </c>
      <c r="U291">
        <v>9</v>
      </c>
      <c r="V291">
        <v>4</v>
      </c>
      <c r="W291">
        <v>3</v>
      </c>
      <c r="X291">
        <v>2</v>
      </c>
      <c r="Y291">
        <v>10</v>
      </c>
      <c r="Z291">
        <v>5</v>
      </c>
      <c r="AA291">
        <v>4</v>
      </c>
      <c r="AB291">
        <v>1</v>
      </c>
      <c r="AC291">
        <v>2</v>
      </c>
      <c r="AD291">
        <v>0</v>
      </c>
      <c r="AE291">
        <v>0</v>
      </c>
    </row>
    <row r="292" spans="1:31" x14ac:dyDescent="0.25">
      <c r="A292" t="s">
        <v>31</v>
      </c>
      <c r="B292" s="2">
        <v>45748</v>
      </c>
      <c r="C292" t="s">
        <v>68</v>
      </c>
      <c r="D292" t="s">
        <v>43</v>
      </c>
      <c r="E292" t="s">
        <v>51</v>
      </c>
      <c r="F292">
        <v>1.2</v>
      </c>
      <c r="G292">
        <v>1.3</v>
      </c>
      <c r="H292">
        <v>42</v>
      </c>
      <c r="I292">
        <v>58</v>
      </c>
      <c r="J292">
        <v>447</v>
      </c>
      <c r="K292">
        <v>614</v>
      </c>
      <c r="L292">
        <v>359</v>
      </c>
      <c r="M292">
        <v>518</v>
      </c>
      <c r="N292">
        <v>1</v>
      </c>
      <c r="O292">
        <v>0</v>
      </c>
      <c r="P292" t="s">
        <v>35</v>
      </c>
      <c r="Q292">
        <v>1</v>
      </c>
      <c r="R292">
        <v>0</v>
      </c>
      <c r="S292" t="s">
        <v>35</v>
      </c>
      <c r="T292">
        <v>9</v>
      </c>
      <c r="U292">
        <v>10</v>
      </c>
      <c r="V292">
        <v>2</v>
      </c>
      <c r="W292">
        <v>1</v>
      </c>
      <c r="X292">
        <v>16</v>
      </c>
      <c r="Y292">
        <v>12</v>
      </c>
      <c r="Z292">
        <v>1</v>
      </c>
      <c r="AA292">
        <v>2</v>
      </c>
      <c r="AB292">
        <v>4</v>
      </c>
      <c r="AC292">
        <v>2</v>
      </c>
      <c r="AD292">
        <v>0</v>
      </c>
      <c r="AE292">
        <v>0</v>
      </c>
    </row>
    <row r="293" spans="1:31" x14ac:dyDescent="0.25">
      <c r="A293" t="s">
        <v>31</v>
      </c>
      <c r="B293" s="2">
        <v>45748</v>
      </c>
      <c r="C293" t="s">
        <v>32</v>
      </c>
      <c r="D293" t="s">
        <v>48</v>
      </c>
      <c r="E293" t="s">
        <v>33</v>
      </c>
      <c r="F293">
        <v>0.5</v>
      </c>
      <c r="G293">
        <v>1.6</v>
      </c>
      <c r="H293">
        <v>32</v>
      </c>
      <c r="I293">
        <v>68</v>
      </c>
      <c r="J293">
        <v>336</v>
      </c>
      <c r="K293">
        <v>707</v>
      </c>
      <c r="L293">
        <v>241</v>
      </c>
      <c r="M293">
        <v>587</v>
      </c>
      <c r="N293">
        <v>1</v>
      </c>
      <c r="O293">
        <v>0</v>
      </c>
      <c r="P293" t="s">
        <v>35</v>
      </c>
      <c r="Q293">
        <v>1</v>
      </c>
      <c r="R293">
        <v>0</v>
      </c>
      <c r="S293" t="s">
        <v>35</v>
      </c>
      <c r="T293">
        <v>8</v>
      </c>
      <c r="U293">
        <v>23</v>
      </c>
      <c r="V293">
        <v>2</v>
      </c>
      <c r="W293">
        <v>6</v>
      </c>
      <c r="X293">
        <v>5</v>
      </c>
      <c r="Y293">
        <v>12</v>
      </c>
      <c r="Z293">
        <v>3</v>
      </c>
      <c r="AA293">
        <v>10</v>
      </c>
      <c r="AB293">
        <v>1</v>
      </c>
      <c r="AC293">
        <v>3</v>
      </c>
      <c r="AD293">
        <v>0</v>
      </c>
      <c r="AE293">
        <v>0</v>
      </c>
    </row>
    <row r="294" spans="1:31" x14ac:dyDescent="0.25">
      <c r="A294" t="s">
        <v>31</v>
      </c>
      <c r="B294" s="2">
        <v>45749</v>
      </c>
      <c r="C294" t="s">
        <v>68</v>
      </c>
      <c r="D294" t="s">
        <v>49</v>
      </c>
      <c r="E294" t="s">
        <v>38</v>
      </c>
      <c r="F294">
        <v>1.8</v>
      </c>
      <c r="G294">
        <v>1.2</v>
      </c>
      <c r="H294">
        <v>63</v>
      </c>
      <c r="I294">
        <v>37</v>
      </c>
      <c r="J294">
        <v>581</v>
      </c>
      <c r="K294">
        <v>336</v>
      </c>
      <c r="L294">
        <v>453</v>
      </c>
      <c r="M294">
        <v>226</v>
      </c>
      <c r="N294">
        <v>1</v>
      </c>
      <c r="O294">
        <v>2</v>
      </c>
      <c r="P294" t="s">
        <v>40</v>
      </c>
      <c r="Q294">
        <v>0</v>
      </c>
      <c r="R294">
        <v>1</v>
      </c>
      <c r="S294" t="s">
        <v>40</v>
      </c>
      <c r="T294">
        <v>24</v>
      </c>
      <c r="U294">
        <v>10</v>
      </c>
      <c r="V294">
        <v>7</v>
      </c>
      <c r="W294">
        <v>2</v>
      </c>
      <c r="X294">
        <v>14</v>
      </c>
      <c r="Y294">
        <v>15</v>
      </c>
      <c r="Z294">
        <v>8</v>
      </c>
      <c r="AA294">
        <v>3</v>
      </c>
      <c r="AB294">
        <v>1</v>
      </c>
      <c r="AC294">
        <v>2</v>
      </c>
      <c r="AD294">
        <v>0</v>
      </c>
      <c r="AE294">
        <v>0</v>
      </c>
    </row>
    <row r="295" spans="1:31" x14ac:dyDescent="0.25">
      <c r="A295" t="s">
        <v>31</v>
      </c>
      <c r="B295" s="2">
        <v>45749</v>
      </c>
      <c r="C295" t="s">
        <v>68</v>
      </c>
      <c r="D295" t="s">
        <v>45</v>
      </c>
      <c r="E295" t="s">
        <v>52</v>
      </c>
      <c r="F295">
        <v>0.9</v>
      </c>
      <c r="G295">
        <v>1.2</v>
      </c>
      <c r="H295">
        <v>56</v>
      </c>
      <c r="I295">
        <v>44</v>
      </c>
      <c r="J295">
        <v>517</v>
      </c>
      <c r="K295">
        <v>405</v>
      </c>
      <c r="L295">
        <v>429</v>
      </c>
      <c r="M295">
        <v>333</v>
      </c>
      <c r="N295">
        <v>0</v>
      </c>
      <c r="O295">
        <v>3</v>
      </c>
      <c r="P295" t="s">
        <v>40</v>
      </c>
      <c r="Q295">
        <v>0</v>
      </c>
      <c r="R295">
        <v>0</v>
      </c>
      <c r="S295" t="s">
        <v>36</v>
      </c>
      <c r="T295">
        <v>11</v>
      </c>
      <c r="U295">
        <v>8</v>
      </c>
      <c r="V295">
        <v>4</v>
      </c>
      <c r="W295">
        <v>5</v>
      </c>
      <c r="X295">
        <v>16</v>
      </c>
      <c r="Y295">
        <v>11</v>
      </c>
      <c r="Z295">
        <v>4</v>
      </c>
      <c r="AA295">
        <v>0</v>
      </c>
      <c r="AB295">
        <v>1</v>
      </c>
      <c r="AC295">
        <v>3</v>
      </c>
      <c r="AD295">
        <v>0</v>
      </c>
      <c r="AE295">
        <v>0</v>
      </c>
    </row>
    <row r="296" spans="1:31" x14ac:dyDescent="0.25">
      <c r="A296" t="s">
        <v>31</v>
      </c>
      <c r="B296" s="2">
        <v>45749</v>
      </c>
      <c r="C296" t="s">
        <v>68</v>
      </c>
      <c r="D296" t="s">
        <v>58</v>
      </c>
      <c r="E296" t="s">
        <v>59</v>
      </c>
      <c r="F296">
        <v>2.2000000000000002</v>
      </c>
      <c r="G296">
        <v>0.1</v>
      </c>
      <c r="H296">
        <v>72</v>
      </c>
      <c r="I296">
        <v>28</v>
      </c>
      <c r="J296">
        <v>810</v>
      </c>
      <c r="K296">
        <v>320</v>
      </c>
      <c r="L296">
        <v>749</v>
      </c>
      <c r="M296">
        <v>253</v>
      </c>
      <c r="N296">
        <v>2</v>
      </c>
      <c r="O296">
        <v>0</v>
      </c>
      <c r="P296" t="s">
        <v>35</v>
      </c>
      <c r="Q296">
        <v>2</v>
      </c>
      <c r="R296">
        <v>0</v>
      </c>
      <c r="S296" t="s">
        <v>35</v>
      </c>
      <c r="T296">
        <v>18</v>
      </c>
      <c r="U296">
        <v>2</v>
      </c>
      <c r="V296">
        <v>5</v>
      </c>
      <c r="W296">
        <v>0</v>
      </c>
      <c r="X296">
        <v>11</v>
      </c>
      <c r="Y296">
        <v>8</v>
      </c>
      <c r="Z296">
        <v>5</v>
      </c>
      <c r="AA296">
        <v>0</v>
      </c>
      <c r="AB296">
        <v>1</v>
      </c>
      <c r="AC296">
        <v>4</v>
      </c>
      <c r="AD296">
        <v>0</v>
      </c>
      <c r="AE296">
        <v>0</v>
      </c>
    </row>
    <row r="297" spans="1:31" x14ac:dyDescent="0.25">
      <c r="A297" t="s">
        <v>31</v>
      </c>
      <c r="B297" s="2">
        <v>45749</v>
      </c>
      <c r="C297" t="s">
        <v>68</v>
      </c>
      <c r="D297" t="s">
        <v>46</v>
      </c>
      <c r="E297" t="s">
        <v>54</v>
      </c>
      <c r="F297">
        <v>1.3</v>
      </c>
      <c r="G297">
        <v>1.5</v>
      </c>
      <c r="H297">
        <v>49</v>
      </c>
      <c r="I297">
        <v>51</v>
      </c>
      <c r="J297">
        <v>444</v>
      </c>
      <c r="K297">
        <v>459</v>
      </c>
      <c r="L297">
        <v>336</v>
      </c>
      <c r="M297">
        <v>344</v>
      </c>
      <c r="N297">
        <v>2</v>
      </c>
      <c r="O297">
        <v>1</v>
      </c>
      <c r="P297" t="s">
        <v>35</v>
      </c>
      <c r="Q297">
        <v>1</v>
      </c>
      <c r="R297">
        <v>0</v>
      </c>
      <c r="S297" t="s">
        <v>35</v>
      </c>
      <c r="T297">
        <v>21</v>
      </c>
      <c r="U297">
        <v>12</v>
      </c>
      <c r="V297">
        <v>4</v>
      </c>
      <c r="W297">
        <v>3</v>
      </c>
      <c r="X297">
        <v>12</v>
      </c>
      <c r="Y297">
        <v>12</v>
      </c>
      <c r="Z297">
        <v>4</v>
      </c>
      <c r="AA297">
        <v>5</v>
      </c>
      <c r="AB297">
        <v>1</v>
      </c>
      <c r="AC297">
        <v>1</v>
      </c>
      <c r="AD297">
        <v>0</v>
      </c>
      <c r="AE297">
        <v>0</v>
      </c>
    </row>
    <row r="298" spans="1:31" x14ac:dyDescent="0.25">
      <c r="A298" t="s">
        <v>31</v>
      </c>
      <c r="B298" s="2">
        <v>45749</v>
      </c>
      <c r="C298" t="s">
        <v>68</v>
      </c>
      <c r="D298" t="s">
        <v>47</v>
      </c>
      <c r="E298" t="s">
        <v>55</v>
      </c>
      <c r="F298">
        <v>0.7</v>
      </c>
      <c r="G298">
        <v>0.7</v>
      </c>
      <c r="H298">
        <v>43</v>
      </c>
      <c r="I298">
        <v>57</v>
      </c>
      <c r="J298">
        <v>424</v>
      </c>
      <c r="K298">
        <v>562</v>
      </c>
      <c r="L298">
        <v>327</v>
      </c>
      <c r="M298">
        <v>462</v>
      </c>
      <c r="N298">
        <v>1</v>
      </c>
      <c r="O298">
        <v>1</v>
      </c>
      <c r="P298" t="s">
        <v>36</v>
      </c>
      <c r="Q298">
        <v>1</v>
      </c>
      <c r="R298">
        <v>0</v>
      </c>
      <c r="S298" t="s">
        <v>35</v>
      </c>
      <c r="T298">
        <v>8</v>
      </c>
      <c r="U298">
        <v>9</v>
      </c>
      <c r="V298">
        <v>2</v>
      </c>
      <c r="W298">
        <v>3</v>
      </c>
      <c r="X298">
        <v>14</v>
      </c>
      <c r="Y298">
        <v>9</v>
      </c>
      <c r="Z298">
        <v>2</v>
      </c>
      <c r="AA298">
        <v>2</v>
      </c>
      <c r="AB298">
        <v>2</v>
      </c>
      <c r="AC298">
        <v>1</v>
      </c>
      <c r="AD298">
        <v>0</v>
      </c>
      <c r="AE298">
        <v>0</v>
      </c>
    </row>
    <row r="299" spans="1:31" x14ac:dyDescent="0.25">
      <c r="A299" t="s">
        <v>31</v>
      </c>
      <c r="B299" s="2">
        <v>45749</v>
      </c>
      <c r="C299" t="s">
        <v>32</v>
      </c>
      <c r="D299" t="s">
        <v>39</v>
      </c>
      <c r="E299" t="s">
        <v>44</v>
      </c>
      <c r="F299">
        <v>1.5</v>
      </c>
      <c r="G299">
        <v>0.9</v>
      </c>
      <c r="H299">
        <v>73</v>
      </c>
      <c r="I299">
        <v>27</v>
      </c>
      <c r="J299">
        <v>670</v>
      </c>
      <c r="K299">
        <v>242</v>
      </c>
      <c r="L299">
        <v>563</v>
      </c>
      <c r="M299">
        <v>143</v>
      </c>
      <c r="N299">
        <v>1</v>
      </c>
      <c r="O299">
        <v>0</v>
      </c>
      <c r="P299" t="s">
        <v>35</v>
      </c>
      <c r="Q299">
        <v>0</v>
      </c>
      <c r="R299">
        <v>0</v>
      </c>
      <c r="S299" t="s">
        <v>36</v>
      </c>
      <c r="T299">
        <v>17</v>
      </c>
      <c r="U299">
        <v>5</v>
      </c>
      <c r="V299">
        <v>3</v>
      </c>
      <c r="W299">
        <v>0</v>
      </c>
      <c r="X299">
        <v>7</v>
      </c>
      <c r="Y299">
        <v>11</v>
      </c>
      <c r="Z299">
        <v>11</v>
      </c>
      <c r="AA299">
        <v>5</v>
      </c>
      <c r="AB299">
        <v>2</v>
      </c>
      <c r="AC299">
        <v>2</v>
      </c>
      <c r="AD299">
        <v>0</v>
      </c>
      <c r="AE299">
        <v>0</v>
      </c>
    </row>
    <row r="300" spans="1:31" x14ac:dyDescent="0.25">
      <c r="A300" t="s">
        <v>31</v>
      </c>
      <c r="B300" s="2">
        <v>45750</v>
      </c>
      <c r="C300" t="s">
        <v>32</v>
      </c>
      <c r="D300" t="s">
        <v>57</v>
      </c>
      <c r="E300" t="s">
        <v>60</v>
      </c>
      <c r="F300">
        <v>1</v>
      </c>
      <c r="G300">
        <v>0.9</v>
      </c>
      <c r="H300">
        <v>51</v>
      </c>
      <c r="I300">
        <v>49</v>
      </c>
      <c r="J300">
        <v>486</v>
      </c>
      <c r="K300">
        <v>475</v>
      </c>
      <c r="L300">
        <v>396</v>
      </c>
      <c r="M300">
        <v>401</v>
      </c>
      <c r="N300">
        <v>1</v>
      </c>
      <c r="O300">
        <v>0</v>
      </c>
      <c r="P300" t="s">
        <v>35</v>
      </c>
      <c r="Q300">
        <v>0</v>
      </c>
      <c r="R300">
        <v>0</v>
      </c>
      <c r="S300" t="s">
        <v>36</v>
      </c>
      <c r="T300">
        <v>11</v>
      </c>
      <c r="U300">
        <v>8</v>
      </c>
      <c r="V300">
        <v>5</v>
      </c>
      <c r="W300">
        <v>2</v>
      </c>
      <c r="X300">
        <v>7</v>
      </c>
      <c r="Y300">
        <v>16</v>
      </c>
      <c r="Z300">
        <v>4</v>
      </c>
      <c r="AA300">
        <v>6</v>
      </c>
      <c r="AB300">
        <v>5</v>
      </c>
      <c r="AC300">
        <v>5</v>
      </c>
      <c r="AD300">
        <v>0</v>
      </c>
      <c r="AE300">
        <v>0</v>
      </c>
    </row>
    <row r="301" spans="1:31" x14ac:dyDescent="0.25">
      <c r="A301" t="s">
        <v>31</v>
      </c>
      <c r="B301" s="2">
        <v>45752</v>
      </c>
      <c r="C301" t="s">
        <v>37</v>
      </c>
      <c r="D301" t="s">
        <v>44</v>
      </c>
      <c r="E301" t="s">
        <v>42</v>
      </c>
      <c r="F301">
        <v>1.1000000000000001</v>
      </c>
      <c r="G301">
        <v>1.8</v>
      </c>
      <c r="H301">
        <v>31</v>
      </c>
      <c r="I301">
        <v>69</v>
      </c>
      <c r="J301">
        <v>220</v>
      </c>
      <c r="K301">
        <v>495</v>
      </c>
      <c r="L301">
        <v>144</v>
      </c>
      <c r="M301">
        <v>415</v>
      </c>
      <c r="N301">
        <v>1</v>
      </c>
      <c r="O301">
        <v>1</v>
      </c>
      <c r="P301" t="s">
        <v>36</v>
      </c>
      <c r="Q301">
        <v>0</v>
      </c>
      <c r="R301">
        <v>1</v>
      </c>
      <c r="S301" t="s">
        <v>40</v>
      </c>
      <c r="T301">
        <v>5</v>
      </c>
      <c r="U301">
        <v>14</v>
      </c>
      <c r="V301">
        <v>2</v>
      </c>
      <c r="W301">
        <v>5</v>
      </c>
      <c r="X301">
        <v>17</v>
      </c>
      <c r="Y301">
        <v>13</v>
      </c>
      <c r="Z301">
        <v>3</v>
      </c>
      <c r="AA301">
        <v>8</v>
      </c>
      <c r="AB301">
        <v>3</v>
      </c>
      <c r="AC301">
        <v>1</v>
      </c>
      <c r="AD301">
        <v>0</v>
      </c>
      <c r="AE301">
        <v>0</v>
      </c>
    </row>
    <row r="302" spans="1:31" x14ac:dyDescent="0.25">
      <c r="A302" t="s">
        <v>31</v>
      </c>
      <c r="B302" s="2">
        <v>45752</v>
      </c>
      <c r="C302" t="s">
        <v>41</v>
      </c>
      <c r="D302" t="s">
        <v>55</v>
      </c>
      <c r="E302" t="s">
        <v>45</v>
      </c>
      <c r="F302">
        <v>0.6</v>
      </c>
      <c r="G302">
        <v>1</v>
      </c>
      <c r="H302">
        <v>38</v>
      </c>
      <c r="I302">
        <v>62</v>
      </c>
      <c r="J302">
        <v>359</v>
      </c>
      <c r="K302">
        <v>592</v>
      </c>
      <c r="L302">
        <v>266</v>
      </c>
      <c r="M302">
        <v>490</v>
      </c>
      <c r="N302">
        <v>2</v>
      </c>
      <c r="O302">
        <v>1</v>
      </c>
      <c r="P302" t="s">
        <v>35</v>
      </c>
      <c r="Q302">
        <v>1</v>
      </c>
      <c r="R302">
        <v>1</v>
      </c>
      <c r="S302" t="s">
        <v>36</v>
      </c>
      <c r="T302">
        <v>8</v>
      </c>
      <c r="U302">
        <v>11</v>
      </c>
      <c r="V302">
        <v>3</v>
      </c>
      <c r="W302">
        <v>5</v>
      </c>
      <c r="X302">
        <v>12</v>
      </c>
      <c r="Y302">
        <v>13</v>
      </c>
      <c r="Z302">
        <v>2</v>
      </c>
      <c r="AA302">
        <v>4</v>
      </c>
      <c r="AB302">
        <v>0</v>
      </c>
      <c r="AC302">
        <v>1</v>
      </c>
      <c r="AD302">
        <v>2</v>
      </c>
      <c r="AE302">
        <v>1</v>
      </c>
    </row>
    <row r="303" spans="1:31" x14ac:dyDescent="0.25">
      <c r="A303" t="s">
        <v>31</v>
      </c>
      <c r="B303" s="2">
        <v>45752</v>
      </c>
      <c r="C303" t="s">
        <v>41</v>
      </c>
      <c r="D303" t="s">
        <v>38</v>
      </c>
      <c r="E303" t="s">
        <v>43</v>
      </c>
      <c r="F303">
        <v>0.8</v>
      </c>
      <c r="G303">
        <v>2.6</v>
      </c>
      <c r="H303">
        <v>45</v>
      </c>
      <c r="I303">
        <v>55</v>
      </c>
      <c r="J303">
        <v>367</v>
      </c>
      <c r="K303">
        <v>455</v>
      </c>
      <c r="L303">
        <v>266</v>
      </c>
      <c r="M303">
        <v>368</v>
      </c>
      <c r="N303">
        <v>1</v>
      </c>
      <c r="O303">
        <v>2</v>
      </c>
      <c r="P303" t="s">
        <v>40</v>
      </c>
      <c r="Q303">
        <v>1</v>
      </c>
      <c r="R303">
        <v>0</v>
      </c>
      <c r="S303" t="s">
        <v>35</v>
      </c>
      <c r="T303">
        <v>6</v>
      </c>
      <c r="U303">
        <v>22</v>
      </c>
      <c r="V303">
        <v>2</v>
      </c>
      <c r="W303">
        <v>7</v>
      </c>
      <c r="X303">
        <v>12</v>
      </c>
      <c r="Y303">
        <v>16</v>
      </c>
      <c r="Z303">
        <v>4</v>
      </c>
      <c r="AA303">
        <v>8</v>
      </c>
      <c r="AB303">
        <v>2</v>
      </c>
      <c r="AC303">
        <v>2</v>
      </c>
      <c r="AD303">
        <v>0</v>
      </c>
      <c r="AE303">
        <v>0</v>
      </c>
    </row>
    <row r="304" spans="1:31" x14ac:dyDescent="0.25">
      <c r="A304" t="s">
        <v>31</v>
      </c>
      <c r="B304" s="2">
        <v>45752</v>
      </c>
      <c r="C304" t="s">
        <v>41</v>
      </c>
      <c r="D304" t="s">
        <v>51</v>
      </c>
      <c r="E304" t="s">
        <v>49</v>
      </c>
      <c r="F304">
        <v>0.7</v>
      </c>
      <c r="G304">
        <v>2.1</v>
      </c>
      <c r="H304">
        <v>56</v>
      </c>
      <c r="I304">
        <v>44</v>
      </c>
      <c r="J304">
        <v>526</v>
      </c>
      <c r="K304">
        <v>410</v>
      </c>
      <c r="L304">
        <v>409</v>
      </c>
      <c r="M304">
        <v>290</v>
      </c>
      <c r="N304">
        <v>2</v>
      </c>
      <c r="O304">
        <v>2</v>
      </c>
      <c r="P304" t="s">
        <v>36</v>
      </c>
      <c r="Q304">
        <v>0</v>
      </c>
      <c r="R304">
        <v>1</v>
      </c>
      <c r="S304" t="s">
        <v>40</v>
      </c>
      <c r="T304">
        <v>9</v>
      </c>
      <c r="U304">
        <v>11</v>
      </c>
      <c r="V304">
        <v>3</v>
      </c>
      <c r="W304">
        <v>4</v>
      </c>
      <c r="X304">
        <v>13</v>
      </c>
      <c r="Y304">
        <v>13</v>
      </c>
      <c r="Z304">
        <v>4</v>
      </c>
      <c r="AA304">
        <v>7</v>
      </c>
      <c r="AB304">
        <v>2</v>
      </c>
      <c r="AC304">
        <v>2</v>
      </c>
      <c r="AD304">
        <v>0</v>
      </c>
      <c r="AE304">
        <v>0</v>
      </c>
    </row>
    <row r="305" spans="1:31" x14ac:dyDescent="0.25">
      <c r="A305" t="s">
        <v>31</v>
      </c>
      <c r="B305" s="2">
        <v>45752</v>
      </c>
      <c r="C305" t="s">
        <v>50</v>
      </c>
      <c r="D305" t="s">
        <v>52</v>
      </c>
      <c r="E305" t="s">
        <v>48</v>
      </c>
      <c r="F305">
        <v>3</v>
      </c>
      <c r="G305">
        <v>1.5</v>
      </c>
      <c r="H305">
        <v>52</v>
      </c>
      <c r="I305">
        <v>48</v>
      </c>
      <c r="J305">
        <v>462</v>
      </c>
      <c r="K305">
        <v>424</v>
      </c>
      <c r="L305">
        <v>385</v>
      </c>
      <c r="M305">
        <v>341</v>
      </c>
      <c r="N305">
        <v>2</v>
      </c>
      <c r="O305">
        <v>1</v>
      </c>
      <c r="P305" t="s">
        <v>35</v>
      </c>
      <c r="Q305">
        <v>2</v>
      </c>
      <c r="R305">
        <v>0</v>
      </c>
      <c r="S305" t="s">
        <v>35</v>
      </c>
      <c r="T305">
        <v>17</v>
      </c>
      <c r="U305">
        <v>19</v>
      </c>
      <c r="V305">
        <v>8</v>
      </c>
      <c r="W305">
        <v>3</v>
      </c>
      <c r="X305">
        <v>7</v>
      </c>
      <c r="Y305">
        <v>15</v>
      </c>
      <c r="Z305">
        <v>4</v>
      </c>
      <c r="AA305">
        <v>4</v>
      </c>
      <c r="AB305">
        <v>2</v>
      </c>
      <c r="AC305">
        <v>2</v>
      </c>
      <c r="AD305">
        <v>0</v>
      </c>
      <c r="AE305">
        <v>0</v>
      </c>
    </row>
    <row r="306" spans="1:31" x14ac:dyDescent="0.25">
      <c r="A306" t="s">
        <v>31</v>
      </c>
      <c r="B306" s="2">
        <v>45753</v>
      </c>
      <c r="C306" t="s">
        <v>53</v>
      </c>
      <c r="D306" t="s">
        <v>54</v>
      </c>
      <c r="E306" t="s">
        <v>57</v>
      </c>
      <c r="F306">
        <v>1.1000000000000001</v>
      </c>
      <c r="G306">
        <v>1.2</v>
      </c>
      <c r="H306">
        <v>42</v>
      </c>
      <c r="I306">
        <v>58</v>
      </c>
      <c r="J306">
        <v>375</v>
      </c>
      <c r="K306">
        <v>519</v>
      </c>
      <c r="L306">
        <v>273</v>
      </c>
      <c r="M306">
        <v>425</v>
      </c>
      <c r="N306">
        <v>0</v>
      </c>
      <c r="O306">
        <v>0</v>
      </c>
      <c r="P306" t="s">
        <v>36</v>
      </c>
      <c r="Q306">
        <v>0</v>
      </c>
      <c r="R306">
        <v>0</v>
      </c>
      <c r="S306" t="s">
        <v>36</v>
      </c>
      <c r="T306">
        <v>9</v>
      </c>
      <c r="U306">
        <v>21</v>
      </c>
      <c r="V306">
        <v>2</v>
      </c>
      <c r="W306">
        <v>5</v>
      </c>
      <c r="X306">
        <v>12</v>
      </c>
      <c r="Y306">
        <v>12</v>
      </c>
      <c r="Z306">
        <v>3</v>
      </c>
      <c r="AA306">
        <v>6</v>
      </c>
      <c r="AB306">
        <v>1</v>
      </c>
      <c r="AC306">
        <v>3</v>
      </c>
      <c r="AD306">
        <v>0</v>
      </c>
      <c r="AE306">
        <v>0</v>
      </c>
    </row>
    <row r="307" spans="1:31" x14ac:dyDescent="0.25">
      <c r="A307" t="s">
        <v>31</v>
      </c>
      <c r="B307" s="2">
        <v>45753</v>
      </c>
      <c r="C307" t="s">
        <v>53</v>
      </c>
      <c r="D307" t="s">
        <v>34</v>
      </c>
      <c r="E307" t="s">
        <v>39</v>
      </c>
      <c r="F307">
        <v>0.7</v>
      </c>
      <c r="G307">
        <v>1.5</v>
      </c>
      <c r="H307">
        <v>37</v>
      </c>
      <c r="I307">
        <v>63</v>
      </c>
      <c r="J307">
        <v>367</v>
      </c>
      <c r="K307">
        <v>612</v>
      </c>
      <c r="L307">
        <v>274</v>
      </c>
      <c r="M307">
        <v>502</v>
      </c>
      <c r="N307">
        <v>3</v>
      </c>
      <c r="O307">
        <v>2</v>
      </c>
      <c r="P307" t="s">
        <v>35</v>
      </c>
      <c r="Q307">
        <v>3</v>
      </c>
      <c r="R307">
        <v>1</v>
      </c>
      <c r="S307" t="s">
        <v>35</v>
      </c>
      <c r="T307">
        <v>12</v>
      </c>
      <c r="U307">
        <v>14</v>
      </c>
      <c r="V307">
        <v>6</v>
      </c>
      <c r="W307">
        <v>6</v>
      </c>
      <c r="X307">
        <v>10</v>
      </c>
      <c r="Y307">
        <v>9</v>
      </c>
      <c r="Z307">
        <v>4</v>
      </c>
      <c r="AA307">
        <v>4</v>
      </c>
      <c r="AB307">
        <v>3</v>
      </c>
      <c r="AC307">
        <v>0</v>
      </c>
      <c r="AD307">
        <v>0</v>
      </c>
      <c r="AE307">
        <v>0</v>
      </c>
    </row>
    <row r="308" spans="1:31" x14ac:dyDescent="0.25">
      <c r="A308" t="s">
        <v>31</v>
      </c>
      <c r="B308" s="2">
        <v>45753</v>
      </c>
      <c r="C308" t="s">
        <v>53</v>
      </c>
      <c r="D308" t="s">
        <v>60</v>
      </c>
      <c r="E308" t="s">
        <v>47</v>
      </c>
      <c r="F308">
        <v>2.1</v>
      </c>
      <c r="G308">
        <v>1</v>
      </c>
      <c r="H308">
        <v>51</v>
      </c>
      <c r="I308">
        <v>49</v>
      </c>
      <c r="J308">
        <v>520</v>
      </c>
      <c r="K308">
        <v>497</v>
      </c>
      <c r="L308">
        <v>451</v>
      </c>
      <c r="M308">
        <v>429</v>
      </c>
      <c r="N308">
        <v>3</v>
      </c>
      <c r="O308">
        <v>1</v>
      </c>
      <c r="P308" t="s">
        <v>35</v>
      </c>
      <c r="Q308">
        <v>2</v>
      </c>
      <c r="R308">
        <v>0</v>
      </c>
      <c r="S308" t="s">
        <v>35</v>
      </c>
      <c r="T308">
        <v>13</v>
      </c>
      <c r="U308">
        <v>12</v>
      </c>
      <c r="V308">
        <v>8</v>
      </c>
      <c r="W308">
        <v>4</v>
      </c>
      <c r="X308">
        <v>16</v>
      </c>
      <c r="Y308">
        <v>20</v>
      </c>
      <c r="Z308">
        <v>4</v>
      </c>
      <c r="AA308">
        <v>1</v>
      </c>
      <c r="AB308">
        <v>1</v>
      </c>
      <c r="AC308">
        <v>1</v>
      </c>
      <c r="AD308">
        <v>0</v>
      </c>
      <c r="AE308">
        <v>0</v>
      </c>
    </row>
    <row r="309" spans="1:31" x14ac:dyDescent="0.25">
      <c r="A309" t="s">
        <v>31</v>
      </c>
      <c r="B309" s="2">
        <v>45753</v>
      </c>
      <c r="C309" t="s">
        <v>56</v>
      </c>
      <c r="D309" t="s">
        <v>33</v>
      </c>
      <c r="E309" t="s">
        <v>58</v>
      </c>
      <c r="F309">
        <v>0.9</v>
      </c>
      <c r="G309">
        <v>0.5</v>
      </c>
      <c r="H309">
        <v>42</v>
      </c>
      <c r="I309">
        <v>58</v>
      </c>
      <c r="J309">
        <v>423</v>
      </c>
      <c r="K309">
        <v>596</v>
      </c>
      <c r="L309">
        <v>347</v>
      </c>
      <c r="M309">
        <v>519</v>
      </c>
      <c r="N309">
        <v>0</v>
      </c>
      <c r="O309">
        <v>0</v>
      </c>
      <c r="P309" t="s">
        <v>36</v>
      </c>
      <c r="Q309">
        <v>0</v>
      </c>
      <c r="R309">
        <v>0</v>
      </c>
      <c r="S309" t="s">
        <v>36</v>
      </c>
      <c r="T309">
        <v>13</v>
      </c>
      <c r="U309">
        <v>9</v>
      </c>
      <c r="V309">
        <v>2</v>
      </c>
      <c r="W309">
        <v>5</v>
      </c>
      <c r="X309">
        <v>13</v>
      </c>
      <c r="Y309">
        <v>9</v>
      </c>
      <c r="Z309">
        <v>5</v>
      </c>
      <c r="AA309">
        <v>3</v>
      </c>
      <c r="AB309">
        <v>3</v>
      </c>
      <c r="AC309">
        <v>2</v>
      </c>
      <c r="AD309">
        <v>0</v>
      </c>
      <c r="AE309">
        <v>0</v>
      </c>
    </row>
    <row r="310" spans="1:31" x14ac:dyDescent="0.25">
      <c r="A310" t="s">
        <v>31</v>
      </c>
      <c r="B310" s="2">
        <v>45754</v>
      </c>
      <c r="C310" t="s">
        <v>32</v>
      </c>
      <c r="D310" t="s">
        <v>59</v>
      </c>
      <c r="E310" t="s">
        <v>46</v>
      </c>
      <c r="F310">
        <v>0.5</v>
      </c>
      <c r="G310">
        <v>3.2</v>
      </c>
      <c r="H310">
        <v>58</v>
      </c>
      <c r="I310">
        <v>42</v>
      </c>
      <c r="J310">
        <v>602</v>
      </c>
      <c r="K310">
        <v>443</v>
      </c>
      <c r="L310">
        <v>482</v>
      </c>
      <c r="M310">
        <v>352</v>
      </c>
      <c r="N310">
        <v>0</v>
      </c>
      <c r="O310">
        <v>3</v>
      </c>
      <c r="P310" t="s">
        <v>40</v>
      </c>
      <c r="Q310">
        <v>0</v>
      </c>
      <c r="R310">
        <v>3</v>
      </c>
      <c r="S310" t="s">
        <v>40</v>
      </c>
      <c r="T310">
        <v>7</v>
      </c>
      <c r="U310">
        <v>16</v>
      </c>
      <c r="V310">
        <v>2</v>
      </c>
      <c r="W310">
        <v>5</v>
      </c>
      <c r="X310">
        <v>8</v>
      </c>
      <c r="Y310">
        <v>9</v>
      </c>
      <c r="Z310">
        <v>12</v>
      </c>
      <c r="AA310">
        <v>2</v>
      </c>
      <c r="AB310">
        <v>2</v>
      </c>
      <c r="AC310">
        <v>0</v>
      </c>
      <c r="AD310">
        <v>0</v>
      </c>
      <c r="AE310">
        <v>0</v>
      </c>
    </row>
    <row r="311" spans="1:31" x14ac:dyDescent="0.25">
      <c r="A311" t="s">
        <v>31</v>
      </c>
      <c r="B311" s="2">
        <v>45759</v>
      </c>
      <c r="C311" t="s">
        <v>37</v>
      </c>
      <c r="D311" t="s">
        <v>58</v>
      </c>
      <c r="E311" t="s">
        <v>55</v>
      </c>
      <c r="F311">
        <v>3.7</v>
      </c>
      <c r="G311">
        <v>1.8</v>
      </c>
      <c r="H311">
        <v>67</v>
      </c>
      <c r="I311">
        <v>33</v>
      </c>
      <c r="J311">
        <v>768</v>
      </c>
      <c r="K311">
        <v>374</v>
      </c>
      <c r="L311">
        <v>689</v>
      </c>
      <c r="M311">
        <v>299</v>
      </c>
      <c r="N311">
        <v>5</v>
      </c>
      <c r="O311">
        <v>2</v>
      </c>
      <c r="P311" t="s">
        <v>35</v>
      </c>
      <c r="Q311">
        <v>2</v>
      </c>
      <c r="R311">
        <v>2</v>
      </c>
      <c r="S311" t="s">
        <v>36</v>
      </c>
      <c r="T311">
        <v>21</v>
      </c>
      <c r="U311">
        <v>8</v>
      </c>
      <c r="V311">
        <v>9</v>
      </c>
      <c r="W311">
        <v>3</v>
      </c>
      <c r="X311">
        <v>10</v>
      </c>
      <c r="Y311">
        <v>16</v>
      </c>
      <c r="Z311">
        <v>1</v>
      </c>
      <c r="AA311">
        <v>4</v>
      </c>
      <c r="AB311">
        <v>2</v>
      </c>
      <c r="AC311">
        <v>3</v>
      </c>
      <c r="AD311">
        <v>0</v>
      </c>
      <c r="AE311">
        <v>0</v>
      </c>
    </row>
    <row r="312" spans="1:31" x14ac:dyDescent="0.25">
      <c r="A312" t="s">
        <v>31</v>
      </c>
      <c r="B312" s="2">
        <v>45759</v>
      </c>
      <c r="C312" t="s">
        <v>41</v>
      </c>
      <c r="D312" t="s">
        <v>45</v>
      </c>
      <c r="E312" t="s">
        <v>59</v>
      </c>
      <c r="F312">
        <v>3.8</v>
      </c>
      <c r="G312">
        <v>1.5</v>
      </c>
      <c r="H312">
        <v>59</v>
      </c>
      <c r="I312">
        <v>41</v>
      </c>
      <c r="J312">
        <v>562</v>
      </c>
      <c r="K312">
        <v>396</v>
      </c>
      <c r="L312">
        <v>480</v>
      </c>
      <c r="M312">
        <v>308</v>
      </c>
      <c r="N312">
        <v>2</v>
      </c>
      <c r="O312">
        <v>2</v>
      </c>
      <c r="P312" t="s">
        <v>36</v>
      </c>
      <c r="Q312">
        <v>1</v>
      </c>
      <c r="R312">
        <v>1</v>
      </c>
      <c r="S312" t="s">
        <v>36</v>
      </c>
      <c r="T312">
        <v>21</v>
      </c>
      <c r="U312">
        <v>15</v>
      </c>
      <c r="V312">
        <v>7</v>
      </c>
      <c r="W312">
        <v>6</v>
      </c>
      <c r="X312">
        <v>9</v>
      </c>
      <c r="Y312">
        <v>11</v>
      </c>
      <c r="Z312">
        <v>3</v>
      </c>
      <c r="AA312">
        <v>6</v>
      </c>
      <c r="AB312">
        <v>2</v>
      </c>
      <c r="AC312">
        <v>5</v>
      </c>
      <c r="AD312">
        <v>0</v>
      </c>
      <c r="AE312">
        <v>0</v>
      </c>
    </row>
    <row r="313" spans="1:31" x14ac:dyDescent="0.25">
      <c r="A313" t="s">
        <v>31</v>
      </c>
      <c r="B313" s="2">
        <v>45759</v>
      </c>
      <c r="C313" t="s">
        <v>41</v>
      </c>
      <c r="D313" t="s">
        <v>48</v>
      </c>
      <c r="E313" t="s">
        <v>44</v>
      </c>
      <c r="F313">
        <v>0.5</v>
      </c>
      <c r="G313">
        <v>1.4</v>
      </c>
      <c r="H313">
        <v>43</v>
      </c>
      <c r="I313">
        <v>57</v>
      </c>
      <c r="J313">
        <v>368</v>
      </c>
      <c r="K313">
        <v>491</v>
      </c>
      <c r="L313">
        <v>265</v>
      </c>
      <c r="M313">
        <v>387</v>
      </c>
      <c r="N313">
        <v>0</v>
      </c>
      <c r="O313">
        <v>1</v>
      </c>
      <c r="P313" t="s">
        <v>40</v>
      </c>
      <c r="Q313">
        <v>0</v>
      </c>
      <c r="R313">
        <v>0</v>
      </c>
      <c r="S313" t="s">
        <v>36</v>
      </c>
      <c r="T313">
        <v>10</v>
      </c>
      <c r="U313">
        <v>13</v>
      </c>
      <c r="V313">
        <v>5</v>
      </c>
      <c r="W313">
        <v>5</v>
      </c>
      <c r="X313">
        <v>9</v>
      </c>
      <c r="Y313">
        <v>13</v>
      </c>
      <c r="Z313">
        <v>1</v>
      </c>
      <c r="AA313">
        <v>7</v>
      </c>
      <c r="AB313">
        <v>0</v>
      </c>
      <c r="AC313">
        <v>3</v>
      </c>
      <c r="AD313">
        <v>0</v>
      </c>
      <c r="AE313">
        <v>0</v>
      </c>
    </row>
    <row r="314" spans="1:31" x14ac:dyDescent="0.25">
      <c r="A314" t="s">
        <v>31</v>
      </c>
      <c r="B314" s="2">
        <v>45759</v>
      </c>
      <c r="C314" t="s">
        <v>41</v>
      </c>
      <c r="D314" t="s">
        <v>47</v>
      </c>
      <c r="E314" t="s">
        <v>52</v>
      </c>
      <c r="F314">
        <v>0.3</v>
      </c>
      <c r="G314">
        <v>3</v>
      </c>
      <c r="H314">
        <v>40</v>
      </c>
      <c r="I314">
        <v>60</v>
      </c>
      <c r="J314">
        <v>383</v>
      </c>
      <c r="K314">
        <v>579</v>
      </c>
      <c r="L314">
        <v>322</v>
      </c>
      <c r="M314">
        <v>510</v>
      </c>
      <c r="N314">
        <v>0</v>
      </c>
      <c r="O314">
        <v>3</v>
      </c>
      <c r="P314" t="s">
        <v>40</v>
      </c>
      <c r="Q314">
        <v>0</v>
      </c>
      <c r="R314">
        <v>0</v>
      </c>
      <c r="S314" t="s">
        <v>36</v>
      </c>
      <c r="T314">
        <v>7</v>
      </c>
      <c r="U314">
        <v>25</v>
      </c>
      <c r="V314">
        <v>2</v>
      </c>
      <c r="W314">
        <v>10</v>
      </c>
      <c r="X314">
        <v>11</v>
      </c>
      <c r="Y314">
        <v>4</v>
      </c>
      <c r="Z314">
        <v>2</v>
      </c>
      <c r="AA314">
        <v>14</v>
      </c>
      <c r="AB314">
        <v>3</v>
      </c>
      <c r="AC314">
        <v>1</v>
      </c>
      <c r="AD314">
        <v>0</v>
      </c>
      <c r="AE314">
        <v>0</v>
      </c>
    </row>
    <row r="315" spans="1:31" x14ac:dyDescent="0.25">
      <c r="A315" t="s">
        <v>31</v>
      </c>
      <c r="B315" s="2">
        <v>45759</v>
      </c>
      <c r="C315" t="s">
        <v>50</v>
      </c>
      <c r="D315" t="s">
        <v>42</v>
      </c>
      <c r="E315" t="s">
        <v>54</v>
      </c>
      <c r="F315">
        <v>1</v>
      </c>
      <c r="G315">
        <v>0.2</v>
      </c>
      <c r="H315">
        <v>63</v>
      </c>
      <c r="I315">
        <v>37</v>
      </c>
      <c r="J315">
        <v>526</v>
      </c>
      <c r="K315">
        <v>305</v>
      </c>
      <c r="L315">
        <v>444</v>
      </c>
      <c r="M315">
        <v>229</v>
      </c>
      <c r="N315">
        <v>1</v>
      </c>
      <c r="O315">
        <v>1</v>
      </c>
      <c r="P315" t="s">
        <v>36</v>
      </c>
      <c r="Q315">
        <v>0</v>
      </c>
      <c r="R315">
        <v>0</v>
      </c>
      <c r="S315" t="s">
        <v>36</v>
      </c>
      <c r="T315">
        <v>14</v>
      </c>
      <c r="U315">
        <v>3</v>
      </c>
      <c r="V315">
        <v>3</v>
      </c>
      <c r="W315">
        <v>2</v>
      </c>
      <c r="X315">
        <v>7</v>
      </c>
      <c r="Y315">
        <v>9</v>
      </c>
      <c r="Z315">
        <v>13</v>
      </c>
      <c r="AA315">
        <v>5</v>
      </c>
      <c r="AB315">
        <v>1</v>
      </c>
      <c r="AC315">
        <v>3</v>
      </c>
      <c r="AD315">
        <v>0</v>
      </c>
      <c r="AE315">
        <v>0</v>
      </c>
    </row>
    <row r="316" spans="1:31" x14ac:dyDescent="0.25">
      <c r="A316" t="s">
        <v>31</v>
      </c>
      <c r="B316" s="2">
        <v>45760</v>
      </c>
      <c r="C316" t="s">
        <v>53</v>
      </c>
      <c r="D316" t="s">
        <v>57</v>
      </c>
      <c r="E316" t="s">
        <v>38</v>
      </c>
      <c r="F316">
        <v>2.2000000000000002</v>
      </c>
      <c r="G316">
        <v>1.1000000000000001</v>
      </c>
      <c r="H316">
        <v>73</v>
      </c>
      <c r="I316">
        <v>27</v>
      </c>
      <c r="J316">
        <v>656</v>
      </c>
      <c r="K316">
        <v>237</v>
      </c>
      <c r="L316">
        <v>550</v>
      </c>
      <c r="M316">
        <v>167</v>
      </c>
      <c r="N316">
        <v>2</v>
      </c>
      <c r="O316">
        <v>2</v>
      </c>
      <c r="P316" t="s">
        <v>36</v>
      </c>
      <c r="Q316">
        <v>0</v>
      </c>
      <c r="R316">
        <v>2</v>
      </c>
      <c r="S316" t="s">
        <v>40</v>
      </c>
      <c r="T316">
        <v>34</v>
      </c>
      <c r="U316">
        <v>13</v>
      </c>
      <c r="V316">
        <v>9</v>
      </c>
      <c r="W316">
        <v>4</v>
      </c>
      <c r="X316">
        <v>11</v>
      </c>
      <c r="Y316">
        <v>7</v>
      </c>
      <c r="Z316">
        <v>15</v>
      </c>
      <c r="AA316">
        <v>4</v>
      </c>
      <c r="AB316">
        <v>2</v>
      </c>
      <c r="AC316">
        <v>2</v>
      </c>
      <c r="AD316">
        <v>0</v>
      </c>
      <c r="AE316">
        <v>0</v>
      </c>
    </row>
    <row r="317" spans="1:31" x14ac:dyDescent="0.25">
      <c r="A317" t="s">
        <v>31</v>
      </c>
      <c r="B317" s="2">
        <v>45760</v>
      </c>
      <c r="C317" t="s">
        <v>53</v>
      </c>
      <c r="D317" t="s">
        <v>39</v>
      </c>
      <c r="E317" t="s">
        <v>51</v>
      </c>
      <c r="F317">
        <v>1.8</v>
      </c>
      <c r="G317">
        <v>1.4</v>
      </c>
      <c r="H317">
        <v>55</v>
      </c>
      <c r="I317">
        <v>45</v>
      </c>
      <c r="J317">
        <v>539</v>
      </c>
      <c r="K317">
        <v>435</v>
      </c>
      <c r="L317">
        <v>443</v>
      </c>
      <c r="M317">
        <v>362</v>
      </c>
      <c r="N317">
        <v>2</v>
      </c>
      <c r="O317">
        <v>1</v>
      </c>
      <c r="P317" t="s">
        <v>35</v>
      </c>
      <c r="Q317">
        <v>1</v>
      </c>
      <c r="R317">
        <v>0</v>
      </c>
      <c r="S317" t="s">
        <v>35</v>
      </c>
      <c r="T317">
        <v>15</v>
      </c>
      <c r="U317">
        <v>11</v>
      </c>
      <c r="V317">
        <v>6</v>
      </c>
      <c r="W317">
        <v>4</v>
      </c>
      <c r="X317">
        <v>15</v>
      </c>
      <c r="Y317">
        <v>8</v>
      </c>
      <c r="Z317">
        <v>10</v>
      </c>
      <c r="AA317">
        <v>3</v>
      </c>
      <c r="AB317">
        <v>0</v>
      </c>
      <c r="AC317">
        <v>2</v>
      </c>
      <c r="AD317">
        <v>0</v>
      </c>
      <c r="AE317">
        <v>0</v>
      </c>
    </row>
    <row r="318" spans="1:31" x14ac:dyDescent="0.25">
      <c r="A318" t="s">
        <v>31</v>
      </c>
      <c r="B318" s="2">
        <v>45760</v>
      </c>
      <c r="C318" t="s">
        <v>53</v>
      </c>
      <c r="D318" t="s">
        <v>43</v>
      </c>
      <c r="E318" t="s">
        <v>60</v>
      </c>
      <c r="F318">
        <v>2.4</v>
      </c>
      <c r="G318">
        <v>2</v>
      </c>
      <c r="H318">
        <v>37</v>
      </c>
      <c r="I318">
        <v>63</v>
      </c>
      <c r="J318">
        <v>370</v>
      </c>
      <c r="K318">
        <v>619</v>
      </c>
      <c r="L318">
        <v>295</v>
      </c>
      <c r="M318">
        <v>534</v>
      </c>
      <c r="N318">
        <v>4</v>
      </c>
      <c r="O318">
        <v>2</v>
      </c>
      <c r="P318" t="s">
        <v>35</v>
      </c>
      <c r="Q318">
        <v>2</v>
      </c>
      <c r="R318">
        <v>0</v>
      </c>
      <c r="S318" t="s">
        <v>35</v>
      </c>
      <c r="T318">
        <v>13</v>
      </c>
      <c r="U318">
        <v>11</v>
      </c>
      <c r="V318">
        <v>5</v>
      </c>
      <c r="W318">
        <v>4</v>
      </c>
      <c r="X318">
        <v>12</v>
      </c>
      <c r="Y318">
        <v>15</v>
      </c>
      <c r="Z318">
        <v>1</v>
      </c>
      <c r="AA318">
        <v>4</v>
      </c>
      <c r="AB318">
        <v>1</v>
      </c>
      <c r="AC318">
        <v>2</v>
      </c>
      <c r="AD318">
        <v>0</v>
      </c>
      <c r="AE318">
        <v>0</v>
      </c>
    </row>
    <row r="319" spans="1:31" x14ac:dyDescent="0.25">
      <c r="A319" t="s">
        <v>31</v>
      </c>
      <c r="B319" s="2">
        <v>45760</v>
      </c>
      <c r="C319" t="s">
        <v>56</v>
      </c>
      <c r="D319" t="s">
        <v>46</v>
      </c>
      <c r="E319" t="s">
        <v>33</v>
      </c>
      <c r="F319">
        <v>2.2000000000000002</v>
      </c>
      <c r="G319">
        <v>0.7</v>
      </c>
      <c r="H319">
        <v>48</v>
      </c>
      <c r="I319">
        <v>52</v>
      </c>
      <c r="J319">
        <v>467</v>
      </c>
      <c r="K319">
        <v>504</v>
      </c>
      <c r="L319">
        <v>367</v>
      </c>
      <c r="M319">
        <v>406</v>
      </c>
      <c r="N319">
        <v>4</v>
      </c>
      <c r="O319">
        <v>1</v>
      </c>
      <c r="P319" t="s">
        <v>35</v>
      </c>
      <c r="Q319">
        <v>1</v>
      </c>
      <c r="R319">
        <v>1</v>
      </c>
      <c r="S319" t="s">
        <v>36</v>
      </c>
      <c r="T319">
        <v>13</v>
      </c>
      <c r="U319">
        <v>9</v>
      </c>
      <c r="V319">
        <v>6</v>
      </c>
      <c r="W319">
        <v>5</v>
      </c>
      <c r="X319">
        <v>7</v>
      </c>
      <c r="Y319">
        <v>9</v>
      </c>
      <c r="Z319">
        <v>7</v>
      </c>
      <c r="AA319">
        <v>2</v>
      </c>
      <c r="AB319">
        <v>0</v>
      </c>
      <c r="AC319">
        <v>2</v>
      </c>
      <c r="AD319">
        <v>0</v>
      </c>
      <c r="AE319">
        <v>0</v>
      </c>
    </row>
    <row r="320" spans="1:31" x14ac:dyDescent="0.25">
      <c r="A320" t="s">
        <v>31</v>
      </c>
      <c r="B320" s="2">
        <v>45761</v>
      </c>
      <c r="C320" t="s">
        <v>32</v>
      </c>
      <c r="D320" t="s">
        <v>49</v>
      </c>
      <c r="E320" t="s">
        <v>34</v>
      </c>
      <c r="F320">
        <v>1.4</v>
      </c>
      <c r="G320">
        <v>1</v>
      </c>
      <c r="H320">
        <v>41</v>
      </c>
      <c r="I320">
        <v>59</v>
      </c>
      <c r="J320">
        <v>373</v>
      </c>
      <c r="K320">
        <v>534</v>
      </c>
      <c r="L320">
        <v>261</v>
      </c>
      <c r="M320">
        <v>419</v>
      </c>
      <c r="N320">
        <v>1</v>
      </c>
      <c r="O320">
        <v>0</v>
      </c>
      <c r="P320" t="s">
        <v>35</v>
      </c>
      <c r="Q320">
        <v>1</v>
      </c>
      <c r="R320">
        <v>0</v>
      </c>
      <c r="S320" t="s">
        <v>35</v>
      </c>
      <c r="T320">
        <v>12</v>
      </c>
      <c r="U320">
        <v>12</v>
      </c>
      <c r="V320">
        <v>3</v>
      </c>
      <c r="W320">
        <v>7</v>
      </c>
      <c r="X320">
        <v>11</v>
      </c>
      <c r="Y320">
        <v>10</v>
      </c>
      <c r="Z320">
        <v>6</v>
      </c>
      <c r="AA320">
        <v>9</v>
      </c>
      <c r="AB320">
        <v>3</v>
      </c>
      <c r="AC320">
        <v>2</v>
      </c>
      <c r="AD320">
        <v>0</v>
      </c>
      <c r="AE320">
        <v>0</v>
      </c>
    </row>
    <row r="321" spans="1:31" x14ac:dyDescent="0.25">
      <c r="A321" t="s">
        <v>31</v>
      </c>
      <c r="B321" s="2">
        <v>45763</v>
      </c>
      <c r="C321" t="s">
        <v>63</v>
      </c>
      <c r="D321" t="s">
        <v>46</v>
      </c>
      <c r="E321" t="s">
        <v>55</v>
      </c>
      <c r="F321">
        <v>1.5</v>
      </c>
      <c r="G321">
        <v>2</v>
      </c>
      <c r="H321">
        <v>59</v>
      </c>
      <c r="I321">
        <v>41</v>
      </c>
      <c r="J321">
        <v>575</v>
      </c>
      <c r="K321">
        <v>397</v>
      </c>
      <c r="L321">
        <v>481</v>
      </c>
      <c r="M321">
        <v>303</v>
      </c>
      <c r="N321">
        <v>5</v>
      </c>
      <c r="O321">
        <v>0</v>
      </c>
      <c r="P321" t="s">
        <v>35</v>
      </c>
      <c r="Q321">
        <v>4</v>
      </c>
      <c r="R321">
        <v>0</v>
      </c>
      <c r="S321" t="s">
        <v>35</v>
      </c>
      <c r="T321">
        <v>14</v>
      </c>
      <c r="U321">
        <v>11</v>
      </c>
      <c r="V321">
        <v>7</v>
      </c>
      <c r="W321">
        <v>4</v>
      </c>
      <c r="X321">
        <v>9</v>
      </c>
      <c r="Y321">
        <v>15</v>
      </c>
      <c r="Z321">
        <v>5</v>
      </c>
      <c r="AA321">
        <v>4</v>
      </c>
      <c r="AB321">
        <v>2</v>
      </c>
      <c r="AC321">
        <v>3</v>
      </c>
      <c r="AD321">
        <v>0</v>
      </c>
      <c r="AE321">
        <v>0</v>
      </c>
    </row>
    <row r="322" spans="1:31" x14ac:dyDescent="0.25">
      <c r="A322" t="s">
        <v>31</v>
      </c>
      <c r="B322" s="2">
        <v>45766</v>
      </c>
      <c r="C322" t="s">
        <v>41</v>
      </c>
      <c r="D322" t="s">
        <v>54</v>
      </c>
      <c r="E322" t="s">
        <v>45</v>
      </c>
      <c r="F322">
        <v>2.1</v>
      </c>
      <c r="G322">
        <v>1.4</v>
      </c>
      <c r="H322">
        <v>47</v>
      </c>
      <c r="I322">
        <v>53</v>
      </c>
      <c r="J322">
        <v>462</v>
      </c>
      <c r="K322">
        <v>527</v>
      </c>
      <c r="L322">
        <v>367</v>
      </c>
      <c r="M322">
        <v>433</v>
      </c>
      <c r="N322">
        <v>4</v>
      </c>
      <c r="O322">
        <v>2</v>
      </c>
      <c r="P322" t="s">
        <v>35</v>
      </c>
      <c r="Q322">
        <v>1</v>
      </c>
      <c r="R322">
        <v>1</v>
      </c>
      <c r="S322" t="s">
        <v>36</v>
      </c>
      <c r="T322">
        <v>16</v>
      </c>
      <c r="U322">
        <v>12</v>
      </c>
      <c r="V322">
        <v>8</v>
      </c>
      <c r="W322">
        <v>3</v>
      </c>
      <c r="X322">
        <v>7</v>
      </c>
      <c r="Y322">
        <v>11</v>
      </c>
      <c r="Z322">
        <v>4</v>
      </c>
      <c r="AA322">
        <v>8</v>
      </c>
      <c r="AB322">
        <v>3</v>
      </c>
      <c r="AC322">
        <v>3</v>
      </c>
      <c r="AD322">
        <v>0</v>
      </c>
      <c r="AE322">
        <v>1</v>
      </c>
    </row>
    <row r="323" spans="1:31" x14ac:dyDescent="0.25">
      <c r="A323" t="s">
        <v>31</v>
      </c>
      <c r="B323" s="2">
        <v>45766</v>
      </c>
      <c r="C323" t="s">
        <v>41</v>
      </c>
      <c r="D323" t="s">
        <v>55</v>
      </c>
      <c r="E323" t="s">
        <v>49</v>
      </c>
      <c r="F323">
        <v>0.4</v>
      </c>
      <c r="G323">
        <v>0.7</v>
      </c>
      <c r="H323">
        <v>29</v>
      </c>
      <c r="I323">
        <v>71</v>
      </c>
      <c r="J323">
        <v>249</v>
      </c>
      <c r="K323">
        <v>623</v>
      </c>
      <c r="L323">
        <v>151</v>
      </c>
      <c r="M323">
        <v>528</v>
      </c>
      <c r="N323">
        <v>0</v>
      </c>
      <c r="O323">
        <v>0</v>
      </c>
      <c r="P323" t="s">
        <v>36</v>
      </c>
      <c r="Q323">
        <v>0</v>
      </c>
      <c r="R323">
        <v>0</v>
      </c>
      <c r="S323" t="s">
        <v>36</v>
      </c>
      <c r="T323">
        <v>5</v>
      </c>
      <c r="U323">
        <v>15</v>
      </c>
      <c r="V323">
        <v>0</v>
      </c>
      <c r="W323">
        <v>4</v>
      </c>
      <c r="X323">
        <v>13</v>
      </c>
      <c r="Y323">
        <v>10</v>
      </c>
      <c r="Z323">
        <v>5</v>
      </c>
      <c r="AA323">
        <v>4</v>
      </c>
      <c r="AB323">
        <v>3</v>
      </c>
      <c r="AC323">
        <v>4</v>
      </c>
      <c r="AD323">
        <v>1</v>
      </c>
      <c r="AE323">
        <v>0</v>
      </c>
    </row>
    <row r="324" spans="1:31" x14ac:dyDescent="0.25">
      <c r="A324" t="s">
        <v>31</v>
      </c>
      <c r="B324" s="2">
        <v>45766</v>
      </c>
      <c r="C324" t="s">
        <v>41</v>
      </c>
      <c r="D324" t="s">
        <v>44</v>
      </c>
      <c r="E324" t="s">
        <v>58</v>
      </c>
      <c r="F324">
        <v>0.9</v>
      </c>
      <c r="G324">
        <v>2</v>
      </c>
      <c r="H324">
        <v>33</v>
      </c>
      <c r="I324">
        <v>67</v>
      </c>
      <c r="J324">
        <v>354</v>
      </c>
      <c r="K324">
        <v>711</v>
      </c>
      <c r="L324">
        <v>271</v>
      </c>
      <c r="M324">
        <v>620</v>
      </c>
      <c r="N324">
        <v>0</v>
      </c>
      <c r="O324">
        <v>2</v>
      </c>
      <c r="P324" t="s">
        <v>40</v>
      </c>
      <c r="Q324">
        <v>0</v>
      </c>
      <c r="R324">
        <v>0</v>
      </c>
      <c r="S324" t="s">
        <v>36</v>
      </c>
      <c r="T324">
        <v>8</v>
      </c>
      <c r="U324">
        <v>12</v>
      </c>
      <c r="V324">
        <v>3</v>
      </c>
      <c r="W324">
        <v>7</v>
      </c>
      <c r="X324">
        <v>7</v>
      </c>
      <c r="Y324">
        <v>6</v>
      </c>
      <c r="Z324">
        <v>2</v>
      </c>
      <c r="AA324">
        <v>5</v>
      </c>
      <c r="AB324">
        <v>4</v>
      </c>
      <c r="AC324">
        <v>0</v>
      </c>
      <c r="AD324">
        <v>0</v>
      </c>
      <c r="AE324">
        <v>0</v>
      </c>
    </row>
    <row r="325" spans="1:31" x14ac:dyDescent="0.25">
      <c r="A325" t="s">
        <v>31</v>
      </c>
      <c r="B325" s="2">
        <v>45766</v>
      </c>
      <c r="C325" t="s">
        <v>41</v>
      </c>
      <c r="D325" t="s">
        <v>51</v>
      </c>
      <c r="E325" t="s">
        <v>47</v>
      </c>
      <c r="F325">
        <v>0.9</v>
      </c>
      <c r="G325">
        <v>0.6</v>
      </c>
      <c r="H325">
        <v>52</v>
      </c>
      <c r="I325">
        <v>48</v>
      </c>
      <c r="J325">
        <v>523</v>
      </c>
      <c r="K325">
        <v>488</v>
      </c>
      <c r="L325">
        <v>462</v>
      </c>
      <c r="M325">
        <v>408</v>
      </c>
      <c r="N325">
        <v>1</v>
      </c>
      <c r="O325">
        <v>1</v>
      </c>
      <c r="P325" t="s">
        <v>36</v>
      </c>
      <c r="Q325">
        <v>0</v>
      </c>
      <c r="R325">
        <v>0</v>
      </c>
      <c r="S325" t="s">
        <v>36</v>
      </c>
      <c r="T325">
        <v>12</v>
      </c>
      <c r="U325">
        <v>15</v>
      </c>
      <c r="V325">
        <v>4</v>
      </c>
      <c r="W325">
        <v>4</v>
      </c>
      <c r="X325">
        <v>14</v>
      </c>
      <c r="Y325">
        <v>13</v>
      </c>
      <c r="Z325">
        <v>2</v>
      </c>
      <c r="AA325">
        <v>5</v>
      </c>
      <c r="AB325">
        <v>2</v>
      </c>
      <c r="AC325">
        <v>1</v>
      </c>
      <c r="AD325">
        <v>0</v>
      </c>
      <c r="AE325">
        <v>0</v>
      </c>
    </row>
    <row r="326" spans="1:31" x14ac:dyDescent="0.25">
      <c r="A326" t="s">
        <v>31</v>
      </c>
      <c r="B326" s="2">
        <v>45766</v>
      </c>
      <c r="C326" t="s">
        <v>50</v>
      </c>
      <c r="D326" t="s">
        <v>52</v>
      </c>
      <c r="E326" t="s">
        <v>46</v>
      </c>
      <c r="F326">
        <v>2.2000000000000002</v>
      </c>
      <c r="G326">
        <v>1</v>
      </c>
      <c r="H326">
        <v>48</v>
      </c>
      <c r="I326">
        <v>52</v>
      </c>
      <c r="J326">
        <v>434</v>
      </c>
      <c r="K326">
        <v>467</v>
      </c>
      <c r="L326">
        <v>358</v>
      </c>
      <c r="M326">
        <v>387</v>
      </c>
      <c r="N326">
        <v>4</v>
      </c>
      <c r="O326">
        <v>1</v>
      </c>
      <c r="P326" t="s">
        <v>35</v>
      </c>
      <c r="Q326">
        <v>1</v>
      </c>
      <c r="R326">
        <v>1</v>
      </c>
      <c r="S326" t="s">
        <v>36</v>
      </c>
      <c r="T326">
        <v>23</v>
      </c>
      <c r="U326">
        <v>10</v>
      </c>
      <c r="V326">
        <v>9</v>
      </c>
      <c r="W326">
        <v>3</v>
      </c>
      <c r="X326">
        <v>9</v>
      </c>
      <c r="Y326">
        <v>12</v>
      </c>
      <c r="Z326">
        <v>7</v>
      </c>
      <c r="AA326">
        <v>7</v>
      </c>
      <c r="AB326">
        <v>1</v>
      </c>
      <c r="AC326">
        <v>3</v>
      </c>
      <c r="AD326">
        <v>0</v>
      </c>
      <c r="AE326">
        <v>0</v>
      </c>
    </row>
    <row r="327" spans="1:31" x14ac:dyDescent="0.25">
      <c r="A327" t="s">
        <v>31</v>
      </c>
      <c r="B327" s="2">
        <v>45767</v>
      </c>
      <c r="C327" t="s">
        <v>53</v>
      </c>
      <c r="D327" t="s">
        <v>34</v>
      </c>
      <c r="E327" t="s">
        <v>57</v>
      </c>
      <c r="F327">
        <v>0.3</v>
      </c>
      <c r="G327">
        <v>0.9</v>
      </c>
      <c r="H327">
        <v>41</v>
      </c>
      <c r="I327">
        <v>59</v>
      </c>
      <c r="J327">
        <v>397</v>
      </c>
      <c r="K327">
        <v>578</v>
      </c>
      <c r="L327">
        <v>310</v>
      </c>
      <c r="M327">
        <v>492</v>
      </c>
      <c r="N327">
        <v>1</v>
      </c>
      <c r="O327">
        <v>2</v>
      </c>
      <c r="P327" t="s">
        <v>40</v>
      </c>
      <c r="Q327">
        <v>1</v>
      </c>
      <c r="R327">
        <v>0</v>
      </c>
      <c r="S327" t="s">
        <v>35</v>
      </c>
      <c r="T327">
        <v>6</v>
      </c>
      <c r="U327">
        <v>13</v>
      </c>
      <c r="V327">
        <v>1</v>
      </c>
      <c r="W327">
        <v>8</v>
      </c>
      <c r="X327">
        <v>13</v>
      </c>
      <c r="Y327">
        <v>9</v>
      </c>
      <c r="Z327">
        <v>6</v>
      </c>
      <c r="AA327">
        <v>4</v>
      </c>
      <c r="AB327">
        <v>1</v>
      </c>
      <c r="AC327">
        <v>3</v>
      </c>
      <c r="AD327">
        <v>0</v>
      </c>
      <c r="AE327">
        <v>0</v>
      </c>
    </row>
    <row r="328" spans="1:31" x14ac:dyDescent="0.25">
      <c r="A328" t="s">
        <v>31</v>
      </c>
      <c r="B328" s="2">
        <v>45767</v>
      </c>
      <c r="C328" t="s">
        <v>53</v>
      </c>
      <c r="D328" t="s">
        <v>38</v>
      </c>
      <c r="E328" t="s">
        <v>42</v>
      </c>
      <c r="F328">
        <v>0.2</v>
      </c>
      <c r="G328">
        <v>2.4</v>
      </c>
      <c r="H328">
        <v>25</v>
      </c>
      <c r="I328">
        <v>75</v>
      </c>
      <c r="J328">
        <v>268</v>
      </c>
      <c r="K328">
        <v>790</v>
      </c>
      <c r="L328">
        <v>211</v>
      </c>
      <c r="M328">
        <v>707</v>
      </c>
      <c r="N328">
        <v>0</v>
      </c>
      <c r="O328">
        <v>4</v>
      </c>
      <c r="P328" t="s">
        <v>40</v>
      </c>
      <c r="Q328">
        <v>0</v>
      </c>
      <c r="R328">
        <v>2</v>
      </c>
      <c r="S328" t="s">
        <v>40</v>
      </c>
      <c r="T328">
        <v>4</v>
      </c>
      <c r="U328">
        <v>24</v>
      </c>
      <c r="V328">
        <v>0</v>
      </c>
      <c r="W328">
        <v>7</v>
      </c>
      <c r="X328">
        <v>10</v>
      </c>
      <c r="Y328">
        <v>7</v>
      </c>
      <c r="Z328">
        <v>0</v>
      </c>
      <c r="AA328">
        <v>12</v>
      </c>
      <c r="AB328">
        <v>0</v>
      </c>
      <c r="AC328">
        <v>0</v>
      </c>
      <c r="AD328">
        <v>1</v>
      </c>
      <c r="AE328">
        <v>0</v>
      </c>
    </row>
    <row r="329" spans="1:31" x14ac:dyDescent="0.25">
      <c r="A329" t="s">
        <v>31</v>
      </c>
      <c r="B329" s="2">
        <v>45767</v>
      </c>
      <c r="C329" t="s">
        <v>53</v>
      </c>
      <c r="D329" t="s">
        <v>33</v>
      </c>
      <c r="E329" t="s">
        <v>43</v>
      </c>
      <c r="F329">
        <v>1.3</v>
      </c>
      <c r="G329">
        <v>0.2</v>
      </c>
      <c r="H329">
        <v>59</v>
      </c>
      <c r="I329">
        <v>41</v>
      </c>
      <c r="J329">
        <v>603</v>
      </c>
      <c r="K329">
        <v>415</v>
      </c>
      <c r="L329">
        <v>512</v>
      </c>
      <c r="M329">
        <v>332</v>
      </c>
      <c r="N329">
        <v>0</v>
      </c>
      <c r="O329">
        <v>1</v>
      </c>
      <c r="P329" t="s">
        <v>40</v>
      </c>
      <c r="Q329">
        <v>0</v>
      </c>
      <c r="R329">
        <v>0</v>
      </c>
      <c r="S329" t="s">
        <v>36</v>
      </c>
      <c r="T329">
        <v>12</v>
      </c>
      <c r="U329">
        <v>4</v>
      </c>
      <c r="V329">
        <v>2</v>
      </c>
      <c r="W329">
        <v>2</v>
      </c>
      <c r="X329">
        <v>11</v>
      </c>
      <c r="Y329">
        <v>18</v>
      </c>
      <c r="Z329">
        <v>9</v>
      </c>
      <c r="AA329">
        <v>2</v>
      </c>
      <c r="AB329">
        <v>2</v>
      </c>
      <c r="AC329">
        <v>3</v>
      </c>
      <c r="AD329">
        <v>0</v>
      </c>
      <c r="AE329">
        <v>0</v>
      </c>
    </row>
    <row r="330" spans="1:31" x14ac:dyDescent="0.25">
      <c r="A330" t="s">
        <v>31</v>
      </c>
      <c r="B330" s="2">
        <v>45767</v>
      </c>
      <c r="C330" t="s">
        <v>56</v>
      </c>
      <c r="D330" t="s">
        <v>59</v>
      </c>
      <c r="E330" t="s">
        <v>39</v>
      </c>
      <c r="F330">
        <v>0.3</v>
      </c>
      <c r="G330">
        <v>2.5</v>
      </c>
      <c r="H330">
        <v>42</v>
      </c>
      <c r="I330">
        <v>58</v>
      </c>
      <c r="J330">
        <v>413</v>
      </c>
      <c r="K330">
        <v>562</v>
      </c>
      <c r="L330">
        <v>313</v>
      </c>
      <c r="M330">
        <v>467</v>
      </c>
      <c r="N330">
        <v>0</v>
      </c>
      <c r="O330">
        <v>1</v>
      </c>
      <c r="P330" t="s">
        <v>40</v>
      </c>
      <c r="Q330">
        <v>0</v>
      </c>
      <c r="R330">
        <v>0</v>
      </c>
      <c r="S330" t="s">
        <v>36</v>
      </c>
      <c r="T330">
        <v>5</v>
      </c>
      <c r="U330">
        <v>28</v>
      </c>
      <c r="V330">
        <v>0</v>
      </c>
      <c r="W330">
        <v>10</v>
      </c>
      <c r="X330">
        <v>11</v>
      </c>
      <c r="Y330">
        <v>7</v>
      </c>
      <c r="Z330">
        <v>1</v>
      </c>
      <c r="AA330">
        <v>13</v>
      </c>
      <c r="AB330">
        <v>1</v>
      </c>
      <c r="AC330">
        <v>2</v>
      </c>
      <c r="AD330">
        <v>0</v>
      </c>
      <c r="AE330">
        <v>0</v>
      </c>
    </row>
    <row r="331" spans="1:31" x14ac:dyDescent="0.25">
      <c r="A331" t="s">
        <v>31</v>
      </c>
      <c r="B331" s="2">
        <v>45768</v>
      </c>
      <c r="C331" t="s">
        <v>32</v>
      </c>
      <c r="D331" t="s">
        <v>60</v>
      </c>
      <c r="E331" t="s">
        <v>48</v>
      </c>
      <c r="F331">
        <v>2.1</v>
      </c>
      <c r="G331">
        <v>0.5</v>
      </c>
      <c r="H331">
        <v>69</v>
      </c>
      <c r="I331">
        <v>31</v>
      </c>
      <c r="J331">
        <v>607</v>
      </c>
      <c r="K331">
        <v>275</v>
      </c>
      <c r="L331">
        <v>508</v>
      </c>
      <c r="M331">
        <v>185</v>
      </c>
      <c r="N331">
        <v>1</v>
      </c>
      <c r="O331">
        <v>2</v>
      </c>
      <c r="P331" t="s">
        <v>40</v>
      </c>
      <c r="Q331">
        <v>0</v>
      </c>
      <c r="R331">
        <v>2</v>
      </c>
      <c r="S331" t="s">
        <v>40</v>
      </c>
      <c r="T331">
        <v>22</v>
      </c>
      <c r="U331">
        <v>4</v>
      </c>
      <c r="V331">
        <v>6</v>
      </c>
      <c r="W331">
        <v>3</v>
      </c>
      <c r="X331">
        <v>11</v>
      </c>
      <c r="Y331">
        <v>12</v>
      </c>
      <c r="Z331">
        <v>7</v>
      </c>
      <c r="AA331">
        <v>1</v>
      </c>
      <c r="AB331">
        <v>1</v>
      </c>
      <c r="AC331">
        <v>4</v>
      </c>
      <c r="AD331">
        <v>0</v>
      </c>
      <c r="AE331">
        <v>0</v>
      </c>
    </row>
    <row r="332" spans="1:31" x14ac:dyDescent="0.25">
      <c r="A332" t="s">
        <v>31</v>
      </c>
      <c r="B332" s="2">
        <v>45769</v>
      </c>
      <c r="C332" t="s">
        <v>32</v>
      </c>
      <c r="D332" t="s">
        <v>58</v>
      </c>
      <c r="E332" t="s">
        <v>52</v>
      </c>
      <c r="F332">
        <v>1.3</v>
      </c>
      <c r="G332">
        <v>1.8</v>
      </c>
      <c r="H332">
        <v>61</v>
      </c>
      <c r="I332">
        <v>39</v>
      </c>
      <c r="J332">
        <v>536</v>
      </c>
      <c r="K332">
        <v>342</v>
      </c>
      <c r="L332">
        <v>466</v>
      </c>
      <c r="M332">
        <v>272</v>
      </c>
      <c r="N332">
        <v>2</v>
      </c>
      <c r="O332">
        <v>1</v>
      </c>
      <c r="P332" t="s">
        <v>35</v>
      </c>
      <c r="Q332">
        <v>1</v>
      </c>
      <c r="R332">
        <v>1</v>
      </c>
      <c r="S332" t="s">
        <v>36</v>
      </c>
      <c r="T332">
        <v>14</v>
      </c>
      <c r="U332">
        <v>7</v>
      </c>
      <c r="V332">
        <v>6</v>
      </c>
      <c r="W332">
        <v>3</v>
      </c>
      <c r="X332">
        <v>9</v>
      </c>
      <c r="Y332">
        <v>10</v>
      </c>
      <c r="Z332">
        <v>10</v>
      </c>
      <c r="AA332">
        <v>2</v>
      </c>
      <c r="AB332">
        <v>3</v>
      </c>
      <c r="AC332">
        <v>3</v>
      </c>
      <c r="AD332">
        <v>0</v>
      </c>
      <c r="AE332">
        <v>0</v>
      </c>
    </row>
    <row r="333" spans="1:31" x14ac:dyDescent="0.25">
      <c r="A333" t="s">
        <v>31</v>
      </c>
      <c r="B333" s="2">
        <v>45770</v>
      </c>
      <c r="C333" t="s">
        <v>32</v>
      </c>
      <c r="D333" t="s">
        <v>42</v>
      </c>
      <c r="E333" t="s">
        <v>55</v>
      </c>
      <c r="F333">
        <v>1.2</v>
      </c>
      <c r="G333">
        <v>1.7</v>
      </c>
      <c r="H333">
        <v>67</v>
      </c>
      <c r="I333">
        <v>33</v>
      </c>
      <c r="J333">
        <v>745</v>
      </c>
      <c r="K333">
        <v>367</v>
      </c>
      <c r="L333">
        <v>678</v>
      </c>
      <c r="M333">
        <v>297</v>
      </c>
      <c r="N333">
        <v>2</v>
      </c>
      <c r="O333">
        <v>2</v>
      </c>
      <c r="P333" t="s">
        <v>36</v>
      </c>
      <c r="Q333">
        <v>2</v>
      </c>
      <c r="R333">
        <v>1</v>
      </c>
      <c r="S333" t="s">
        <v>35</v>
      </c>
      <c r="T333">
        <v>12</v>
      </c>
      <c r="U333">
        <v>15</v>
      </c>
      <c r="V333">
        <v>6</v>
      </c>
      <c r="W333">
        <v>4</v>
      </c>
      <c r="X333">
        <v>4</v>
      </c>
      <c r="Y333">
        <v>6</v>
      </c>
      <c r="Z333">
        <v>3</v>
      </c>
      <c r="AA333">
        <v>6</v>
      </c>
      <c r="AB333">
        <v>1</v>
      </c>
      <c r="AC333">
        <v>1</v>
      </c>
      <c r="AD333">
        <v>0</v>
      </c>
      <c r="AE333">
        <v>0</v>
      </c>
    </row>
    <row r="334" spans="1:31" x14ac:dyDescent="0.25">
      <c r="A334" t="s">
        <v>31</v>
      </c>
      <c r="B334" s="2">
        <v>45773</v>
      </c>
      <c r="C334" t="s">
        <v>37</v>
      </c>
      <c r="D334" t="s">
        <v>57</v>
      </c>
      <c r="E334" t="s">
        <v>44</v>
      </c>
      <c r="F334">
        <v>0.8</v>
      </c>
      <c r="G334">
        <v>0.4</v>
      </c>
      <c r="H334">
        <v>55</v>
      </c>
      <c r="I334">
        <v>45</v>
      </c>
      <c r="J334">
        <v>554</v>
      </c>
      <c r="K334">
        <v>460</v>
      </c>
      <c r="L334">
        <v>464</v>
      </c>
      <c r="M334">
        <v>378</v>
      </c>
      <c r="N334">
        <v>1</v>
      </c>
      <c r="O334">
        <v>0</v>
      </c>
      <c r="P334" t="s">
        <v>35</v>
      </c>
      <c r="Q334">
        <v>1</v>
      </c>
      <c r="R334">
        <v>0</v>
      </c>
      <c r="S334" t="s">
        <v>35</v>
      </c>
      <c r="T334">
        <v>10</v>
      </c>
      <c r="U334">
        <v>6</v>
      </c>
      <c r="V334">
        <v>7</v>
      </c>
      <c r="W334">
        <v>3</v>
      </c>
      <c r="X334">
        <v>11</v>
      </c>
      <c r="Y334">
        <v>11</v>
      </c>
      <c r="Z334">
        <v>10</v>
      </c>
      <c r="AA334">
        <v>2</v>
      </c>
      <c r="AB334">
        <v>0</v>
      </c>
      <c r="AC334">
        <v>0</v>
      </c>
      <c r="AD334">
        <v>0</v>
      </c>
      <c r="AE334">
        <v>0</v>
      </c>
    </row>
    <row r="335" spans="1:31" x14ac:dyDescent="0.25">
      <c r="A335" t="s">
        <v>31</v>
      </c>
      <c r="B335" s="2">
        <v>45773</v>
      </c>
      <c r="C335" t="s">
        <v>41</v>
      </c>
      <c r="D335" t="s">
        <v>45</v>
      </c>
      <c r="E335" t="s">
        <v>51</v>
      </c>
      <c r="F335">
        <v>1.3</v>
      </c>
      <c r="G335">
        <v>1.3</v>
      </c>
      <c r="H335">
        <v>53</v>
      </c>
      <c r="I335">
        <v>47</v>
      </c>
      <c r="J335">
        <v>565</v>
      </c>
      <c r="K335">
        <v>511</v>
      </c>
      <c r="L335">
        <v>466</v>
      </c>
      <c r="M335">
        <v>441</v>
      </c>
      <c r="N335">
        <v>3</v>
      </c>
      <c r="O335">
        <v>2</v>
      </c>
      <c r="P335" t="s">
        <v>35</v>
      </c>
      <c r="Q335">
        <v>1</v>
      </c>
      <c r="R335">
        <v>0</v>
      </c>
      <c r="S335" t="s">
        <v>35</v>
      </c>
      <c r="T335">
        <v>16</v>
      </c>
      <c r="U335">
        <v>12</v>
      </c>
      <c r="V335">
        <v>9</v>
      </c>
      <c r="W335">
        <v>4</v>
      </c>
      <c r="X335">
        <v>7</v>
      </c>
      <c r="Y335">
        <v>9</v>
      </c>
      <c r="Z335">
        <v>8</v>
      </c>
      <c r="AA335">
        <v>1</v>
      </c>
      <c r="AB335">
        <v>1</v>
      </c>
      <c r="AC335">
        <v>1</v>
      </c>
      <c r="AD335">
        <v>0</v>
      </c>
      <c r="AE335">
        <v>0</v>
      </c>
    </row>
    <row r="336" spans="1:31" x14ac:dyDescent="0.25">
      <c r="A336" t="s">
        <v>31</v>
      </c>
      <c r="B336" s="2">
        <v>45773</v>
      </c>
      <c r="C336" t="s">
        <v>41</v>
      </c>
      <c r="D336" t="s">
        <v>46</v>
      </c>
      <c r="E336" t="s">
        <v>38</v>
      </c>
      <c r="F336">
        <v>2.4</v>
      </c>
      <c r="G336">
        <v>0.1</v>
      </c>
      <c r="H336">
        <v>77</v>
      </c>
      <c r="I336">
        <v>23</v>
      </c>
      <c r="J336">
        <v>698</v>
      </c>
      <c r="K336">
        <v>206</v>
      </c>
      <c r="L336">
        <v>609</v>
      </c>
      <c r="M336">
        <v>134</v>
      </c>
      <c r="N336">
        <v>3</v>
      </c>
      <c r="O336">
        <v>0</v>
      </c>
      <c r="P336" t="s">
        <v>35</v>
      </c>
      <c r="Q336">
        <v>1</v>
      </c>
      <c r="R336">
        <v>0</v>
      </c>
      <c r="S336" t="s">
        <v>35</v>
      </c>
      <c r="T336">
        <v>25</v>
      </c>
      <c r="U336">
        <v>4</v>
      </c>
      <c r="V336">
        <v>5</v>
      </c>
      <c r="W336">
        <v>0</v>
      </c>
      <c r="X336">
        <v>9</v>
      </c>
      <c r="Y336">
        <v>9</v>
      </c>
      <c r="Z336">
        <v>11</v>
      </c>
      <c r="AA336">
        <v>2</v>
      </c>
      <c r="AB336">
        <v>1</v>
      </c>
      <c r="AC336">
        <v>2</v>
      </c>
      <c r="AD336">
        <v>0</v>
      </c>
      <c r="AE336">
        <v>1</v>
      </c>
    </row>
    <row r="337" spans="1:31" x14ac:dyDescent="0.25">
      <c r="A337" t="s">
        <v>31</v>
      </c>
      <c r="B337" s="2">
        <v>45773</v>
      </c>
      <c r="C337" t="s">
        <v>41</v>
      </c>
      <c r="D337" t="s">
        <v>47</v>
      </c>
      <c r="E337" t="s">
        <v>34</v>
      </c>
      <c r="F337">
        <v>0.6</v>
      </c>
      <c r="G337">
        <v>2.4</v>
      </c>
      <c r="H337">
        <v>35</v>
      </c>
      <c r="I337">
        <v>65</v>
      </c>
      <c r="J337">
        <v>338</v>
      </c>
      <c r="K337">
        <v>622</v>
      </c>
      <c r="L337">
        <v>255</v>
      </c>
      <c r="M337">
        <v>517</v>
      </c>
      <c r="N337">
        <v>1</v>
      </c>
      <c r="O337">
        <v>2</v>
      </c>
      <c r="P337" t="s">
        <v>40</v>
      </c>
      <c r="Q337">
        <v>1</v>
      </c>
      <c r="R337">
        <v>0</v>
      </c>
      <c r="S337" t="s">
        <v>35</v>
      </c>
      <c r="T337">
        <v>7</v>
      </c>
      <c r="U337">
        <v>26</v>
      </c>
      <c r="V337">
        <v>3</v>
      </c>
      <c r="W337">
        <v>5</v>
      </c>
      <c r="X337">
        <v>10</v>
      </c>
      <c r="Y337">
        <v>12</v>
      </c>
      <c r="Z337">
        <v>0</v>
      </c>
      <c r="AA337">
        <v>13</v>
      </c>
      <c r="AB337">
        <v>1</v>
      </c>
      <c r="AC337">
        <v>1</v>
      </c>
      <c r="AD337">
        <v>0</v>
      </c>
      <c r="AE337">
        <v>0</v>
      </c>
    </row>
    <row r="338" spans="1:31" x14ac:dyDescent="0.25">
      <c r="A338" t="s">
        <v>31</v>
      </c>
      <c r="B338" s="2">
        <v>45773</v>
      </c>
      <c r="C338" t="s">
        <v>41</v>
      </c>
      <c r="D338" t="s">
        <v>43</v>
      </c>
      <c r="E338" t="s">
        <v>59</v>
      </c>
      <c r="F338">
        <v>2</v>
      </c>
      <c r="G338">
        <v>1.1000000000000001</v>
      </c>
      <c r="H338">
        <v>56</v>
      </c>
      <c r="I338">
        <v>44</v>
      </c>
      <c r="J338">
        <v>651</v>
      </c>
      <c r="K338">
        <v>510</v>
      </c>
      <c r="L338">
        <v>567</v>
      </c>
      <c r="M338">
        <v>424</v>
      </c>
      <c r="N338">
        <v>3</v>
      </c>
      <c r="O338">
        <v>0</v>
      </c>
      <c r="P338" t="s">
        <v>35</v>
      </c>
      <c r="Q338">
        <v>1</v>
      </c>
      <c r="R338">
        <v>0</v>
      </c>
      <c r="S338" t="s">
        <v>35</v>
      </c>
      <c r="T338">
        <v>20</v>
      </c>
      <c r="U338">
        <v>8</v>
      </c>
      <c r="V338">
        <v>6</v>
      </c>
      <c r="W338">
        <v>2</v>
      </c>
      <c r="X338">
        <v>7</v>
      </c>
      <c r="Y338">
        <v>17</v>
      </c>
      <c r="Z338">
        <v>4</v>
      </c>
      <c r="AA338">
        <v>2</v>
      </c>
      <c r="AB338">
        <v>1</v>
      </c>
      <c r="AC338">
        <v>4</v>
      </c>
      <c r="AD338">
        <v>0</v>
      </c>
      <c r="AE338">
        <v>0</v>
      </c>
    </row>
    <row r="339" spans="1:31" x14ac:dyDescent="0.25">
      <c r="A339" t="s">
        <v>31</v>
      </c>
      <c r="B339" s="2">
        <v>45774</v>
      </c>
      <c r="C339" t="s">
        <v>53</v>
      </c>
      <c r="D339" t="s">
        <v>49</v>
      </c>
      <c r="E339" t="s">
        <v>33</v>
      </c>
      <c r="F339">
        <v>0.5</v>
      </c>
      <c r="G339">
        <v>2.2999999999999998</v>
      </c>
      <c r="H339">
        <v>39</v>
      </c>
      <c r="I339">
        <v>61</v>
      </c>
      <c r="J339">
        <v>335</v>
      </c>
      <c r="K339">
        <v>522</v>
      </c>
      <c r="L339">
        <v>235</v>
      </c>
      <c r="M339">
        <v>416</v>
      </c>
      <c r="N339">
        <v>1</v>
      </c>
      <c r="O339">
        <v>1</v>
      </c>
      <c r="P339" t="s">
        <v>36</v>
      </c>
      <c r="Q339">
        <v>1</v>
      </c>
      <c r="R339">
        <v>0</v>
      </c>
      <c r="S339" t="s">
        <v>35</v>
      </c>
      <c r="T339">
        <v>8</v>
      </c>
      <c r="U339">
        <v>25</v>
      </c>
      <c r="V339">
        <v>1</v>
      </c>
      <c r="W339">
        <v>6</v>
      </c>
      <c r="X339">
        <v>11</v>
      </c>
      <c r="Y339">
        <v>12</v>
      </c>
      <c r="Z339">
        <v>5</v>
      </c>
      <c r="AA339">
        <v>10</v>
      </c>
      <c r="AB339">
        <v>4</v>
      </c>
      <c r="AC339">
        <v>2</v>
      </c>
      <c r="AD339">
        <v>1</v>
      </c>
      <c r="AE339">
        <v>0</v>
      </c>
    </row>
    <row r="340" spans="1:31" x14ac:dyDescent="0.25">
      <c r="A340" t="s">
        <v>31</v>
      </c>
      <c r="B340" s="2">
        <v>45774</v>
      </c>
      <c r="C340" t="s">
        <v>56</v>
      </c>
      <c r="D340" t="s">
        <v>39</v>
      </c>
      <c r="E340" t="s">
        <v>60</v>
      </c>
      <c r="F340">
        <v>2.2000000000000002</v>
      </c>
      <c r="G340">
        <v>0.5</v>
      </c>
      <c r="H340">
        <v>61</v>
      </c>
      <c r="I340">
        <v>39</v>
      </c>
      <c r="J340">
        <v>551</v>
      </c>
      <c r="K340">
        <v>359</v>
      </c>
      <c r="L340">
        <v>462</v>
      </c>
      <c r="M340">
        <v>260</v>
      </c>
      <c r="N340">
        <v>5</v>
      </c>
      <c r="O340">
        <v>1</v>
      </c>
      <c r="P340" t="s">
        <v>35</v>
      </c>
      <c r="Q340">
        <v>3</v>
      </c>
      <c r="R340">
        <v>1</v>
      </c>
      <c r="S340" t="s">
        <v>35</v>
      </c>
      <c r="T340">
        <v>25</v>
      </c>
      <c r="U340">
        <v>8</v>
      </c>
      <c r="V340">
        <v>8</v>
      </c>
      <c r="W340">
        <v>3</v>
      </c>
      <c r="X340">
        <v>16</v>
      </c>
      <c r="Y340">
        <v>9</v>
      </c>
      <c r="Z340">
        <v>8</v>
      </c>
      <c r="AA340">
        <v>2</v>
      </c>
      <c r="AB340">
        <v>2</v>
      </c>
      <c r="AC340">
        <v>1</v>
      </c>
      <c r="AD340">
        <v>0</v>
      </c>
      <c r="AE340">
        <v>0</v>
      </c>
    </row>
    <row r="341" spans="1:31" x14ac:dyDescent="0.25">
      <c r="A341" t="s">
        <v>31</v>
      </c>
      <c r="B341" s="2">
        <v>45778</v>
      </c>
      <c r="C341" t="s">
        <v>63</v>
      </c>
      <c r="D341" t="s">
        <v>48</v>
      </c>
      <c r="E341" t="s">
        <v>54</v>
      </c>
      <c r="F341">
        <v>0.9</v>
      </c>
      <c r="G341">
        <v>1.3</v>
      </c>
      <c r="H341">
        <v>55</v>
      </c>
      <c r="I341">
        <v>45</v>
      </c>
      <c r="J341">
        <v>437</v>
      </c>
      <c r="K341">
        <v>353</v>
      </c>
      <c r="L341">
        <v>331</v>
      </c>
      <c r="M341">
        <v>264</v>
      </c>
      <c r="N341">
        <v>0</v>
      </c>
      <c r="O341">
        <v>2</v>
      </c>
      <c r="P341" t="s">
        <v>40</v>
      </c>
      <c r="Q341">
        <v>0</v>
      </c>
      <c r="R341">
        <v>1</v>
      </c>
      <c r="S341" t="s">
        <v>40</v>
      </c>
      <c r="T341">
        <v>14</v>
      </c>
      <c r="U341">
        <v>11</v>
      </c>
      <c r="V341">
        <v>5</v>
      </c>
      <c r="W341">
        <v>3</v>
      </c>
      <c r="X341">
        <v>10</v>
      </c>
      <c r="Y341">
        <v>12</v>
      </c>
      <c r="Z341">
        <v>4</v>
      </c>
      <c r="AA341">
        <v>5</v>
      </c>
      <c r="AB341">
        <v>3</v>
      </c>
      <c r="AC341">
        <v>5</v>
      </c>
      <c r="AD341">
        <v>0</v>
      </c>
      <c r="AE341">
        <v>0</v>
      </c>
    </row>
    <row r="342" spans="1:31" x14ac:dyDescent="0.25">
      <c r="A342" t="s">
        <v>31</v>
      </c>
      <c r="B342" s="2">
        <v>45779</v>
      </c>
      <c r="C342" t="s">
        <v>32</v>
      </c>
      <c r="D342" t="s">
        <v>58</v>
      </c>
      <c r="E342" t="s">
        <v>43</v>
      </c>
      <c r="F342">
        <v>0.7</v>
      </c>
      <c r="G342">
        <v>0.4</v>
      </c>
      <c r="H342">
        <v>63</v>
      </c>
      <c r="I342">
        <v>37</v>
      </c>
      <c r="J342">
        <v>724</v>
      </c>
      <c r="K342">
        <v>417</v>
      </c>
      <c r="L342">
        <v>645</v>
      </c>
      <c r="M342">
        <v>342</v>
      </c>
      <c r="N342">
        <v>1</v>
      </c>
      <c r="O342">
        <v>0</v>
      </c>
      <c r="P342" t="s">
        <v>35</v>
      </c>
      <c r="Q342">
        <v>1</v>
      </c>
      <c r="R342">
        <v>0</v>
      </c>
      <c r="S342" t="s">
        <v>35</v>
      </c>
      <c r="T342">
        <v>9</v>
      </c>
      <c r="U342">
        <v>6</v>
      </c>
      <c r="V342">
        <v>2</v>
      </c>
      <c r="W342">
        <v>1</v>
      </c>
      <c r="X342">
        <v>7</v>
      </c>
      <c r="Y342">
        <v>11</v>
      </c>
      <c r="Z342">
        <v>4</v>
      </c>
      <c r="AA342">
        <v>5</v>
      </c>
      <c r="AB342">
        <v>0</v>
      </c>
      <c r="AC342">
        <v>0</v>
      </c>
      <c r="AD342">
        <v>0</v>
      </c>
      <c r="AE342">
        <v>0</v>
      </c>
    </row>
    <row r="343" spans="1:31" x14ac:dyDescent="0.25">
      <c r="A343" t="s">
        <v>31</v>
      </c>
      <c r="B343" s="2">
        <v>45780</v>
      </c>
      <c r="C343" t="s">
        <v>37</v>
      </c>
      <c r="D343" t="s">
        <v>52</v>
      </c>
      <c r="E343" t="s">
        <v>34</v>
      </c>
      <c r="F343">
        <v>1</v>
      </c>
      <c r="G343">
        <v>0.9</v>
      </c>
      <c r="H343">
        <v>52</v>
      </c>
      <c r="I343">
        <v>48</v>
      </c>
      <c r="J343">
        <v>470</v>
      </c>
      <c r="K343">
        <v>439</v>
      </c>
      <c r="L343">
        <v>402</v>
      </c>
      <c r="M343">
        <v>375</v>
      </c>
      <c r="N343">
        <v>1</v>
      </c>
      <c r="O343">
        <v>0</v>
      </c>
      <c r="P343" t="s">
        <v>35</v>
      </c>
      <c r="Q343">
        <v>1</v>
      </c>
      <c r="R343">
        <v>0</v>
      </c>
      <c r="S343" t="s">
        <v>35</v>
      </c>
      <c r="T343">
        <v>10</v>
      </c>
      <c r="U343">
        <v>11</v>
      </c>
      <c r="V343">
        <v>3</v>
      </c>
      <c r="W343">
        <v>3</v>
      </c>
      <c r="X343">
        <v>6</v>
      </c>
      <c r="Y343">
        <v>17</v>
      </c>
      <c r="Z343">
        <v>5</v>
      </c>
      <c r="AA343">
        <v>3</v>
      </c>
      <c r="AB343">
        <v>0</v>
      </c>
      <c r="AC343">
        <v>5</v>
      </c>
      <c r="AD343">
        <v>0</v>
      </c>
      <c r="AE343">
        <v>0</v>
      </c>
    </row>
    <row r="344" spans="1:31" x14ac:dyDescent="0.25">
      <c r="A344" t="s">
        <v>31</v>
      </c>
      <c r="B344" s="2">
        <v>45780</v>
      </c>
      <c r="C344" t="s">
        <v>41</v>
      </c>
      <c r="D344" t="s">
        <v>44</v>
      </c>
      <c r="E344" t="s">
        <v>38</v>
      </c>
      <c r="F344">
        <v>0.6</v>
      </c>
      <c r="G344">
        <v>0.8</v>
      </c>
      <c r="H344">
        <v>58</v>
      </c>
      <c r="I344">
        <v>42</v>
      </c>
      <c r="J344">
        <v>536</v>
      </c>
      <c r="K344">
        <v>390</v>
      </c>
      <c r="L344">
        <v>448</v>
      </c>
      <c r="M344">
        <v>323</v>
      </c>
      <c r="N344">
        <v>2</v>
      </c>
      <c r="O344">
        <v>2</v>
      </c>
      <c r="P344" t="s">
        <v>36</v>
      </c>
      <c r="Q344">
        <v>2</v>
      </c>
      <c r="R344">
        <v>1</v>
      </c>
      <c r="S344" t="s">
        <v>35</v>
      </c>
      <c r="T344">
        <v>8</v>
      </c>
      <c r="U344">
        <v>12</v>
      </c>
      <c r="V344">
        <v>3</v>
      </c>
      <c r="W344">
        <v>5</v>
      </c>
      <c r="X344">
        <v>12</v>
      </c>
      <c r="Y344">
        <v>15</v>
      </c>
      <c r="Z344">
        <v>3</v>
      </c>
      <c r="AA344">
        <v>3</v>
      </c>
      <c r="AB344">
        <v>4</v>
      </c>
      <c r="AC344">
        <v>4</v>
      </c>
      <c r="AD344">
        <v>0</v>
      </c>
      <c r="AE344">
        <v>0</v>
      </c>
    </row>
    <row r="345" spans="1:31" x14ac:dyDescent="0.25">
      <c r="A345" t="s">
        <v>31</v>
      </c>
      <c r="B345" s="2">
        <v>45780</v>
      </c>
      <c r="C345" t="s">
        <v>41</v>
      </c>
      <c r="D345" t="s">
        <v>59</v>
      </c>
      <c r="E345" t="s">
        <v>47</v>
      </c>
      <c r="F345">
        <v>1.4</v>
      </c>
      <c r="G345">
        <v>0.5</v>
      </c>
      <c r="H345">
        <v>49</v>
      </c>
      <c r="I345">
        <v>51</v>
      </c>
      <c r="J345">
        <v>480</v>
      </c>
      <c r="K345">
        <v>493</v>
      </c>
      <c r="L345">
        <v>417</v>
      </c>
      <c r="M345">
        <v>419</v>
      </c>
      <c r="N345">
        <v>2</v>
      </c>
      <c r="O345">
        <v>0</v>
      </c>
      <c r="P345" t="s">
        <v>35</v>
      </c>
      <c r="Q345">
        <v>2</v>
      </c>
      <c r="R345">
        <v>0</v>
      </c>
      <c r="S345" t="s">
        <v>35</v>
      </c>
      <c r="T345">
        <v>14</v>
      </c>
      <c r="U345">
        <v>8</v>
      </c>
      <c r="V345">
        <v>4</v>
      </c>
      <c r="W345">
        <v>2</v>
      </c>
      <c r="X345">
        <v>12</v>
      </c>
      <c r="Y345">
        <v>13</v>
      </c>
      <c r="Z345">
        <v>7</v>
      </c>
      <c r="AA345">
        <v>7</v>
      </c>
      <c r="AB345">
        <v>1</v>
      </c>
      <c r="AC345">
        <v>3</v>
      </c>
      <c r="AD345">
        <v>0</v>
      </c>
      <c r="AE345">
        <v>0</v>
      </c>
    </row>
    <row r="346" spans="1:31" x14ac:dyDescent="0.25">
      <c r="A346" t="s">
        <v>31</v>
      </c>
      <c r="B346" s="2">
        <v>45780</v>
      </c>
      <c r="C346" t="s">
        <v>50</v>
      </c>
      <c r="D346" t="s">
        <v>42</v>
      </c>
      <c r="E346" t="s">
        <v>49</v>
      </c>
      <c r="F346">
        <v>1.4</v>
      </c>
      <c r="G346">
        <v>0.9</v>
      </c>
      <c r="H346">
        <v>51</v>
      </c>
      <c r="I346">
        <v>49</v>
      </c>
      <c r="J346">
        <v>457</v>
      </c>
      <c r="K346">
        <v>447</v>
      </c>
      <c r="L346">
        <v>380</v>
      </c>
      <c r="M346">
        <v>365</v>
      </c>
      <c r="N346">
        <v>1</v>
      </c>
      <c r="O346">
        <v>2</v>
      </c>
      <c r="P346" t="s">
        <v>40</v>
      </c>
      <c r="Q346">
        <v>1</v>
      </c>
      <c r="R346">
        <v>0</v>
      </c>
      <c r="S346" t="s">
        <v>35</v>
      </c>
      <c r="T346">
        <v>13</v>
      </c>
      <c r="U346">
        <v>9</v>
      </c>
      <c r="V346">
        <v>4</v>
      </c>
      <c r="W346">
        <v>2</v>
      </c>
      <c r="X346">
        <v>7</v>
      </c>
      <c r="Y346">
        <v>16</v>
      </c>
      <c r="Z346">
        <v>2</v>
      </c>
      <c r="AA346">
        <v>3</v>
      </c>
      <c r="AB346">
        <v>0</v>
      </c>
      <c r="AC346">
        <v>2</v>
      </c>
      <c r="AD346">
        <v>0</v>
      </c>
      <c r="AE346">
        <v>0</v>
      </c>
    </row>
    <row r="347" spans="1:31" x14ac:dyDescent="0.25">
      <c r="A347" t="s">
        <v>31</v>
      </c>
      <c r="B347" s="2">
        <v>45781</v>
      </c>
      <c r="C347" t="s">
        <v>53</v>
      </c>
      <c r="D347" t="s">
        <v>54</v>
      </c>
      <c r="E347" t="s">
        <v>33</v>
      </c>
      <c r="F347">
        <v>2.8</v>
      </c>
      <c r="G347">
        <v>1.5</v>
      </c>
      <c r="H347">
        <v>47</v>
      </c>
      <c r="I347">
        <v>53</v>
      </c>
      <c r="J347">
        <v>455</v>
      </c>
      <c r="K347">
        <v>510</v>
      </c>
      <c r="L347">
        <v>349</v>
      </c>
      <c r="M347">
        <v>416</v>
      </c>
      <c r="N347">
        <v>4</v>
      </c>
      <c r="O347">
        <v>3</v>
      </c>
      <c r="P347" t="s">
        <v>35</v>
      </c>
      <c r="Q347">
        <v>2</v>
      </c>
      <c r="R347">
        <v>1</v>
      </c>
      <c r="S347" t="s">
        <v>35</v>
      </c>
      <c r="T347">
        <v>12</v>
      </c>
      <c r="U347">
        <v>14</v>
      </c>
      <c r="V347">
        <v>6</v>
      </c>
      <c r="W347">
        <v>5</v>
      </c>
      <c r="X347">
        <v>8</v>
      </c>
      <c r="Y347">
        <v>10</v>
      </c>
      <c r="Z347">
        <v>7</v>
      </c>
      <c r="AA347">
        <v>4</v>
      </c>
      <c r="AB347">
        <v>0</v>
      </c>
      <c r="AC347">
        <v>2</v>
      </c>
      <c r="AD347">
        <v>0</v>
      </c>
      <c r="AE347">
        <v>0</v>
      </c>
    </row>
    <row r="348" spans="1:31" x14ac:dyDescent="0.25">
      <c r="A348" t="s">
        <v>31</v>
      </c>
      <c r="B348" s="2">
        <v>45781</v>
      </c>
      <c r="C348" t="s">
        <v>53</v>
      </c>
      <c r="D348" t="s">
        <v>45</v>
      </c>
      <c r="E348" t="s">
        <v>46</v>
      </c>
      <c r="F348">
        <v>0.7</v>
      </c>
      <c r="G348">
        <v>1.7</v>
      </c>
      <c r="H348">
        <v>45</v>
      </c>
      <c r="I348">
        <v>55</v>
      </c>
      <c r="J348">
        <v>408</v>
      </c>
      <c r="K348">
        <v>490</v>
      </c>
      <c r="L348">
        <v>313</v>
      </c>
      <c r="M348">
        <v>401</v>
      </c>
      <c r="N348">
        <v>1</v>
      </c>
      <c r="O348">
        <v>1</v>
      </c>
      <c r="P348" t="s">
        <v>36</v>
      </c>
      <c r="Q348">
        <v>1</v>
      </c>
      <c r="R348">
        <v>0</v>
      </c>
      <c r="S348" t="s">
        <v>35</v>
      </c>
      <c r="T348">
        <v>5</v>
      </c>
      <c r="U348">
        <v>13</v>
      </c>
      <c r="V348">
        <v>2</v>
      </c>
      <c r="W348">
        <v>5</v>
      </c>
      <c r="X348">
        <v>15</v>
      </c>
      <c r="Y348">
        <v>10</v>
      </c>
      <c r="Z348">
        <v>1</v>
      </c>
      <c r="AA348">
        <v>4</v>
      </c>
      <c r="AB348">
        <v>2</v>
      </c>
      <c r="AC348">
        <v>1</v>
      </c>
      <c r="AD348">
        <v>0</v>
      </c>
      <c r="AE348">
        <v>0</v>
      </c>
    </row>
    <row r="349" spans="1:31" x14ac:dyDescent="0.25">
      <c r="A349" t="s">
        <v>31</v>
      </c>
      <c r="B349" s="2">
        <v>45781</v>
      </c>
      <c r="C349" t="s">
        <v>53</v>
      </c>
      <c r="D349" t="s">
        <v>51</v>
      </c>
      <c r="E349" t="s">
        <v>60</v>
      </c>
      <c r="F349">
        <v>0.8</v>
      </c>
      <c r="G349">
        <v>0.8</v>
      </c>
      <c r="H349">
        <v>55</v>
      </c>
      <c r="I349">
        <v>45</v>
      </c>
      <c r="J349">
        <v>497</v>
      </c>
      <c r="K349">
        <v>403</v>
      </c>
      <c r="L349">
        <v>361</v>
      </c>
      <c r="M349">
        <v>285</v>
      </c>
      <c r="N349">
        <v>1</v>
      </c>
      <c r="O349">
        <v>1</v>
      </c>
      <c r="P349" t="s">
        <v>36</v>
      </c>
      <c r="Q349">
        <v>1</v>
      </c>
      <c r="R349">
        <v>1</v>
      </c>
      <c r="S349" t="s">
        <v>36</v>
      </c>
      <c r="T349">
        <v>11</v>
      </c>
      <c r="U349">
        <v>7</v>
      </c>
      <c r="V349">
        <v>2</v>
      </c>
      <c r="W349">
        <v>2</v>
      </c>
      <c r="X349">
        <v>18</v>
      </c>
      <c r="Y349">
        <v>15</v>
      </c>
      <c r="Z349">
        <v>1</v>
      </c>
      <c r="AA349">
        <v>3</v>
      </c>
      <c r="AB349">
        <v>2</v>
      </c>
      <c r="AC349">
        <v>2</v>
      </c>
      <c r="AD349">
        <v>0</v>
      </c>
      <c r="AE349">
        <v>0</v>
      </c>
    </row>
    <row r="350" spans="1:31" x14ac:dyDescent="0.25">
      <c r="A350" t="s">
        <v>31</v>
      </c>
      <c r="B350" s="2">
        <v>45781</v>
      </c>
      <c r="C350" t="s">
        <v>56</v>
      </c>
      <c r="D350" t="s">
        <v>57</v>
      </c>
      <c r="E350" t="s">
        <v>39</v>
      </c>
      <c r="F350">
        <v>3.1</v>
      </c>
      <c r="G350">
        <v>1</v>
      </c>
      <c r="H350">
        <v>36</v>
      </c>
      <c r="I350">
        <v>64</v>
      </c>
      <c r="J350">
        <v>386</v>
      </c>
      <c r="K350">
        <v>700</v>
      </c>
      <c r="L350">
        <v>319</v>
      </c>
      <c r="M350">
        <v>611</v>
      </c>
      <c r="N350">
        <v>3</v>
      </c>
      <c r="O350">
        <v>1</v>
      </c>
      <c r="P350" t="s">
        <v>35</v>
      </c>
      <c r="Q350">
        <v>1</v>
      </c>
      <c r="R350">
        <v>0</v>
      </c>
      <c r="S350" t="s">
        <v>35</v>
      </c>
      <c r="T350">
        <v>17</v>
      </c>
      <c r="U350">
        <v>11</v>
      </c>
      <c r="V350">
        <v>7</v>
      </c>
      <c r="W350">
        <v>2</v>
      </c>
      <c r="X350">
        <v>10</v>
      </c>
      <c r="Y350">
        <v>11</v>
      </c>
      <c r="Z350">
        <v>3</v>
      </c>
      <c r="AA350">
        <v>6</v>
      </c>
      <c r="AB350">
        <v>2</v>
      </c>
      <c r="AC350">
        <v>2</v>
      </c>
      <c r="AD350">
        <v>0</v>
      </c>
      <c r="AE350">
        <v>0</v>
      </c>
    </row>
    <row r="351" spans="1:31" x14ac:dyDescent="0.25">
      <c r="A351" t="s">
        <v>31</v>
      </c>
      <c r="B351" s="2">
        <v>45782</v>
      </c>
      <c r="C351" t="s">
        <v>32</v>
      </c>
      <c r="D351" t="s">
        <v>55</v>
      </c>
      <c r="E351" t="s">
        <v>48</v>
      </c>
      <c r="F351">
        <v>2.2999999999999998</v>
      </c>
      <c r="G351">
        <v>0.7</v>
      </c>
      <c r="H351">
        <v>50</v>
      </c>
      <c r="I351">
        <v>50</v>
      </c>
      <c r="J351">
        <v>441</v>
      </c>
      <c r="K351">
        <v>448</v>
      </c>
      <c r="L351">
        <v>311</v>
      </c>
      <c r="M351">
        <v>353</v>
      </c>
      <c r="N351">
        <v>1</v>
      </c>
      <c r="O351">
        <v>1</v>
      </c>
      <c r="P351" t="s">
        <v>36</v>
      </c>
      <c r="Q351">
        <v>0</v>
      </c>
      <c r="R351">
        <v>0</v>
      </c>
      <c r="S351" t="s">
        <v>36</v>
      </c>
      <c r="T351">
        <v>20</v>
      </c>
      <c r="U351">
        <v>12</v>
      </c>
      <c r="V351">
        <v>3</v>
      </c>
      <c r="W351">
        <v>4</v>
      </c>
      <c r="X351">
        <v>9</v>
      </c>
      <c r="Y351">
        <v>15</v>
      </c>
      <c r="Z351">
        <v>7</v>
      </c>
      <c r="AA351">
        <v>4</v>
      </c>
      <c r="AB351">
        <v>3</v>
      </c>
      <c r="AC351">
        <v>8</v>
      </c>
      <c r="AD351">
        <v>0</v>
      </c>
      <c r="AE351">
        <v>0</v>
      </c>
    </row>
    <row r="352" spans="1:31" x14ac:dyDescent="0.25">
      <c r="A352" t="s">
        <v>31</v>
      </c>
      <c r="B352" s="2">
        <v>45787</v>
      </c>
      <c r="C352" t="s">
        <v>41</v>
      </c>
      <c r="D352" t="s">
        <v>34</v>
      </c>
      <c r="E352" t="s">
        <v>44</v>
      </c>
      <c r="F352">
        <v>0.8</v>
      </c>
      <c r="G352">
        <v>1.1000000000000001</v>
      </c>
      <c r="H352">
        <v>64</v>
      </c>
      <c r="I352">
        <v>36</v>
      </c>
      <c r="J352">
        <v>607</v>
      </c>
      <c r="K352">
        <v>346</v>
      </c>
      <c r="L352">
        <v>508</v>
      </c>
      <c r="M352">
        <v>264</v>
      </c>
      <c r="N352">
        <v>1</v>
      </c>
      <c r="O352">
        <v>3</v>
      </c>
      <c r="P352" t="s">
        <v>40</v>
      </c>
      <c r="Q352">
        <v>1</v>
      </c>
      <c r="R352">
        <v>1</v>
      </c>
      <c r="S352" t="s">
        <v>36</v>
      </c>
      <c r="T352">
        <v>18</v>
      </c>
      <c r="U352">
        <v>11</v>
      </c>
      <c r="V352">
        <v>6</v>
      </c>
      <c r="W352">
        <v>7</v>
      </c>
      <c r="X352">
        <v>15</v>
      </c>
      <c r="Y352">
        <v>9</v>
      </c>
      <c r="Z352">
        <v>5</v>
      </c>
      <c r="AA352">
        <v>5</v>
      </c>
      <c r="AB352">
        <v>1</v>
      </c>
      <c r="AC352">
        <v>0</v>
      </c>
      <c r="AD352">
        <v>0</v>
      </c>
      <c r="AE352">
        <v>0</v>
      </c>
    </row>
    <row r="353" spans="1:31" x14ac:dyDescent="0.25">
      <c r="A353" t="s">
        <v>31</v>
      </c>
      <c r="B353" s="2">
        <v>45787</v>
      </c>
      <c r="C353" t="s">
        <v>41</v>
      </c>
      <c r="D353" t="s">
        <v>38</v>
      </c>
      <c r="E353" t="s">
        <v>54</v>
      </c>
      <c r="F353">
        <v>0.9</v>
      </c>
      <c r="G353">
        <v>1.4</v>
      </c>
      <c r="H353">
        <v>49</v>
      </c>
      <c r="I353">
        <v>51</v>
      </c>
      <c r="J353">
        <v>404</v>
      </c>
      <c r="K353">
        <v>416</v>
      </c>
      <c r="L353">
        <v>323</v>
      </c>
      <c r="M353">
        <v>331</v>
      </c>
      <c r="N353">
        <v>0</v>
      </c>
      <c r="O353">
        <v>1</v>
      </c>
      <c r="P353" t="s">
        <v>40</v>
      </c>
      <c r="Q353">
        <v>0</v>
      </c>
      <c r="R353">
        <v>1</v>
      </c>
      <c r="S353" t="s">
        <v>40</v>
      </c>
      <c r="T353">
        <v>11</v>
      </c>
      <c r="U353">
        <v>15</v>
      </c>
      <c r="V353">
        <v>4</v>
      </c>
      <c r="W353">
        <v>5</v>
      </c>
      <c r="X353">
        <v>6</v>
      </c>
      <c r="Y353">
        <v>12</v>
      </c>
      <c r="Z353">
        <v>5</v>
      </c>
      <c r="AA353">
        <v>6</v>
      </c>
      <c r="AB353">
        <v>2</v>
      </c>
      <c r="AC353">
        <v>4</v>
      </c>
      <c r="AD353">
        <v>0</v>
      </c>
      <c r="AE353">
        <v>0</v>
      </c>
    </row>
    <row r="354" spans="1:31" x14ac:dyDescent="0.25">
      <c r="A354" t="s">
        <v>31</v>
      </c>
      <c r="B354" s="2">
        <v>45787</v>
      </c>
      <c r="C354" t="s">
        <v>41</v>
      </c>
      <c r="D354" t="s">
        <v>47</v>
      </c>
      <c r="E354" t="s">
        <v>58</v>
      </c>
      <c r="F354">
        <v>0.1</v>
      </c>
      <c r="G354">
        <v>1.7</v>
      </c>
      <c r="H354">
        <v>28</v>
      </c>
      <c r="I354">
        <v>72</v>
      </c>
      <c r="J354">
        <v>279</v>
      </c>
      <c r="K354">
        <v>707</v>
      </c>
      <c r="L354">
        <v>208</v>
      </c>
      <c r="M354">
        <v>604</v>
      </c>
      <c r="N354">
        <v>0</v>
      </c>
      <c r="O354">
        <v>0</v>
      </c>
      <c r="P354" t="s">
        <v>36</v>
      </c>
      <c r="Q354">
        <v>0</v>
      </c>
      <c r="R354">
        <v>0</v>
      </c>
      <c r="S354" t="s">
        <v>36</v>
      </c>
      <c r="T354">
        <v>2</v>
      </c>
      <c r="U354">
        <v>26</v>
      </c>
      <c r="V354">
        <v>0</v>
      </c>
      <c r="W354">
        <v>5</v>
      </c>
      <c r="X354">
        <v>9</v>
      </c>
      <c r="Y354">
        <v>8</v>
      </c>
      <c r="Z354">
        <v>1</v>
      </c>
      <c r="AA354">
        <v>15</v>
      </c>
      <c r="AB354">
        <v>2</v>
      </c>
      <c r="AC354">
        <v>0</v>
      </c>
      <c r="AD354">
        <v>0</v>
      </c>
      <c r="AE354">
        <v>0</v>
      </c>
    </row>
    <row r="355" spans="1:31" x14ac:dyDescent="0.25">
      <c r="A355" t="s">
        <v>31</v>
      </c>
      <c r="B355" s="2">
        <v>45787</v>
      </c>
      <c r="C355" t="s">
        <v>41</v>
      </c>
      <c r="D355" t="s">
        <v>43</v>
      </c>
      <c r="E355" t="s">
        <v>45</v>
      </c>
      <c r="F355">
        <v>0.9</v>
      </c>
      <c r="G355">
        <v>1.6</v>
      </c>
      <c r="H355">
        <v>56</v>
      </c>
      <c r="I355">
        <v>44</v>
      </c>
      <c r="J355">
        <v>580</v>
      </c>
      <c r="K355">
        <v>456</v>
      </c>
      <c r="L355">
        <v>488</v>
      </c>
      <c r="M355">
        <v>372</v>
      </c>
      <c r="N355">
        <v>0</v>
      </c>
      <c r="O355">
        <v>2</v>
      </c>
      <c r="P355" t="s">
        <v>40</v>
      </c>
      <c r="Q355">
        <v>0</v>
      </c>
      <c r="R355">
        <v>1</v>
      </c>
      <c r="S355" t="s">
        <v>40</v>
      </c>
      <c r="T355">
        <v>10</v>
      </c>
      <c r="U355">
        <v>7</v>
      </c>
      <c r="V355">
        <v>3</v>
      </c>
      <c r="W355">
        <v>2</v>
      </c>
      <c r="X355">
        <v>8</v>
      </c>
      <c r="Y355">
        <v>12</v>
      </c>
      <c r="Z355">
        <v>7</v>
      </c>
      <c r="AA355">
        <v>4</v>
      </c>
      <c r="AB355">
        <v>1</v>
      </c>
      <c r="AC355">
        <v>1</v>
      </c>
      <c r="AD355">
        <v>0</v>
      </c>
      <c r="AE355">
        <v>0</v>
      </c>
    </row>
    <row r="356" spans="1:31" x14ac:dyDescent="0.25">
      <c r="A356" t="s">
        <v>31</v>
      </c>
      <c r="B356" s="2">
        <v>45787</v>
      </c>
      <c r="C356" t="s">
        <v>50</v>
      </c>
      <c r="D356" t="s">
        <v>49</v>
      </c>
      <c r="E356" t="s">
        <v>52</v>
      </c>
      <c r="F356">
        <v>0.8</v>
      </c>
      <c r="G356">
        <v>1</v>
      </c>
      <c r="H356">
        <v>66</v>
      </c>
      <c r="I356">
        <v>34</v>
      </c>
      <c r="J356">
        <v>541</v>
      </c>
      <c r="K356">
        <v>284</v>
      </c>
      <c r="L356">
        <v>444</v>
      </c>
      <c r="M356">
        <v>188</v>
      </c>
      <c r="N356">
        <v>0</v>
      </c>
      <c r="O356">
        <v>1</v>
      </c>
      <c r="P356" t="s">
        <v>40</v>
      </c>
      <c r="Q356">
        <v>0</v>
      </c>
      <c r="R356">
        <v>1</v>
      </c>
      <c r="S356" t="s">
        <v>40</v>
      </c>
      <c r="T356">
        <v>10</v>
      </c>
      <c r="U356">
        <v>6</v>
      </c>
      <c r="V356">
        <v>4</v>
      </c>
      <c r="W356">
        <v>3</v>
      </c>
      <c r="X356">
        <v>19</v>
      </c>
      <c r="Y356">
        <v>12</v>
      </c>
      <c r="Z356">
        <v>10</v>
      </c>
      <c r="AA356">
        <v>0</v>
      </c>
      <c r="AB356">
        <v>4</v>
      </c>
      <c r="AC356">
        <v>3</v>
      </c>
      <c r="AD356">
        <v>0</v>
      </c>
      <c r="AE356">
        <v>1</v>
      </c>
    </row>
    <row r="357" spans="1:31" x14ac:dyDescent="0.25">
      <c r="A357" t="s">
        <v>31</v>
      </c>
      <c r="B357" s="2">
        <v>45788</v>
      </c>
      <c r="C357" t="s">
        <v>69</v>
      </c>
      <c r="D357" t="s">
        <v>46</v>
      </c>
      <c r="E357" t="s">
        <v>57</v>
      </c>
      <c r="F357">
        <v>1.6</v>
      </c>
      <c r="G357">
        <v>0.7</v>
      </c>
      <c r="H357">
        <v>45</v>
      </c>
      <c r="I357">
        <v>55</v>
      </c>
      <c r="J357">
        <v>447</v>
      </c>
      <c r="K357">
        <v>540</v>
      </c>
      <c r="L357">
        <v>375</v>
      </c>
      <c r="M357">
        <v>455</v>
      </c>
      <c r="N357">
        <v>2</v>
      </c>
      <c r="O357">
        <v>0</v>
      </c>
      <c r="P357" t="s">
        <v>35</v>
      </c>
      <c r="Q357">
        <v>1</v>
      </c>
      <c r="R357">
        <v>0</v>
      </c>
      <c r="S357" t="s">
        <v>35</v>
      </c>
      <c r="T357">
        <v>15</v>
      </c>
      <c r="U357">
        <v>10</v>
      </c>
      <c r="V357">
        <v>6</v>
      </c>
      <c r="W357">
        <v>3</v>
      </c>
      <c r="X357">
        <v>9</v>
      </c>
      <c r="Y357">
        <v>13</v>
      </c>
      <c r="Z357">
        <v>2</v>
      </c>
      <c r="AA357">
        <v>8</v>
      </c>
      <c r="AB357">
        <v>4</v>
      </c>
      <c r="AC357">
        <v>2</v>
      </c>
      <c r="AD357">
        <v>0</v>
      </c>
      <c r="AE357">
        <v>1</v>
      </c>
    </row>
    <row r="358" spans="1:31" x14ac:dyDescent="0.25">
      <c r="A358" t="s">
        <v>31</v>
      </c>
      <c r="B358" s="2">
        <v>45788</v>
      </c>
      <c r="C358" t="s">
        <v>70</v>
      </c>
      <c r="D358" t="s">
        <v>33</v>
      </c>
      <c r="E358" t="s">
        <v>51</v>
      </c>
      <c r="F358">
        <v>2.1</v>
      </c>
      <c r="G358">
        <v>1.7</v>
      </c>
      <c r="H358">
        <v>52</v>
      </c>
      <c r="I358">
        <v>48</v>
      </c>
      <c r="J358">
        <v>553</v>
      </c>
      <c r="K358">
        <v>505</v>
      </c>
      <c r="L358">
        <v>481</v>
      </c>
      <c r="M358">
        <v>422</v>
      </c>
      <c r="N358">
        <v>0</v>
      </c>
      <c r="O358">
        <v>2</v>
      </c>
      <c r="P358" t="s">
        <v>40</v>
      </c>
      <c r="Q358">
        <v>0</v>
      </c>
      <c r="R358">
        <v>1</v>
      </c>
      <c r="S358" t="s">
        <v>40</v>
      </c>
      <c r="T358">
        <v>20</v>
      </c>
      <c r="U358">
        <v>9</v>
      </c>
      <c r="V358">
        <v>5</v>
      </c>
      <c r="W358">
        <v>4</v>
      </c>
      <c r="X358">
        <v>3</v>
      </c>
      <c r="Y358">
        <v>13</v>
      </c>
      <c r="Z358">
        <v>8</v>
      </c>
      <c r="AA358">
        <v>5</v>
      </c>
      <c r="AB358">
        <v>0</v>
      </c>
      <c r="AC358">
        <v>1</v>
      </c>
      <c r="AD358">
        <v>0</v>
      </c>
      <c r="AE358">
        <v>0</v>
      </c>
    </row>
    <row r="359" spans="1:31" x14ac:dyDescent="0.25">
      <c r="A359" t="s">
        <v>31</v>
      </c>
      <c r="B359" s="2">
        <v>45788</v>
      </c>
      <c r="C359" t="s">
        <v>70</v>
      </c>
      <c r="D359" t="s">
        <v>48</v>
      </c>
      <c r="E359" t="s">
        <v>59</v>
      </c>
      <c r="F359">
        <v>1.3</v>
      </c>
      <c r="G359">
        <v>1.1000000000000001</v>
      </c>
      <c r="H359">
        <v>55</v>
      </c>
      <c r="I359">
        <v>45</v>
      </c>
      <c r="J359">
        <v>478</v>
      </c>
      <c r="K359">
        <v>385</v>
      </c>
      <c r="L359">
        <v>389</v>
      </c>
      <c r="M359">
        <v>298</v>
      </c>
      <c r="N359">
        <v>2</v>
      </c>
      <c r="O359">
        <v>2</v>
      </c>
      <c r="P359" t="s">
        <v>36</v>
      </c>
      <c r="Q359">
        <v>1</v>
      </c>
      <c r="R359">
        <v>1</v>
      </c>
      <c r="S359" t="s">
        <v>36</v>
      </c>
      <c r="T359">
        <v>15</v>
      </c>
      <c r="U359">
        <v>10</v>
      </c>
      <c r="V359">
        <v>4</v>
      </c>
      <c r="W359">
        <v>6</v>
      </c>
      <c r="X359">
        <v>11</v>
      </c>
      <c r="Y359">
        <v>11</v>
      </c>
      <c r="Z359">
        <v>4</v>
      </c>
      <c r="AA359">
        <v>4</v>
      </c>
      <c r="AB359">
        <v>3</v>
      </c>
      <c r="AC359">
        <v>3</v>
      </c>
      <c r="AD359">
        <v>0</v>
      </c>
      <c r="AE359">
        <v>0</v>
      </c>
    </row>
    <row r="360" spans="1:31" x14ac:dyDescent="0.25">
      <c r="A360" t="s">
        <v>31</v>
      </c>
      <c r="B360" s="2">
        <v>45788</v>
      </c>
      <c r="C360" t="s">
        <v>70</v>
      </c>
      <c r="D360" t="s">
        <v>60</v>
      </c>
      <c r="E360" t="s">
        <v>55</v>
      </c>
      <c r="F360">
        <v>0.7</v>
      </c>
      <c r="G360">
        <v>3.3</v>
      </c>
      <c r="H360">
        <v>48</v>
      </c>
      <c r="I360">
        <v>52</v>
      </c>
      <c r="J360">
        <v>412</v>
      </c>
      <c r="K360">
        <v>455</v>
      </c>
      <c r="L360">
        <v>313</v>
      </c>
      <c r="M360">
        <v>359</v>
      </c>
      <c r="N360">
        <v>0</v>
      </c>
      <c r="O360">
        <v>2</v>
      </c>
      <c r="P360" t="s">
        <v>40</v>
      </c>
      <c r="Q360">
        <v>0</v>
      </c>
      <c r="R360">
        <v>1</v>
      </c>
      <c r="S360" t="s">
        <v>40</v>
      </c>
      <c r="T360">
        <v>8</v>
      </c>
      <c r="U360">
        <v>23</v>
      </c>
      <c r="V360">
        <v>1</v>
      </c>
      <c r="W360">
        <v>10</v>
      </c>
      <c r="X360">
        <v>12</v>
      </c>
      <c r="Y360">
        <v>10</v>
      </c>
      <c r="Z360">
        <v>4</v>
      </c>
      <c r="AA360">
        <v>8</v>
      </c>
      <c r="AB360">
        <v>1</v>
      </c>
      <c r="AC360">
        <v>1</v>
      </c>
      <c r="AD360">
        <v>0</v>
      </c>
      <c r="AE360">
        <v>0</v>
      </c>
    </row>
    <row r="361" spans="1:31" x14ac:dyDescent="0.25">
      <c r="A361" t="s">
        <v>31</v>
      </c>
      <c r="B361" s="2">
        <v>45788</v>
      </c>
      <c r="C361" t="s">
        <v>56</v>
      </c>
      <c r="D361" t="s">
        <v>39</v>
      </c>
      <c r="E361" t="s">
        <v>42</v>
      </c>
      <c r="F361">
        <v>2.4</v>
      </c>
      <c r="G361">
        <v>2.6</v>
      </c>
      <c r="H361">
        <v>45</v>
      </c>
      <c r="I361">
        <v>55</v>
      </c>
      <c r="J361">
        <v>390</v>
      </c>
      <c r="K361">
        <v>478</v>
      </c>
      <c r="L361">
        <v>313</v>
      </c>
      <c r="M361">
        <v>402</v>
      </c>
      <c r="N361">
        <v>2</v>
      </c>
      <c r="O361">
        <v>2</v>
      </c>
      <c r="P361" t="s">
        <v>36</v>
      </c>
      <c r="Q361">
        <v>2</v>
      </c>
      <c r="R361">
        <v>0</v>
      </c>
      <c r="S361" t="s">
        <v>35</v>
      </c>
      <c r="T361">
        <v>14</v>
      </c>
      <c r="U361">
        <v>15</v>
      </c>
      <c r="V361">
        <v>5</v>
      </c>
      <c r="W361">
        <v>7</v>
      </c>
      <c r="X361">
        <v>13</v>
      </c>
      <c r="Y361">
        <v>10</v>
      </c>
      <c r="Z361">
        <v>3</v>
      </c>
      <c r="AA361">
        <v>1</v>
      </c>
      <c r="AB361">
        <v>1</v>
      </c>
      <c r="AC361">
        <v>1</v>
      </c>
      <c r="AD361">
        <v>0</v>
      </c>
      <c r="AE361">
        <v>1</v>
      </c>
    </row>
    <row r="362" spans="1:31" x14ac:dyDescent="0.25">
      <c r="A362" t="s">
        <v>31</v>
      </c>
      <c r="B362" s="2">
        <v>45793</v>
      </c>
      <c r="C362" t="s">
        <v>63</v>
      </c>
      <c r="D362" t="s">
        <v>52</v>
      </c>
      <c r="E362" t="s">
        <v>60</v>
      </c>
      <c r="F362">
        <v>1.4</v>
      </c>
      <c r="G362">
        <v>0.5</v>
      </c>
      <c r="H362">
        <v>67</v>
      </c>
      <c r="I362">
        <v>33</v>
      </c>
      <c r="J362">
        <v>626</v>
      </c>
      <c r="K362">
        <v>305</v>
      </c>
      <c r="L362">
        <v>542</v>
      </c>
      <c r="M362">
        <v>241</v>
      </c>
      <c r="N362">
        <v>2</v>
      </c>
      <c r="O362">
        <v>0</v>
      </c>
      <c r="P362" t="s">
        <v>35</v>
      </c>
      <c r="Q362">
        <v>0</v>
      </c>
      <c r="R362">
        <v>0</v>
      </c>
      <c r="S362" t="s">
        <v>36</v>
      </c>
      <c r="T362">
        <v>18</v>
      </c>
      <c r="U362">
        <v>3</v>
      </c>
      <c r="V362">
        <v>7</v>
      </c>
      <c r="W362">
        <v>1</v>
      </c>
      <c r="X362">
        <v>5</v>
      </c>
      <c r="Y362">
        <v>12</v>
      </c>
      <c r="Z362">
        <v>9</v>
      </c>
      <c r="AA362">
        <v>1</v>
      </c>
      <c r="AB362">
        <v>1</v>
      </c>
      <c r="AC362">
        <v>2</v>
      </c>
      <c r="AD362">
        <v>0</v>
      </c>
      <c r="AE362">
        <v>0</v>
      </c>
    </row>
    <row r="363" spans="1:31" x14ac:dyDescent="0.25">
      <c r="A363" t="s">
        <v>31</v>
      </c>
      <c r="B363" s="2">
        <v>45793</v>
      </c>
      <c r="C363" t="s">
        <v>64</v>
      </c>
      <c r="D363" t="s">
        <v>57</v>
      </c>
      <c r="E363" t="s">
        <v>33</v>
      </c>
      <c r="F363">
        <v>0.8</v>
      </c>
      <c r="G363">
        <v>0.3</v>
      </c>
      <c r="H363">
        <v>47</v>
      </c>
      <c r="I363">
        <v>53</v>
      </c>
      <c r="J363">
        <v>441</v>
      </c>
      <c r="K363">
        <v>505</v>
      </c>
      <c r="L363">
        <v>346</v>
      </c>
      <c r="M363">
        <v>405</v>
      </c>
      <c r="N363">
        <v>1</v>
      </c>
      <c r="O363">
        <v>0</v>
      </c>
      <c r="P363" t="s">
        <v>35</v>
      </c>
      <c r="Q363">
        <v>0</v>
      </c>
      <c r="R363">
        <v>0</v>
      </c>
      <c r="S363" t="s">
        <v>36</v>
      </c>
      <c r="T363">
        <v>11</v>
      </c>
      <c r="U363">
        <v>4</v>
      </c>
      <c r="V363">
        <v>3</v>
      </c>
      <c r="W363">
        <v>1</v>
      </c>
      <c r="X363">
        <v>10</v>
      </c>
      <c r="Y363">
        <v>14</v>
      </c>
      <c r="Z363">
        <v>7</v>
      </c>
      <c r="AA363">
        <v>2</v>
      </c>
      <c r="AB363">
        <v>1</v>
      </c>
      <c r="AC363">
        <v>6</v>
      </c>
      <c r="AD363">
        <v>0</v>
      </c>
      <c r="AE363">
        <v>0</v>
      </c>
    </row>
    <row r="364" spans="1:31" x14ac:dyDescent="0.25">
      <c r="A364" t="s">
        <v>31</v>
      </c>
      <c r="B364" s="2">
        <v>45795</v>
      </c>
      <c r="C364" t="s">
        <v>69</v>
      </c>
      <c r="D364" t="s">
        <v>44</v>
      </c>
      <c r="E364" t="s">
        <v>47</v>
      </c>
      <c r="F364">
        <v>2.7</v>
      </c>
      <c r="G364">
        <v>1.2</v>
      </c>
      <c r="H364">
        <v>50</v>
      </c>
      <c r="I364">
        <v>50</v>
      </c>
      <c r="J364">
        <v>541</v>
      </c>
      <c r="K364">
        <v>543</v>
      </c>
      <c r="L364">
        <v>458</v>
      </c>
      <c r="M364">
        <v>463</v>
      </c>
      <c r="N364">
        <v>2</v>
      </c>
      <c r="O364">
        <v>0</v>
      </c>
      <c r="P364" t="s">
        <v>35</v>
      </c>
      <c r="Q364">
        <v>2</v>
      </c>
      <c r="R364">
        <v>0</v>
      </c>
      <c r="S364" t="s">
        <v>35</v>
      </c>
      <c r="T364">
        <v>13</v>
      </c>
      <c r="U364">
        <v>6</v>
      </c>
      <c r="V364">
        <v>5</v>
      </c>
      <c r="W364">
        <v>2</v>
      </c>
      <c r="X364">
        <v>6</v>
      </c>
      <c r="Y364">
        <v>10</v>
      </c>
      <c r="Z364">
        <v>4</v>
      </c>
      <c r="AA364">
        <v>5</v>
      </c>
      <c r="AB364">
        <v>1</v>
      </c>
      <c r="AC364">
        <v>1</v>
      </c>
      <c r="AD364">
        <v>0</v>
      </c>
      <c r="AE364">
        <v>0</v>
      </c>
    </row>
    <row r="365" spans="1:31" x14ac:dyDescent="0.25">
      <c r="A365" t="s">
        <v>31</v>
      </c>
      <c r="B365" s="2">
        <v>45795</v>
      </c>
      <c r="C365" t="s">
        <v>70</v>
      </c>
      <c r="D365" t="s">
        <v>51</v>
      </c>
      <c r="E365" t="s">
        <v>48</v>
      </c>
      <c r="F365">
        <v>1.1000000000000001</v>
      </c>
      <c r="G365">
        <v>1.9</v>
      </c>
      <c r="H365">
        <v>60</v>
      </c>
      <c r="I365">
        <v>40</v>
      </c>
      <c r="J365">
        <v>554</v>
      </c>
      <c r="K365">
        <v>371</v>
      </c>
      <c r="L365">
        <v>465</v>
      </c>
      <c r="M365">
        <v>277</v>
      </c>
      <c r="N365">
        <v>1</v>
      </c>
      <c r="O365">
        <v>2</v>
      </c>
      <c r="P365" t="s">
        <v>40</v>
      </c>
      <c r="Q365">
        <v>0</v>
      </c>
      <c r="R365">
        <v>1</v>
      </c>
      <c r="S365" t="s">
        <v>40</v>
      </c>
      <c r="T365">
        <v>16</v>
      </c>
      <c r="U365">
        <v>10</v>
      </c>
      <c r="V365">
        <v>5</v>
      </c>
      <c r="W365">
        <v>5</v>
      </c>
      <c r="X365">
        <v>14</v>
      </c>
      <c r="Y365">
        <v>7</v>
      </c>
      <c r="Z365">
        <v>8</v>
      </c>
      <c r="AA365">
        <v>7</v>
      </c>
      <c r="AB365">
        <v>6</v>
      </c>
      <c r="AC365">
        <v>3</v>
      </c>
      <c r="AD365">
        <v>0</v>
      </c>
      <c r="AE365">
        <v>0</v>
      </c>
    </row>
    <row r="366" spans="1:31" x14ac:dyDescent="0.25">
      <c r="A366" t="s">
        <v>31</v>
      </c>
      <c r="B366" s="2">
        <v>45795</v>
      </c>
      <c r="C366" t="s">
        <v>41</v>
      </c>
      <c r="D366" t="s">
        <v>54</v>
      </c>
      <c r="E366" t="s">
        <v>34</v>
      </c>
      <c r="F366">
        <v>2.5</v>
      </c>
      <c r="G366">
        <v>1</v>
      </c>
      <c r="H366">
        <v>51</v>
      </c>
      <c r="I366">
        <v>49</v>
      </c>
      <c r="J366">
        <v>416</v>
      </c>
      <c r="K366">
        <v>400</v>
      </c>
      <c r="L366">
        <v>313</v>
      </c>
      <c r="M366">
        <v>328</v>
      </c>
      <c r="N366">
        <v>2</v>
      </c>
      <c r="O366">
        <v>3</v>
      </c>
      <c r="P366" t="s">
        <v>40</v>
      </c>
      <c r="Q366">
        <v>2</v>
      </c>
      <c r="R366">
        <v>1</v>
      </c>
      <c r="S366" t="s">
        <v>35</v>
      </c>
      <c r="T366">
        <v>11</v>
      </c>
      <c r="U366">
        <v>16</v>
      </c>
      <c r="V366">
        <v>6</v>
      </c>
      <c r="W366">
        <v>7</v>
      </c>
      <c r="X366">
        <v>12</v>
      </c>
      <c r="Y366">
        <v>8</v>
      </c>
      <c r="Z366">
        <v>5</v>
      </c>
      <c r="AA366">
        <v>3</v>
      </c>
      <c r="AB366">
        <v>4</v>
      </c>
      <c r="AC366">
        <v>4</v>
      </c>
      <c r="AD366">
        <v>0</v>
      </c>
      <c r="AE366">
        <v>0</v>
      </c>
    </row>
    <row r="367" spans="1:31" x14ac:dyDescent="0.25">
      <c r="A367" t="s">
        <v>31</v>
      </c>
      <c r="B367" s="2">
        <v>45795</v>
      </c>
      <c r="C367" t="s">
        <v>41</v>
      </c>
      <c r="D367" t="s">
        <v>59</v>
      </c>
      <c r="E367" t="s">
        <v>38</v>
      </c>
      <c r="F367">
        <v>0.8</v>
      </c>
      <c r="G367">
        <v>1.4</v>
      </c>
      <c r="H367">
        <v>50</v>
      </c>
      <c r="I367">
        <v>50</v>
      </c>
      <c r="J367">
        <v>486</v>
      </c>
      <c r="K367">
        <v>478</v>
      </c>
      <c r="L367">
        <v>403</v>
      </c>
      <c r="M367">
        <v>404</v>
      </c>
      <c r="N367">
        <v>2</v>
      </c>
      <c r="O367">
        <v>0</v>
      </c>
      <c r="P367" t="s">
        <v>35</v>
      </c>
      <c r="Q367">
        <v>1</v>
      </c>
      <c r="R367">
        <v>0</v>
      </c>
      <c r="S367" t="s">
        <v>35</v>
      </c>
      <c r="T367">
        <v>9</v>
      </c>
      <c r="U367">
        <v>20</v>
      </c>
      <c r="V367">
        <v>3</v>
      </c>
      <c r="W367">
        <v>2</v>
      </c>
      <c r="X367">
        <v>15</v>
      </c>
      <c r="Y367">
        <v>12</v>
      </c>
      <c r="Z367">
        <v>2</v>
      </c>
      <c r="AA367">
        <v>2</v>
      </c>
      <c r="AB367">
        <v>1</v>
      </c>
      <c r="AC367">
        <v>0</v>
      </c>
      <c r="AD367">
        <v>0</v>
      </c>
      <c r="AE367">
        <v>0</v>
      </c>
    </row>
    <row r="368" spans="1:31" x14ac:dyDescent="0.25">
      <c r="A368" t="s">
        <v>31</v>
      </c>
      <c r="B368" s="2">
        <v>45795</v>
      </c>
      <c r="C368" t="s">
        <v>56</v>
      </c>
      <c r="D368" t="s">
        <v>42</v>
      </c>
      <c r="E368" t="s">
        <v>46</v>
      </c>
      <c r="F368">
        <v>0.6</v>
      </c>
      <c r="G368">
        <v>1.5</v>
      </c>
      <c r="H368">
        <v>51</v>
      </c>
      <c r="I368">
        <v>49</v>
      </c>
      <c r="J368">
        <v>447</v>
      </c>
      <c r="K368">
        <v>427</v>
      </c>
      <c r="L368">
        <v>363</v>
      </c>
      <c r="M368">
        <v>338</v>
      </c>
      <c r="N368">
        <v>1</v>
      </c>
      <c r="O368">
        <v>0</v>
      </c>
      <c r="P368" t="s">
        <v>35</v>
      </c>
      <c r="Q368">
        <v>0</v>
      </c>
      <c r="R368">
        <v>0</v>
      </c>
      <c r="S368" t="s">
        <v>36</v>
      </c>
      <c r="T368">
        <v>12</v>
      </c>
      <c r="U368">
        <v>14</v>
      </c>
      <c r="V368">
        <v>4</v>
      </c>
      <c r="W368">
        <v>5</v>
      </c>
      <c r="X368">
        <v>9</v>
      </c>
      <c r="Y368">
        <v>9</v>
      </c>
      <c r="Z368">
        <v>10</v>
      </c>
      <c r="AA368">
        <v>7</v>
      </c>
      <c r="AB368">
        <v>3</v>
      </c>
      <c r="AC368">
        <v>3</v>
      </c>
      <c r="AD368">
        <v>0</v>
      </c>
      <c r="AE368">
        <v>0</v>
      </c>
    </row>
    <row r="369" spans="1:31" x14ac:dyDescent="0.25">
      <c r="A369" t="s">
        <v>31</v>
      </c>
      <c r="B369" s="2">
        <v>45796</v>
      </c>
      <c r="C369" t="s">
        <v>32</v>
      </c>
      <c r="D369" t="s">
        <v>45</v>
      </c>
      <c r="E369" t="s">
        <v>39</v>
      </c>
      <c r="F369">
        <v>2.2000000000000002</v>
      </c>
      <c r="G369">
        <v>2.2000000000000002</v>
      </c>
      <c r="H369">
        <v>49</v>
      </c>
      <c r="I369">
        <v>51</v>
      </c>
      <c r="J369">
        <v>489</v>
      </c>
      <c r="K369">
        <v>501</v>
      </c>
      <c r="L369">
        <v>410</v>
      </c>
      <c r="M369">
        <v>432</v>
      </c>
      <c r="N369">
        <v>3</v>
      </c>
      <c r="O369">
        <v>2</v>
      </c>
      <c r="P369" t="s">
        <v>35</v>
      </c>
      <c r="Q369">
        <v>1</v>
      </c>
      <c r="R369">
        <v>2</v>
      </c>
      <c r="S369" t="s">
        <v>40</v>
      </c>
      <c r="T369">
        <v>25</v>
      </c>
      <c r="U369">
        <v>18</v>
      </c>
      <c r="V369">
        <v>12</v>
      </c>
      <c r="W369">
        <v>5</v>
      </c>
      <c r="X369">
        <v>9</v>
      </c>
      <c r="Y369">
        <v>8</v>
      </c>
      <c r="Z369">
        <v>3</v>
      </c>
      <c r="AA369">
        <v>3</v>
      </c>
      <c r="AB369">
        <v>1</v>
      </c>
      <c r="AC369">
        <v>0</v>
      </c>
      <c r="AD369">
        <v>0</v>
      </c>
      <c r="AE369">
        <v>0</v>
      </c>
    </row>
    <row r="370" spans="1:31" x14ac:dyDescent="0.25">
      <c r="A370" t="s">
        <v>31</v>
      </c>
      <c r="B370" s="2">
        <v>45797</v>
      </c>
      <c r="C370" t="s">
        <v>32</v>
      </c>
      <c r="D370" t="s">
        <v>55</v>
      </c>
      <c r="E370" t="s">
        <v>43</v>
      </c>
      <c r="F370">
        <v>1.7</v>
      </c>
      <c r="G370">
        <v>1.4</v>
      </c>
      <c r="H370">
        <v>31</v>
      </c>
      <c r="I370">
        <v>69</v>
      </c>
      <c r="J370">
        <v>307</v>
      </c>
      <c r="K370">
        <v>671</v>
      </c>
      <c r="L370">
        <v>227</v>
      </c>
      <c r="M370">
        <v>577</v>
      </c>
      <c r="N370">
        <v>4</v>
      </c>
      <c r="O370">
        <v>2</v>
      </c>
      <c r="P370" t="s">
        <v>35</v>
      </c>
      <c r="Q370">
        <v>2</v>
      </c>
      <c r="R370">
        <v>1</v>
      </c>
      <c r="S370" t="s">
        <v>35</v>
      </c>
      <c r="T370">
        <v>14</v>
      </c>
      <c r="U370">
        <v>12</v>
      </c>
      <c r="V370">
        <v>10</v>
      </c>
      <c r="W370">
        <v>3</v>
      </c>
      <c r="X370">
        <v>14</v>
      </c>
      <c r="Y370">
        <v>8</v>
      </c>
      <c r="Z370">
        <v>0</v>
      </c>
      <c r="AA370">
        <v>10</v>
      </c>
      <c r="AB370">
        <v>1</v>
      </c>
      <c r="AC370">
        <v>2</v>
      </c>
      <c r="AD370">
        <v>0</v>
      </c>
      <c r="AE370">
        <v>0</v>
      </c>
    </row>
    <row r="371" spans="1:31" x14ac:dyDescent="0.25">
      <c r="A371" t="s">
        <v>31</v>
      </c>
      <c r="B371" s="2">
        <v>45797</v>
      </c>
      <c r="C371" t="s">
        <v>32</v>
      </c>
      <c r="D371" t="s">
        <v>58</v>
      </c>
      <c r="E371" t="s">
        <v>49</v>
      </c>
      <c r="F371">
        <v>1.5</v>
      </c>
      <c r="G371">
        <v>1.1000000000000001</v>
      </c>
      <c r="H371">
        <v>57</v>
      </c>
      <c r="I371">
        <v>43</v>
      </c>
      <c r="J371">
        <v>640</v>
      </c>
      <c r="K371">
        <v>482</v>
      </c>
      <c r="L371">
        <v>571</v>
      </c>
      <c r="M371">
        <v>401</v>
      </c>
      <c r="N371">
        <v>3</v>
      </c>
      <c r="O371">
        <v>1</v>
      </c>
      <c r="P371" t="s">
        <v>35</v>
      </c>
      <c r="Q371">
        <v>2</v>
      </c>
      <c r="R371">
        <v>0</v>
      </c>
      <c r="S371" t="s">
        <v>35</v>
      </c>
      <c r="T371">
        <v>12</v>
      </c>
      <c r="U371">
        <v>8</v>
      </c>
      <c r="V371">
        <v>5</v>
      </c>
      <c r="W371">
        <v>2</v>
      </c>
      <c r="X371">
        <v>7</v>
      </c>
      <c r="Y371">
        <v>13</v>
      </c>
      <c r="Z371">
        <v>3</v>
      </c>
      <c r="AA371">
        <v>1</v>
      </c>
      <c r="AB371">
        <v>1</v>
      </c>
      <c r="AC371">
        <v>3</v>
      </c>
      <c r="AD371">
        <v>1</v>
      </c>
      <c r="AE371">
        <v>1</v>
      </c>
    </row>
    <row r="372" spans="1:31" x14ac:dyDescent="0.25">
      <c r="A372" t="s">
        <v>31</v>
      </c>
      <c r="B372" s="2">
        <v>45802</v>
      </c>
      <c r="C372" t="s">
        <v>62</v>
      </c>
      <c r="D372" t="s">
        <v>49</v>
      </c>
      <c r="E372" t="s">
        <v>59</v>
      </c>
      <c r="F372">
        <v>1.6</v>
      </c>
      <c r="G372">
        <v>0.3</v>
      </c>
      <c r="H372">
        <v>63</v>
      </c>
      <c r="I372">
        <v>37</v>
      </c>
      <c r="J372">
        <v>547</v>
      </c>
      <c r="K372">
        <v>322</v>
      </c>
      <c r="L372">
        <v>440</v>
      </c>
      <c r="M372">
        <v>234</v>
      </c>
      <c r="N372">
        <v>2</v>
      </c>
      <c r="O372">
        <v>0</v>
      </c>
      <c r="P372" t="s">
        <v>35</v>
      </c>
      <c r="Q372">
        <v>0</v>
      </c>
      <c r="R372">
        <v>0</v>
      </c>
      <c r="S372" t="s">
        <v>36</v>
      </c>
      <c r="T372">
        <v>20</v>
      </c>
      <c r="U372">
        <v>3</v>
      </c>
      <c r="V372">
        <v>7</v>
      </c>
      <c r="W372">
        <v>0</v>
      </c>
      <c r="X372">
        <v>19</v>
      </c>
      <c r="Y372">
        <v>16</v>
      </c>
      <c r="Z372">
        <v>6</v>
      </c>
      <c r="AA372">
        <v>1</v>
      </c>
      <c r="AB372">
        <v>0</v>
      </c>
      <c r="AC372">
        <v>2</v>
      </c>
      <c r="AD372">
        <v>0</v>
      </c>
      <c r="AE372">
        <v>0</v>
      </c>
    </row>
    <row r="373" spans="1:31" x14ac:dyDescent="0.25">
      <c r="A373" t="s">
        <v>31</v>
      </c>
      <c r="B373" s="2">
        <v>45802</v>
      </c>
      <c r="C373" t="s">
        <v>62</v>
      </c>
      <c r="D373" t="s">
        <v>34</v>
      </c>
      <c r="E373" t="s">
        <v>58</v>
      </c>
      <c r="F373">
        <v>1.3</v>
      </c>
      <c r="G373">
        <v>3</v>
      </c>
      <c r="H373">
        <v>47</v>
      </c>
      <c r="I373">
        <v>53</v>
      </c>
      <c r="J373">
        <v>477</v>
      </c>
      <c r="K373">
        <v>539</v>
      </c>
      <c r="L373">
        <v>399</v>
      </c>
      <c r="M373">
        <v>448</v>
      </c>
      <c r="N373">
        <v>0</v>
      </c>
      <c r="O373">
        <v>2</v>
      </c>
      <c r="P373" t="s">
        <v>40</v>
      </c>
      <c r="Q373">
        <v>0</v>
      </c>
      <c r="R373">
        <v>1</v>
      </c>
      <c r="S373" t="s">
        <v>40</v>
      </c>
      <c r="T373">
        <v>13</v>
      </c>
      <c r="U373">
        <v>20</v>
      </c>
      <c r="V373">
        <v>3</v>
      </c>
      <c r="W373">
        <v>5</v>
      </c>
      <c r="X373">
        <v>11</v>
      </c>
      <c r="Y373">
        <v>5</v>
      </c>
      <c r="Z373">
        <v>1</v>
      </c>
      <c r="AA373">
        <v>6</v>
      </c>
      <c r="AB373">
        <v>0</v>
      </c>
      <c r="AC373">
        <v>0</v>
      </c>
      <c r="AD373">
        <v>0</v>
      </c>
      <c r="AE373">
        <v>0</v>
      </c>
    </row>
    <row r="374" spans="1:31" x14ac:dyDescent="0.25">
      <c r="A374" t="s">
        <v>31</v>
      </c>
      <c r="B374" s="2">
        <v>45802</v>
      </c>
      <c r="C374" t="s">
        <v>62</v>
      </c>
      <c r="D374" t="s">
        <v>38</v>
      </c>
      <c r="E374" t="s">
        <v>51</v>
      </c>
      <c r="F374">
        <v>0.7</v>
      </c>
      <c r="G374">
        <v>1.1000000000000001</v>
      </c>
      <c r="H374">
        <v>42</v>
      </c>
      <c r="I374">
        <v>58</v>
      </c>
      <c r="J374">
        <v>464</v>
      </c>
      <c r="K374">
        <v>654</v>
      </c>
      <c r="L374">
        <v>374</v>
      </c>
      <c r="M374">
        <v>564</v>
      </c>
      <c r="N374">
        <v>1</v>
      </c>
      <c r="O374">
        <v>3</v>
      </c>
      <c r="P374" t="s">
        <v>40</v>
      </c>
      <c r="Q374">
        <v>0</v>
      </c>
      <c r="R374">
        <v>1</v>
      </c>
      <c r="S374" t="s">
        <v>40</v>
      </c>
      <c r="T374">
        <v>14</v>
      </c>
      <c r="U374">
        <v>10</v>
      </c>
      <c r="V374">
        <v>4</v>
      </c>
      <c r="W374">
        <v>6</v>
      </c>
      <c r="X374">
        <v>10</v>
      </c>
      <c r="Y374">
        <v>9</v>
      </c>
      <c r="Z374">
        <v>4</v>
      </c>
      <c r="AA374">
        <v>0</v>
      </c>
      <c r="AB374">
        <v>1</v>
      </c>
      <c r="AC374">
        <v>1</v>
      </c>
      <c r="AD374">
        <v>0</v>
      </c>
      <c r="AE374">
        <v>0</v>
      </c>
    </row>
    <row r="375" spans="1:31" x14ac:dyDescent="0.25">
      <c r="A375" t="s">
        <v>31</v>
      </c>
      <c r="B375" s="2">
        <v>45802</v>
      </c>
      <c r="C375" t="s">
        <v>62</v>
      </c>
      <c r="D375" t="s">
        <v>39</v>
      </c>
      <c r="E375" t="s">
        <v>55</v>
      </c>
      <c r="F375">
        <v>2.1</v>
      </c>
      <c r="G375">
        <v>1.8</v>
      </c>
      <c r="H375">
        <v>69</v>
      </c>
      <c r="I375">
        <v>31</v>
      </c>
      <c r="J375">
        <v>695</v>
      </c>
      <c r="K375">
        <v>319</v>
      </c>
      <c r="L375">
        <v>580</v>
      </c>
      <c r="M375">
        <v>224</v>
      </c>
      <c r="N375">
        <v>1</v>
      </c>
      <c r="O375">
        <v>1</v>
      </c>
      <c r="P375" t="s">
        <v>36</v>
      </c>
      <c r="Q375">
        <v>0</v>
      </c>
      <c r="R375">
        <v>1</v>
      </c>
      <c r="S375" t="s">
        <v>40</v>
      </c>
      <c r="T375">
        <v>14</v>
      </c>
      <c r="U375">
        <v>8</v>
      </c>
      <c r="V375">
        <v>3</v>
      </c>
      <c r="W375">
        <v>5</v>
      </c>
      <c r="X375">
        <v>7</v>
      </c>
      <c r="Y375">
        <v>10</v>
      </c>
      <c r="Z375">
        <v>11</v>
      </c>
      <c r="AA375">
        <v>0</v>
      </c>
      <c r="AB375">
        <v>1</v>
      </c>
      <c r="AC375">
        <v>0</v>
      </c>
      <c r="AD375">
        <v>1</v>
      </c>
      <c r="AE375">
        <v>0</v>
      </c>
    </row>
    <row r="376" spans="1:31" x14ac:dyDescent="0.25">
      <c r="A376" t="s">
        <v>31</v>
      </c>
      <c r="B376" s="2">
        <v>45802</v>
      </c>
      <c r="C376" t="s">
        <v>62</v>
      </c>
      <c r="D376" t="s">
        <v>33</v>
      </c>
      <c r="E376" t="s">
        <v>52</v>
      </c>
      <c r="F376">
        <v>2.9</v>
      </c>
      <c r="G376">
        <v>0.4</v>
      </c>
      <c r="H376">
        <v>67</v>
      </c>
      <c r="I376">
        <v>33</v>
      </c>
      <c r="J376">
        <v>644</v>
      </c>
      <c r="K376">
        <v>322</v>
      </c>
      <c r="L376">
        <v>555</v>
      </c>
      <c r="M376">
        <v>223</v>
      </c>
      <c r="N376">
        <v>2</v>
      </c>
      <c r="O376">
        <v>0</v>
      </c>
      <c r="P376" t="s">
        <v>35</v>
      </c>
      <c r="Q376">
        <v>0</v>
      </c>
      <c r="R376">
        <v>0</v>
      </c>
      <c r="S376" t="s">
        <v>36</v>
      </c>
      <c r="T376">
        <v>25</v>
      </c>
      <c r="U376">
        <v>6</v>
      </c>
      <c r="V376">
        <v>10</v>
      </c>
      <c r="W376">
        <v>1</v>
      </c>
      <c r="X376">
        <v>10</v>
      </c>
      <c r="Y376">
        <v>10</v>
      </c>
      <c r="Z376">
        <v>4</v>
      </c>
      <c r="AA376">
        <v>3</v>
      </c>
      <c r="AB376">
        <v>2</v>
      </c>
      <c r="AC376">
        <v>2</v>
      </c>
      <c r="AD376">
        <v>0</v>
      </c>
      <c r="AE376">
        <v>1</v>
      </c>
    </row>
    <row r="377" spans="1:31" x14ac:dyDescent="0.25">
      <c r="A377" t="s">
        <v>31</v>
      </c>
      <c r="B377" s="2">
        <v>45802</v>
      </c>
      <c r="C377" t="s">
        <v>62</v>
      </c>
      <c r="D377" t="s">
        <v>46</v>
      </c>
      <c r="E377" t="s">
        <v>44</v>
      </c>
      <c r="F377">
        <v>1.2</v>
      </c>
      <c r="G377">
        <v>1.2</v>
      </c>
      <c r="H377">
        <v>65</v>
      </c>
      <c r="I377">
        <v>35</v>
      </c>
      <c r="J377">
        <v>590</v>
      </c>
      <c r="K377">
        <v>318</v>
      </c>
      <c r="L377">
        <v>501</v>
      </c>
      <c r="M377">
        <v>240</v>
      </c>
      <c r="N377">
        <v>0</v>
      </c>
      <c r="O377">
        <v>1</v>
      </c>
      <c r="P377" t="s">
        <v>40</v>
      </c>
      <c r="Q377">
        <v>0</v>
      </c>
      <c r="R377">
        <v>0</v>
      </c>
      <c r="S377" t="s">
        <v>36</v>
      </c>
      <c r="T377">
        <v>17</v>
      </c>
      <c r="U377">
        <v>14</v>
      </c>
      <c r="V377">
        <v>6</v>
      </c>
      <c r="W377">
        <v>6</v>
      </c>
      <c r="X377">
        <v>12</v>
      </c>
      <c r="Y377">
        <v>9</v>
      </c>
      <c r="Z377">
        <v>12</v>
      </c>
      <c r="AA377">
        <v>3</v>
      </c>
      <c r="AB377">
        <v>1</v>
      </c>
      <c r="AC377">
        <v>4</v>
      </c>
      <c r="AD377">
        <v>0</v>
      </c>
      <c r="AE377">
        <v>0</v>
      </c>
    </row>
    <row r="378" spans="1:31" x14ac:dyDescent="0.25">
      <c r="A378" t="s">
        <v>31</v>
      </c>
      <c r="B378" s="2">
        <v>45802</v>
      </c>
      <c r="C378" t="s">
        <v>62</v>
      </c>
      <c r="D378" t="s">
        <v>48</v>
      </c>
      <c r="E378" t="s">
        <v>57</v>
      </c>
      <c r="F378">
        <v>1.2</v>
      </c>
      <c r="G378">
        <v>1.1000000000000001</v>
      </c>
      <c r="H378">
        <v>52</v>
      </c>
      <c r="I378">
        <v>48</v>
      </c>
      <c r="J378">
        <v>487</v>
      </c>
      <c r="K378">
        <v>443</v>
      </c>
      <c r="L378">
        <v>384</v>
      </c>
      <c r="M378">
        <v>347</v>
      </c>
      <c r="N378">
        <v>0</v>
      </c>
      <c r="O378">
        <v>1</v>
      </c>
      <c r="P378" t="s">
        <v>40</v>
      </c>
      <c r="Q378">
        <v>0</v>
      </c>
      <c r="R378">
        <v>0</v>
      </c>
      <c r="S378" t="s">
        <v>36</v>
      </c>
      <c r="T378">
        <v>10</v>
      </c>
      <c r="U378">
        <v>6</v>
      </c>
      <c r="V378">
        <v>2</v>
      </c>
      <c r="W378">
        <v>2</v>
      </c>
      <c r="X378">
        <v>10</v>
      </c>
      <c r="Y378">
        <v>11</v>
      </c>
      <c r="Z378">
        <v>7</v>
      </c>
      <c r="AA378">
        <v>4</v>
      </c>
      <c r="AB378">
        <v>2</v>
      </c>
      <c r="AC378">
        <v>2</v>
      </c>
      <c r="AD378">
        <v>0</v>
      </c>
      <c r="AE378">
        <v>0</v>
      </c>
    </row>
    <row r="379" spans="1:31" x14ac:dyDescent="0.25">
      <c r="A379" t="s">
        <v>31</v>
      </c>
      <c r="B379" s="2">
        <v>45802</v>
      </c>
      <c r="C379" t="s">
        <v>62</v>
      </c>
      <c r="D379" t="s">
        <v>47</v>
      </c>
      <c r="E379" t="s">
        <v>42</v>
      </c>
      <c r="F379">
        <v>0.6</v>
      </c>
      <c r="G379">
        <v>2.2999999999999998</v>
      </c>
      <c r="H379">
        <v>38</v>
      </c>
      <c r="I379">
        <v>62</v>
      </c>
      <c r="J379">
        <v>363</v>
      </c>
      <c r="K379">
        <v>581</v>
      </c>
      <c r="L379">
        <v>289</v>
      </c>
      <c r="M379">
        <v>509</v>
      </c>
      <c r="N379">
        <v>1</v>
      </c>
      <c r="O379">
        <v>2</v>
      </c>
      <c r="P379" t="s">
        <v>40</v>
      </c>
      <c r="Q379">
        <v>0</v>
      </c>
      <c r="R379">
        <v>1</v>
      </c>
      <c r="S379" t="s">
        <v>40</v>
      </c>
      <c r="T379">
        <v>7</v>
      </c>
      <c r="U379">
        <v>23</v>
      </c>
      <c r="V379">
        <v>2</v>
      </c>
      <c r="W379">
        <v>8</v>
      </c>
      <c r="X379">
        <v>7</v>
      </c>
      <c r="Y379">
        <v>8</v>
      </c>
      <c r="Z379">
        <v>5</v>
      </c>
      <c r="AA379">
        <v>8</v>
      </c>
      <c r="AB379">
        <v>0</v>
      </c>
      <c r="AC379">
        <v>0</v>
      </c>
      <c r="AD379">
        <v>0</v>
      </c>
      <c r="AE379">
        <v>0</v>
      </c>
    </row>
    <row r="380" spans="1:31" x14ac:dyDescent="0.25">
      <c r="A380" t="s">
        <v>31</v>
      </c>
      <c r="B380" s="2">
        <v>45802</v>
      </c>
      <c r="C380" t="s">
        <v>62</v>
      </c>
      <c r="D380" t="s">
        <v>60</v>
      </c>
      <c r="E380" t="s">
        <v>45</v>
      </c>
      <c r="F380">
        <v>2</v>
      </c>
      <c r="G380">
        <v>2.2000000000000002</v>
      </c>
      <c r="H380">
        <v>34</v>
      </c>
      <c r="I380">
        <v>66</v>
      </c>
      <c r="J380">
        <v>301</v>
      </c>
      <c r="K380">
        <v>592</v>
      </c>
      <c r="L380">
        <v>229</v>
      </c>
      <c r="M380">
        <v>509</v>
      </c>
      <c r="N380">
        <v>1</v>
      </c>
      <c r="O380">
        <v>4</v>
      </c>
      <c r="P380" t="s">
        <v>40</v>
      </c>
      <c r="Q380">
        <v>1</v>
      </c>
      <c r="R380">
        <v>0</v>
      </c>
      <c r="S380" t="s">
        <v>35</v>
      </c>
      <c r="T380">
        <v>4</v>
      </c>
      <c r="U380">
        <v>23</v>
      </c>
      <c r="V380">
        <v>2</v>
      </c>
      <c r="W380">
        <v>8</v>
      </c>
      <c r="X380">
        <v>13</v>
      </c>
      <c r="Y380">
        <v>8</v>
      </c>
      <c r="Z380">
        <v>2</v>
      </c>
      <c r="AA380">
        <v>11</v>
      </c>
      <c r="AB380">
        <v>3</v>
      </c>
      <c r="AC380">
        <v>1</v>
      </c>
      <c r="AD380">
        <v>0</v>
      </c>
      <c r="AE380">
        <v>0</v>
      </c>
    </row>
    <row r="381" spans="1:31" x14ac:dyDescent="0.25">
      <c r="A381" t="s">
        <v>31</v>
      </c>
      <c r="B381" s="2">
        <v>45802</v>
      </c>
      <c r="C381" t="s">
        <v>62</v>
      </c>
      <c r="D381" t="s">
        <v>43</v>
      </c>
      <c r="E381" t="s">
        <v>54</v>
      </c>
      <c r="F381">
        <v>1</v>
      </c>
      <c r="G381">
        <v>1.4</v>
      </c>
      <c r="H381">
        <v>49</v>
      </c>
      <c r="I381">
        <v>51</v>
      </c>
      <c r="J381">
        <v>471</v>
      </c>
      <c r="K381">
        <v>490</v>
      </c>
      <c r="L381">
        <v>374</v>
      </c>
      <c r="M381">
        <v>402</v>
      </c>
      <c r="N381">
        <v>1</v>
      </c>
      <c r="O381">
        <v>1</v>
      </c>
      <c r="P381" t="s">
        <v>36</v>
      </c>
      <c r="Q381">
        <v>0</v>
      </c>
      <c r="R381">
        <v>1</v>
      </c>
      <c r="S381" t="s">
        <v>40</v>
      </c>
      <c r="T381">
        <v>18</v>
      </c>
      <c r="U381">
        <v>13</v>
      </c>
      <c r="V381">
        <v>6</v>
      </c>
      <c r="W381">
        <v>7</v>
      </c>
      <c r="X381">
        <v>7</v>
      </c>
      <c r="Y381">
        <v>9</v>
      </c>
      <c r="Z381">
        <v>8</v>
      </c>
      <c r="AA381">
        <v>3</v>
      </c>
      <c r="AB381">
        <v>2</v>
      </c>
      <c r="AC381">
        <v>1</v>
      </c>
      <c r="AD381">
        <v>0</v>
      </c>
      <c r="AE38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5B26-0C9E-4282-B391-1477FBD0FE71}">
  <dimension ref="A1:AC761"/>
  <sheetViews>
    <sheetView topLeftCell="D1" workbookViewId="0">
      <selection activeCell="V12" sqref="V12"/>
    </sheetView>
  </sheetViews>
  <sheetFormatPr defaultRowHeight="15" x14ac:dyDescent="0.25"/>
  <cols>
    <col min="1" max="1" width="0" hidden="1" customWidth="1"/>
    <col min="2" max="2" width="18.28515625" hidden="1" customWidth="1"/>
    <col min="3" max="3" width="0" hidden="1" customWidth="1"/>
    <col min="4" max="4" width="15.42578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110</v>
      </c>
      <c r="J1" s="1" t="s">
        <v>13</v>
      </c>
      <c r="K1" s="1" t="s">
        <v>15</v>
      </c>
      <c r="L1" s="1" t="s">
        <v>16</v>
      </c>
      <c r="M1" s="1" t="s">
        <v>18</v>
      </c>
      <c r="N1" s="1" t="s">
        <v>19</v>
      </c>
      <c r="O1" s="1" t="s">
        <v>21</v>
      </c>
      <c r="P1" s="1" t="s">
        <v>23</v>
      </c>
      <c r="Q1" s="1" t="s">
        <v>25</v>
      </c>
      <c r="R1" s="1" t="s">
        <v>27</v>
      </c>
      <c r="S1" s="1" t="s">
        <v>29</v>
      </c>
      <c r="T1" s="1"/>
      <c r="W1" s="3"/>
      <c r="X1" s="1"/>
      <c r="Y1" s="3"/>
      <c r="Z1" s="1"/>
      <c r="AB1" s="8"/>
      <c r="AC1" s="1"/>
    </row>
    <row r="2" spans="1:29" x14ac:dyDescent="0.25">
      <c r="A2" t="s">
        <v>31</v>
      </c>
      <c r="B2" s="2">
        <v>45520</v>
      </c>
      <c r="C2" t="s">
        <v>32</v>
      </c>
      <c r="D2" t="s">
        <v>33</v>
      </c>
      <c r="E2">
        <v>2.4</v>
      </c>
      <c r="F2">
        <v>55</v>
      </c>
      <c r="G2">
        <v>524</v>
      </c>
      <c r="H2">
        <v>430</v>
      </c>
      <c r="I2" s="11">
        <f>H2/G2*100</f>
        <v>82.061068702290072</v>
      </c>
      <c r="J2">
        <v>1</v>
      </c>
      <c r="K2" t="s">
        <v>35</v>
      </c>
      <c r="L2">
        <v>0</v>
      </c>
      <c r="M2" t="s">
        <v>36</v>
      </c>
      <c r="N2">
        <v>14</v>
      </c>
      <c r="O2">
        <v>5</v>
      </c>
      <c r="P2">
        <v>12</v>
      </c>
      <c r="Q2">
        <v>7</v>
      </c>
      <c r="R2">
        <v>2</v>
      </c>
      <c r="S2">
        <v>0</v>
      </c>
      <c r="AB2" t="str">
        <f t="shared" ref="AB2:AB65" si="0">IF(E2 &lt; _xlfn.PERCENTILE.INC($E$2:$E$761,0),
    "Ekstrem Rendah",
    IF(E2 &gt; _xlfn.PERCENTILE.INC($E$2:$E$761,1),
        "Ekstrem Tinggi",
        "Normal"
    )
)</f>
        <v>Normal</v>
      </c>
      <c r="AC2" t="str">
        <f t="shared" ref="AC2:AC65" si="1">IF(F2 &lt; _xlfn.PERCENTILE.INC($F$2:$F$761,0.001),
    "Ekstrem Rendah",
    IF(F2 &gt; _xlfn.PERCENTILE.INC($F$2:$F$761,0.999),
        "Ekstrem Tinggi",
        "Normal"
    )
)</f>
        <v>Normal</v>
      </c>
    </row>
    <row r="3" spans="1:29" x14ac:dyDescent="0.25">
      <c r="A3" t="s">
        <v>31</v>
      </c>
      <c r="B3" s="2">
        <v>45521</v>
      </c>
      <c r="C3" t="s">
        <v>37</v>
      </c>
      <c r="D3" t="s">
        <v>38</v>
      </c>
      <c r="E3">
        <v>0.5</v>
      </c>
      <c r="F3">
        <v>38</v>
      </c>
      <c r="G3">
        <v>381</v>
      </c>
      <c r="H3">
        <v>290</v>
      </c>
      <c r="I3" s="11">
        <f t="shared" ref="I3:I66" si="2">H3/G3*100</f>
        <v>76.115485564304464</v>
      </c>
      <c r="J3">
        <v>0</v>
      </c>
      <c r="K3" t="s">
        <v>40</v>
      </c>
      <c r="L3">
        <v>0</v>
      </c>
      <c r="M3" t="s">
        <v>36</v>
      </c>
      <c r="N3">
        <v>7</v>
      </c>
      <c r="O3">
        <v>2</v>
      </c>
      <c r="P3">
        <v>9</v>
      </c>
      <c r="Q3">
        <v>2</v>
      </c>
      <c r="R3">
        <v>3</v>
      </c>
      <c r="S3">
        <v>0</v>
      </c>
      <c r="AB3" t="str">
        <f t="shared" si="0"/>
        <v>Normal</v>
      </c>
      <c r="AC3" t="str">
        <f t="shared" si="1"/>
        <v>Normal</v>
      </c>
    </row>
    <row r="4" spans="1:29" x14ac:dyDescent="0.25">
      <c r="A4" t="s">
        <v>31</v>
      </c>
      <c r="B4" s="2">
        <v>45521</v>
      </c>
      <c r="C4" t="s">
        <v>41</v>
      </c>
      <c r="D4" t="s">
        <v>42</v>
      </c>
      <c r="E4">
        <v>1.2</v>
      </c>
      <c r="F4">
        <v>53</v>
      </c>
      <c r="G4">
        <v>458</v>
      </c>
      <c r="H4">
        <v>382</v>
      </c>
      <c r="I4" s="11">
        <f t="shared" si="2"/>
        <v>83.406113537117903</v>
      </c>
      <c r="J4">
        <v>2</v>
      </c>
      <c r="K4" t="s">
        <v>35</v>
      </c>
      <c r="L4">
        <v>1</v>
      </c>
      <c r="M4" t="s">
        <v>35</v>
      </c>
      <c r="N4">
        <v>18</v>
      </c>
      <c r="O4">
        <v>6</v>
      </c>
      <c r="P4">
        <v>17</v>
      </c>
      <c r="Q4">
        <v>8</v>
      </c>
      <c r="R4">
        <v>2</v>
      </c>
      <c r="S4">
        <v>0</v>
      </c>
      <c r="AB4" t="str">
        <f t="shared" si="0"/>
        <v>Normal</v>
      </c>
      <c r="AC4" t="str">
        <f t="shared" si="1"/>
        <v>Normal</v>
      </c>
    </row>
    <row r="5" spans="1:29" x14ac:dyDescent="0.25">
      <c r="A5" t="s">
        <v>31</v>
      </c>
      <c r="B5" s="2">
        <v>45521</v>
      </c>
      <c r="C5" t="s">
        <v>41</v>
      </c>
      <c r="D5" t="s">
        <v>44</v>
      </c>
      <c r="E5">
        <v>0.5</v>
      </c>
      <c r="F5">
        <v>40</v>
      </c>
      <c r="G5">
        <v>399</v>
      </c>
      <c r="H5">
        <v>298</v>
      </c>
      <c r="I5" s="11">
        <f t="shared" si="2"/>
        <v>74.686716791979947</v>
      </c>
      <c r="J5">
        <v>0</v>
      </c>
      <c r="K5" t="s">
        <v>40</v>
      </c>
      <c r="L5">
        <v>0</v>
      </c>
      <c r="M5" t="s">
        <v>40</v>
      </c>
      <c r="N5">
        <v>9</v>
      </c>
      <c r="O5">
        <v>1</v>
      </c>
      <c r="P5">
        <v>8</v>
      </c>
      <c r="Q5">
        <v>1</v>
      </c>
      <c r="R5">
        <v>1</v>
      </c>
      <c r="S5">
        <v>1</v>
      </c>
      <c r="AB5" t="str">
        <f t="shared" si="0"/>
        <v>Normal</v>
      </c>
      <c r="AC5" t="str">
        <f t="shared" si="1"/>
        <v>Normal</v>
      </c>
    </row>
    <row r="6" spans="1:29" x14ac:dyDescent="0.25">
      <c r="A6" t="s">
        <v>31</v>
      </c>
      <c r="B6" s="2">
        <v>45521</v>
      </c>
      <c r="C6" t="s">
        <v>41</v>
      </c>
      <c r="D6" t="s">
        <v>46</v>
      </c>
      <c r="E6">
        <v>0.3</v>
      </c>
      <c r="F6">
        <v>23</v>
      </c>
      <c r="G6">
        <v>207</v>
      </c>
      <c r="H6">
        <v>128</v>
      </c>
      <c r="I6" s="11">
        <f t="shared" si="2"/>
        <v>61.835748792270529</v>
      </c>
      <c r="J6">
        <v>1</v>
      </c>
      <c r="K6" t="s">
        <v>35</v>
      </c>
      <c r="L6">
        <v>1</v>
      </c>
      <c r="M6" t="s">
        <v>35</v>
      </c>
      <c r="N6">
        <v>3</v>
      </c>
      <c r="O6">
        <v>1</v>
      </c>
      <c r="P6">
        <v>15</v>
      </c>
      <c r="Q6">
        <v>3</v>
      </c>
      <c r="R6">
        <v>2</v>
      </c>
      <c r="S6">
        <v>1</v>
      </c>
      <c r="AB6" t="str">
        <f t="shared" si="0"/>
        <v>Normal</v>
      </c>
      <c r="AC6" t="str">
        <f t="shared" si="1"/>
        <v>Normal</v>
      </c>
    </row>
    <row r="7" spans="1:29" x14ac:dyDescent="0.25">
      <c r="A7" t="s">
        <v>31</v>
      </c>
      <c r="B7" s="2">
        <v>45521</v>
      </c>
      <c r="C7" t="s">
        <v>41</v>
      </c>
      <c r="D7" t="s">
        <v>48</v>
      </c>
      <c r="E7">
        <v>1.3</v>
      </c>
      <c r="F7">
        <v>53</v>
      </c>
      <c r="G7">
        <v>543</v>
      </c>
      <c r="H7">
        <v>420</v>
      </c>
      <c r="I7" s="11">
        <f t="shared" si="2"/>
        <v>77.348066298342545</v>
      </c>
      <c r="J7">
        <v>1</v>
      </c>
      <c r="K7" t="s">
        <v>36</v>
      </c>
      <c r="L7">
        <v>1</v>
      </c>
      <c r="M7" t="s">
        <v>35</v>
      </c>
      <c r="N7">
        <v>14</v>
      </c>
      <c r="O7">
        <v>8</v>
      </c>
      <c r="P7">
        <v>17</v>
      </c>
      <c r="Q7">
        <v>2</v>
      </c>
      <c r="R7">
        <v>1</v>
      </c>
      <c r="S7">
        <v>0</v>
      </c>
      <c r="AB7" t="str">
        <f t="shared" si="0"/>
        <v>Normal</v>
      </c>
      <c r="AC7" t="str">
        <f t="shared" si="1"/>
        <v>Normal</v>
      </c>
    </row>
    <row r="8" spans="1:29" x14ac:dyDescent="0.25">
      <c r="A8" t="s">
        <v>31</v>
      </c>
      <c r="B8" s="2">
        <v>45521</v>
      </c>
      <c r="C8" t="s">
        <v>50</v>
      </c>
      <c r="D8" t="s">
        <v>51</v>
      </c>
      <c r="E8">
        <v>2.2999999999999998</v>
      </c>
      <c r="F8">
        <v>52</v>
      </c>
      <c r="G8">
        <v>464</v>
      </c>
      <c r="H8">
        <v>377</v>
      </c>
      <c r="I8" s="11">
        <f t="shared" si="2"/>
        <v>81.25</v>
      </c>
      <c r="J8">
        <v>1</v>
      </c>
      <c r="K8" t="s">
        <v>40</v>
      </c>
      <c r="L8">
        <v>1</v>
      </c>
      <c r="M8" t="s">
        <v>36</v>
      </c>
      <c r="N8">
        <v>14</v>
      </c>
      <c r="O8">
        <v>3</v>
      </c>
      <c r="P8">
        <v>18</v>
      </c>
      <c r="Q8">
        <v>5</v>
      </c>
      <c r="R8">
        <v>1</v>
      </c>
      <c r="S8">
        <v>0</v>
      </c>
      <c r="AB8" t="str">
        <f t="shared" si="0"/>
        <v>Normal</v>
      </c>
      <c r="AC8" t="str">
        <f t="shared" si="1"/>
        <v>Normal</v>
      </c>
    </row>
    <row r="9" spans="1:29" x14ac:dyDescent="0.25">
      <c r="A9" t="s">
        <v>31</v>
      </c>
      <c r="B9" s="2">
        <v>45522</v>
      </c>
      <c r="C9" t="s">
        <v>53</v>
      </c>
      <c r="D9" t="s">
        <v>54</v>
      </c>
      <c r="E9">
        <v>1.6</v>
      </c>
      <c r="F9">
        <v>46</v>
      </c>
      <c r="G9">
        <v>440</v>
      </c>
      <c r="H9">
        <v>331</v>
      </c>
      <c r="I9" s="11">
        <f t="shared" si="2"/>
        <v>75.227272727272734</v>
      </c>
      <c r="J9">
        <v>2</v>
      </c>
      <c r="K9" t="s">
        <v>35</v>
      </c>
      <c r="L9">
        <v>1</v>
      </c>
      <c r="M9" t="s">
        <v>35</v>
      </c>
      <c r="N9">
        <v>9</v>
      </c>
      <c r="O9">
        <v>5</v>
      </c>
      <c r="P9">
        <v>6</v>
      </c>
      <c r="Q9">
        <v>4</v>
      </c>
      <c r="R9">
        <v>1</v>
      </c>
      <c r="S9">
        <v>0</v>
      </c>
      <c r="AB9" t="str">
        <f t="shared" si="0"/>
        <v>Normal</v>
      </c>
      <c r="AC9" t="str">
        <f t="shared" si="1"/>
        <v>Normal</v>
      </c>
    </row>
    <row r="10" spans="1:29" x14ac:dyDescent="0.25">
      <c r="A10" t="s">
        <v>31</v>
      </c>
      <c r="B10" s="2">
        <v>45522</v>
      </c>
      <c r="C10" t="s">
        <v>56</v>
      </c>
      <c r="D10" t="s">
        <v>57</v>
      </c>
      <c r="E10">
        <v>1</v>
      </c>
      <c r="F10">
        <v>48</v>
      </c>
      <c r="G10">
        <v>531</v>
      </c>
      <c r="H10">
        <v>461</v>
      </c>
      <c r="I10" s="11">
        <f t="shared" si="2"/>
        <v>86.817325800376636</v>
      </c>
      <c r="J10">
        <v>0</v>
      </c>
      <c r="K10" t="s">
        <v>40</v>
      </c>
      <c r="L10">
        <v>0</v>
      </c>
      <c r="M10" t="s">
        <v>40</v>
      </c>
      <c r="N10">
        <v>10</v>
      </c>
      <c r="O10">
        <v>3</v>
      </c>
      <c r="P10">
        <v>12</v>
      </c>
      <c r="Q10">
        <v>4</v>
      </c>
      <c r="R10">
        <v>1</v>
      </c>
      <c r="S10">
        <v>0</v>
      </c>
      <c r="AB10" t="str">
        <f t="shared" si="0"/>
        <v>Normal</v>
      </c>
      <c r="AC10" t="str">
        <f t="shared" si="1"/>
        <v>Normal</v>
      </c>
    </row>
    <row r="11" spans="1:29" x14ac:dyDescent="0.25">
      <c r="A11" t="s">
        <v>31</v>
      </c>
      <c r="B11" s="2">
        <v>45523</v>
      </c>
      <c r="C11" t="s">
        <v>32</v>
      </c>
      <c r="D11" t="s">
        <v>59</v>
      </c>
      <c r="E11">
        <v>1</v>
      </c>
      <c r="F11">
        <v>30</v>
      </c>
      <c r="G11">
        <v>313</v>
      </c>
      <c r="H11">
        <v>237</v>
      </c>
      <c r="I11" s="11">
        <f t="shared" si="2"/>
        <v>75.718849840255587</v>
      </c>
      <c r="J11">
        <v>1</v>
      </c>
      <c r="K11" t="s">
        <v>36</v>
      </c>
      <c r="L11">
        <v>0</v>
      </c>
      <c r="M11" t="s">
        <v>40</v>
      </c>
      <c r="N11">
        <v>7</v>
      </c>
      <c r="O11">
        <v>3</v>
      </c>
      <c r="P11">
        <v>11</v>
      </c>
      <c r="Q11">
        <v>2</v>
      </c>
      <c r="R11">
        <v>1</v>
      </c>
      <c r="S11">
        <v>0</v>
      </c>
      <c r="AB11" t="str">
        <f t="shared" si="0"/>
        <v>Normal</v>
      </c>
      <c r="AC11" t="str">
        <f t="shared" si="1"/>
        <v>Normal</v>
      </c>
    </row>
    <row r="12" spans="1:29" x14ac:dyDescent="0.25">
      <c r="A12" t="s">
        <v>31</v>
      </c>
      <c r="B12" s="2">
        <v>45528</v>
      </c>
      <c r="C12" t="s">
        <v>37</v>
      </c>
      <c r="D12" t="s">
        <v>45</v>
      </c>
      <c r="E12">
        <v>2.1</v>
      </c>
      <c r="F12">
        <v>48</v>
      </c>
      <c r="G12">
        <v>514</v>
      </c>
      <c r="H12">
        <v>435</v>
      </c>
      <c r="I12" s="11">
        <f t="shared" si="2"/>
        <v>84.630350194552534</v>
      </c>
      <c r="J12">
        <v>2</v>
      </c>
      <c r="K12" t="s">
        <v>35</v>
      </c>
      <c r="L12">
        <v>1</v>
      </c>
      <c r="M12" t="s">
        <v>35</v>
      </c>
      <c r="N12">
        <v>14</v>
      </c>
      <c r="O12">
        <v>5</v>
      </c>
      <c r="P12">
        <v>9</v>
      </c>
      <c r="Q12">
        <v>4</v>
      </c>
      <c r="R12">
        <v>1</v>
      </c>
      <c r="S12">
        <v>0</v>
      </c>
      <c r="AB12" t="str">
        <f t="shared" si="0"/>
        <v>Normal</v>
      </c>
      <c r="AC12" t="str">
        <f t="shared" si="1"/>
        <v>Normal</v>
      </c>
    </row>
    <row r="13" spans="1:29" x14ac:dyDescent="0.25">
      <c r="A13" t="s">
        <v>31</v>
      </c>
      <c r="B13" s="2">
        <v>45528</v>
      </c>
      <c r="C13" t="s">
        <v>41</v>
      </c>
      <c r="D13" t="s">
        <v>55</v>
      </c>
      <c r="E13">
        <v>1.3</v>
      </c>
      <c r="F13">
        <v>58</v>
      </c>
      <c r="G13">
        <v>596</v>
      </c>
      <c r="H13">
        <v>478</v>
      </c>
      <c r="I13" s="11">
        <f t="shared" si="2"/>
        <v>80.201342281879192</v>
      </c>
      <c r="J13">
        <v>0</v>
      </c>
      <c r="K13" t="s">
        <v>40</v>
      </c>
      <c r="L13">
        <v>0</v>
      </c>
      <c r="M13" t="s">
        <v>36</v>
      </c>
      <c r="N13">
        <v>14</v>
      </c>
      <c r="O13">
        <v>2</v>
      </c>
      <c r="P13">
        <v>9</v>
      </c>
      <c r="Q13">
        <v>3</v>
      </c>
      <c r="R13">
        <v>1</v>
      </c>
      <c r="S13">
        <v>0</v>
      </c>
      <c r="AB13" t="str">
        <f t="shared" si="0"/>
        <v>Normal</v>
      </c>
      <c r="AC13" t="str">
        <f t="shared" si="1"/>
        <v>Normal</v>
      </c>
    </row>
    <row r="14" spans="1:29" x14ac:dyDescent="0.25">
      <c r="A14" t="s">
        <v>31</v>
      </c>
      <c r="B14" s="2">
        <v>45528</v>
      </c>
      <c r="C14" t="s">
        <v>41</v>
      </c>
      <c r="D14" t="s">
        <v>34</v>
      </c>
      <c r="E14">
        <v>1.8</v>
      </c>
      <c r="F14">
        <v>54</v>
      </c>
      <c r="G14">
        <v>582</v>
      </c>
      <c r="H14">
        <v>489</v>
      </c>
      <c r="I14" s="11">
        <f t="shared" si="2"/>
        <v>84.020618556701038</v>
      </c>
      <c r="J14">
        <v>2</v>
      </c>
      <c r="K14" t="s">
        <v>35</v>
      </c>
      <c r="L14">
        <v>1</v>
      </c>
      <c r="M14" t="s">
        <v>36</v>
      </c>
      <c r="N14">
        <v>18</v>
      </c>
      <c r="O14">
        <v>6</v>
      </c>
      <c r="P14">
        <v>14</v>
      </c>
      <c r="Q14">
        <v>7</v>
      </c>
      <c r="R14">
        <v>2</v>
      </c>
      <c r="S14">
        <v>0</v>
      </c>
      <c r="AB14" t="str">
        <f t="shared" si="0"/>
        <v>Normal</v>
      </c>
      <c r="AC14" t="str">
        <f t="shared" si="1"/>
        <v>Normal</v>
      </c>
    </row>
    <row r="15" spans="1:29" x14ac:dyDescent="0.25">
      <c r="A15" t="s">
        <v>31</v>
      </c>
      <c r="B15" s="2">
        <v>45528</v>
      </c>
      <c r="C15" t="s">
        <v>41</v>
      </c>
      <c r="D15" t="s">
        <v>58</v>
      </c>
      <c r="E15">
        <v>3.3</v>
      </c>
      <c r="F15">
        <v>75</v>
      </c>
      <c r="G15">
        <v>796</v>
      </c>
      <c r="H15">
        <v>726</v>
      </c>
      <c r="I15" s="11">
        <f t="shared" si="2"/>
        <v>91.206030150753776</v>
      </c>
      <c r="J15">
        <v>4</v>
      </c>
      <c r="K15" t="s">
        <v>35</v>
      </c>
      <c r="L15">
        <v>3</v>
      </c>
      <c r="M15" t="s">
        <v>35</v>
      </c>
      <c r="N15">
        <v>14</v>
      </c>
      <c r="O15">
        <v>5</v>
      </c>
      <c r="P15">
        <v>4</v>
      </c>
      <c r="Q15">
        <v>10</v>
      </c>
      <c r="R15">
        <v>2</v>
      </c>
      <c r="S15">
        <v>0</v>
      </c>
      <c r="AB15" t="str">
        <f t="shared" si="0"/>
        <v>Normal</v>
      </c>
      <c r="AC15" t="str">
        <f t="shared" si="1"/>
        <v>Normal</v>
      </c>
    </row>
    <row r="16" spans="1:29" x14ac:dyDescent="0.25">
      <c r="A16" t="s">
        <v>31</v>
      </c>
      <c r="B16" s="2">
        <v>45528</v>
      </c>
      <c r="C16" t="s">
        <v>41</v>
      </c>
      <c r="D16" t="s">
        <v>47</v>
      </c>
      <c r="E16">
        <v>0.1</v>
      </c>
      <c r="F16">
        <v>64</v>
      </c>
      <c r="G16">
        <v>691</v>
      </c>
      <c r="H16">
        <v>618</v>
      </c>
      <c r="I16" s="11">
        <f t="shared" si="2"/>
        <v>89.435600578871203</v>
      </c>
      <c r="J16">
        <v>0</v>
      </c>
      <c r="K16" t="s">
        <v>40</v>
      </c>
      <c r="L16">
        <v>0</v>
      </c>
      <c r="M16" t="s">
        <v>36</v>
      </c>
      <c r="N16">
        <v>5</v>
      </c>
      <c r="O16">
        <v>1</v>
      </c>
      <c r="P16">
        <v>14</v>
      </c>
      <c r="Q16">
        <v>4</v>
      </c>
      <c r="R16">
        <v>3</v>
      </c>
      <c r="S16">
        <v>0</v>
      </c>
      <c r="AB16" t="str">
        <f t="shared" si="0"/>
        <v>Normal</v>
      </c>
      <c r="AC16" t="str">
        <f t="shared" si="1"/>
        <v>Normal</v>
      </c>
    </row>
    <row r="17" spans="1:29" x14ac:dyDescent="0.25">
      <c r="A17" t="s">
        <v>31</v>
      </c>
      <c r="B17" s="2">
        <v>45528</v>
      </c>
      <c r="C17" t="s">
        <v>41</v>
      </c>
      <c r="D17" t="s">
        <v>60</v>
      </c>
      <c r="E17">
        <v>2.4</v>
      </c>
      <c r="F17">
        <v>70</v>
      </c>
      <c r="G17">
        <v>658</v>
      </c>
      <c r="H17">
        <v>574</v>
      </c>
      <c r="I17" s="11">
        <f t="shared" si="2"/>
        <v>87.2340425531915</v>
      </c>
      <c r="J17">
        <v>4</v>
      </c>
      <c r="K17" t="s">
        <v>35</v>
      </c>
      <c r="L17">
        <v>2</v>
      </c>
      <c r="M17" t="s">
        <v>35</v>
      </c>
      <c r="N17">
        <v>13</v>
      </c>
      <c r="O17">
        <v>7</v>
      </c>
      <c r="P17">
        <v>11</v>
      </c>
      <c r="Q17">
        <v>12</v>
      </c>
      <c r="R17">
        <v>0</v>
      </c>
      <c r="S17">
        <v>0</v>
      </c>
      <c r="AB17" t="str">
        <f t="shared" si="0"/>
        <v>Normal</v>
      </c>
      <c r="AC17" t="str">
        <f t="shared" si="1"/>
        <v>Normal</v>
      </c>
    </row>
    <row r="18" spans="1:29" x14ac:dyDescent="0.25">
      <c r="A18" t="s">
        <v>31</v>
      </c>
      <c r="B18" s="2">
        <v>45528</v>
      </c>
      <c r="C18" t="s">
        <v>50</v>
      </c>
      <c r="D18" t="s">
        <v>52</v>
      </c>
      <c r="E18">
        <v>1.2</v>
      </c>
      <c r="F18">
        <v>40</v>
      </c>
      <c r="G18">
        <v>358</v>
      </c>
      <c r="H18">
        <v>287</v>
      </c>
      <c r="I18" s="11">
        <f t="shared" si="2"/>
        <v>80.167597765363126</v>
      </c>
      <c r="J18">
        <v>0</v>
      </c>
      <c r="K18" t="s">
        <v>40</v>
      </c>
      <c r="L18">
        <v>0</v>
      </c>
      <c r="M18" t="s">
        <v>36</v>
      </c>
      <c r="N18">
        <v>11</v>
      </c>
      <c r="O18">
        <v>3</v>
      </c>
      <c r="P18">
        <v>8</v>
      </c>
      <c r="Q18">
        <v>4</v>
      </c>
      <c r="R18">
        <v>1</v>
      </c>
      <c r="S18">
        <v>0</v>
      </c>
      <c r="AB18" t="str">
        <f t="shared" si="0"/>
        <v>Normal</v>
      </c>
      <c r="AC18" t="str">
        <f t="shared" si="1"/>
        <v>Normal</v>
      </c>
    </row>
    <row r="19" spans="1:29" x14ac:dyDescent="0.25">
      <c r="A19" t="s">
        <v>31</v>
      </c>
      <c r="B19" s="2">
        <v>45529</v>
      </c>
      <c r="C19" t="s">
        <v>53</v>
      </c>
      <c r="D19" t="s">
        <v>49</v>
      </c>
      <c r="E19">
        <v>2.2000000000000002</v>
      </c>
      <c r="F19">
        <v>39</v>
      </c>
      <c r="G19">
        <v>359</v>
      </c>
      <c r="H19">
        <v>263</v>
      </c>
      <c r="I19" s="11">
        <f t="shared" si="2"/>
        <v>73.259052924791092</v>
      </c>
      <c r="J19">
        <v>1</v>
      </c>
      <c r="K19" t="s">
        <v>36</v>
      </c>
      <c r="L19">
        <v>1</v>
      </c>
      <c r="M19" t="s">
        <v>35</v>
      </c>
      <c r="N19">
        <v>16</v>
      </c>
      <c r="O19">
        <v>4</v>
      </c>
      <c r="P19">
        <v>19</v>
      </c>
      <c r="Q19">
        <v>8</v>
      </c>
      <c r="R19">
        <v>2</v>
      </c>
      <c r="S19">
        <v>0</v>
      </c>
      <c r="AB19" t="str">
        <f t="shared" si="0"/>
        <v>Normal</v>
      </c>
      <c r="AC19" t="str">
        <f t="shared" si="1"/>
        <v>Normal</v>
      </c>
    </row>
    <row r="20" spans="1:29" x14ac:dyDescent="0.25">
      <c r="A20" t="s">
        <v>31</v>
      </c>
      <c r="B20" s="2">
        <v>45529</v>
      </c>
      <c r="C20" t="s">
        <v>53</v>
      </c>
      <c r="D20" t="s">
        <v>43</v>
      </c>
      <c r="E20">
        <v>1.9</v>
      </c>
      <c r="F20">
        <v>40</v>
      </c>
      <c r="G20">
        <v>357</v>
      </c>
      <c r="H20">
        <v>272</v>
      </c>
      <c r="I20" s="11">
        <f t="shared" si="2"/>
        <v>76.19047619047619</v>
      </c>
      <c r="J20">
        <v>2</v>
      </c>
      <c r="K20" t="s">
        <v>40</v>
      </c>
      <c r="L20">
        <v>2</v>
      </c>
      <c r="M20" t="s">
        <v>36</v>
      </c>
      <c r="N20">
        <v>12</v>
      </c>
      <c r="O20">
        <v>4</v>
      </c>
      <c r="P20">
        <v>13</v>
      </c>
      <c r="Q20">
        <v>5</v>
      </c>
      <c r="R20">
        <v>2</v>
      </c>
      <c r="S20">
        <v>0</v>
      </c>
      <c r="AB20" t="str">
        <f t="shared" si="0"/>
        <v>Normal</v>
      </c>
      <c r="AC20" t="str">
        <f t="shared" si="1"/>
        <v>Normal</v>
      </c>
    </row>
    <row r="21" spans="1:29" x14ac:dyDescent="0.25">
      <c r="A21" t="s">
        <v>31</v>
      </c>
      <c r="B21" s="2">
        <v>45529</v>
      </c>
      <c r="C21" t="s">
        <v>56</v>
      </c>
      <c r="D21" t="s">
        <v>39</v>
      </c>
      <c r="E21">
        <v>2.5</v>
      </c>
      <c r="F21">
        <v>62</v>
      </c>
      <c r="G21">
        <v>638</v>
      </c>
      <c r="H21">
        <v>571</v>
      </c>
      <c r="I21" s="11">
        <f t="shared" si="2"/>
        <v>89.498432601880879</v>
      </c>
      <c r="J21">
        <v>2</v>
      </c>
      <c r="K21" t="s">
        <v>35</v>
      </c>
      <c r="L21">
        <v>1</v>
      </c>
      <c r="M21" t="s">
        <v>35</v>
      </c>
      <c r="N21">
        <v>19</v>
      </c>
      <c r="O21">
        <v>8</v>
      </c>
      <c r="P21">
        <v>10</v>
      </c>
      <c r="Q21">
        <v>9</v>
      </c>
      <c r="R21">
        <v>2</v>
      </c>
      <c r="S21">
        <v>0</v>
      </c>
      <c r="AB21" t="str">
        <f t="shared" si="0"/>
        <v>Normal</v>
      </c>
      <c r="AC21" t="str">
        <f t="shared" si="1"/>
        <v>Normal</v>
      </c>
    </row>
    <row r="22" spans="1:29" x14ac:dyDescent="0.25">
      <c r="A22" t="s">
        <v>31</v>
      </c>
      <c r="B22" s="2">
        <v>45535</v>
      </c>
      <c r="C22" t="s">
        <v>37</v>
      </c>
      <c r="D22" t="s">
        <v>42</v>
      </c>
      <c r="E22">
        <v>2.1</v>
      </c>
      <c r="F22">
        <v>36</v>
      </c>
      <c r="G22">
        <v>296</v>
      </c>
      <c r="H22">
        <v>215</v>
      </c>
      <c r="I22" s="11">
        <f t="shared" si="2"/>
        <v>72.63513513513513</v>
      </c>
      <c r="J22">
        <v>1</v>
      </c>
      <c r="K22" t="s">
        <v>36</v>
      </c>
      <c r="L22">
        <v>1</v>
      </c>
      <c r="M22" t="s">
        <v>35</v>
      </c>
      <c r="N22">
        <v>11</v>
      </c>
      <c r="O22">
        <v>7</v>
      </c>
      <c r="P22">
        <v>12</v>
      </c>
      <c r="Q22">
        <v>3</v>
      </c>
      <c r="R22">
        <v>3</v>
      </c>
      <c r="S22">
        <v>1</v>
      </c>
      <c r="AB22" t="str">
        <f t="shared" si="0"/>
        <v>Normal</v>
      </c>
      <c r="AC22" t="str">
        <f t="shared" si="1"/>
        <v>Normal</v>
      </c>
    </row>
    <row r="23" spans="1:29" x14ac:dyDescent="0.25">
      <c r="A23" t="s">
        <v>31</v>
      </c>
      <c r="B23" s="2">
        <v>45535</v>
      </c>
      <c r="C23" t="s">
        <v>41</v>
      </c>
      <c r="D23" t="s">
        <v>54</v>
      </c>
      <c r="E23">
        <v>2.8</v>
      </c>
      <c r="F23">
        <v>37</v>
      </c>
      <c r="G23">
        <v>398</v>
      </c>
      <c r="H23">
        <v>331</v>
      </c>
      <c r="I23" s="11">
        <f t="shared" si="2"/>
        <v>83.165829145728637</v>
      </c>
      <c r="J23">
        <v>3</v>
      </c>
      <c r="K23" t="s">
        <v>35</v>
      </c>
      <c r="L23">
        <v>1</v>
      </c>
      <c r="M23" t="s">
        <v>35</v>
      </c>
      <c r="N23">
        <v>20</v>
      </c>
      <c r="O23">
        <v>7</v>
      </c>
      <c r="P23">
        <v>10</v>
      </c>
      <c r="Q23">
        <v>2</v>
      </c>
      <c r="R23">
        <v>2</v>
      </c>
      <c r="S23">
        <v>0</v>
      </c>
      <c r="AB23" t="str">
        <f t="shared" si="0"/>
        <v>Normal</v>
      </c>
      <c r="AC23" t="str">
        <f t="shared" si="1"/>
        <v>Normal</v>
      </c>
    </row>
    <row r="24" spans="1:29" x14ac:dyDescent="0.25">
      <c r="A24" t="s">
        <v>31</v>
      </c>
      <c r="B24" s="2">
        <v>45535</v>
      </c>
      <c r="C24" t="s">
        <v>41</v>
      </c>
      <c r="D24" t="s">
        <v>44</v>
      </c>
      <c r="E24">
        <v>1.8</v>
      </c>
      <c r="F24">
        <v>47</v>
      </c>
      <c r="G24">
        <v>393</v>
      </c>
      <c r="H24">
        <v>280</v>
      </c>
      <c r="I24" s="11">
        <f t="shared" si="2"/>
        <v>71.246819338422398</v>
      </c>
      <c r="J24">
        <v>2</v>
      </c>
      <c r="K24" t="s">
        <v>40</v>
      </c>
      <c r="L24">
        <v>0</v>
      </c>
      <c r="M24" t="s">
        <v>36</v>
      </c>
      <c r="N24">
        <v>18</v>
      </c>
      <c r="O24">
        <v>8</v>
      </c>
      <c r="P24">
        <v>6</v>
      </c>
      <c r="Q24">
        <v>8</v>
      </c>
      <c r="R24">
        <v>2</v>
      </c>
      <c r="S24">
        <v>0</v>
      </c>
      <c r="AB24" t="str">
        <f t="shared" si="0"/>
        <v>Normal</v>
      </c>
      <c r="AC24" t="str">
        <f t="shared" si="1"/>
        <v>Normal</v>
      </c>
    </row>
    <row r="25" spans="1:29" x14ac:dyDescent="0.25">
      <c r="A25" t="s">
        <v>31</v>
      </c>
      <c r="B25" s="2">
        <v>45535</v>
      </c>
      <c r="C25" t="s">
        <v>41</v>
      </c>
      <c r="D25" t="s">
        <v>38</v>
      </c>
      <c r="E25">
        <v>0.4</v>
      </c>
      <c r="F25">
        <v>48</v>
      </c>
      <c r="G25">
        <v>434</v>
      </c>
      <c r="H25">
        <v>360</v>
      </c>
      <c r="I25" s="11">
        <f t="shared" si="2"/>
        <v>82.94930875576037</v>
      </c>
      <c r="J25">
        <v>1</v>
      </c>
      <c r="K25" t="s">
        <v>36</v>
      </c>
      <c r="L25">
        <v>1</v>
      </c>
      <c r="M25" t="s">
        <v>36</v>
      </c>
      <c r="N25">
        <v>11</v>
      </c>
      <c r="O25">
        <v>4</v>
      </c>
      <c r="P25">
        <v>15</v>
      </c>
      <c r="Q25">
        <v>8</v>
      </c>
      <c r="R25">
        <v>2</v>
      </c>
      <c r="S25">
        <v>0</v>
      </c>
      <c r="AB25" t="str">
        <f t="shared" si="0"/>
        <v>Normal</v>
      </c>
      <c r="AC25" t="str">
        <f t="shared" si="1"/>
        <v>Normal</v>
      </c>
    </row>
    <row r="26" spans="1:29" x14ac:dyDescent="0.25">
      <c r="A26" t="s">
        <v>31</v>
      </c>
      <c r="B26" s="2">
        <v>45535</v>
      </c>
      <c r="C26" t="s">
        <v>41</v>
      </c>
      <c r="D26" t="s">
        <v>59</v>
      </c>
      <c r="E26">
        <v>0.4</v>
      </c>
      <c r="F26">
        <v>57</v>
      </c>
      <c r="G26">
        <v>545</v>
      </c>
      <c r="H26">
        <v>471</v>
      </c>
      <c r="I26" s="11">
        <f t="shared" si="2"/>
        <v>86.422018348623851</v>
      </c>
      <c r="J26">
        <v>1</v>
      </c>
      <c r="K26" t="s">
        <v>40</v>
      </c>
      <c r="L26">
        <v>0</v>
      </c>
      <c r="M26" t="s">
        <v>40</v>
      </c>
      <c r="N26">
        <v>9</v>
      </c>
      <c r="O26">
        <v>3</v>
      </c>
      <c r="P26">
        <v>13</v>
      </c>
      <c r="Q26">
        <v>1</v>
      </c>
      <c r="R26">
        <v>4</v>
      </c>
      <c r="S26">
        <v>0</v>
      </c>
      <c r="AB26" t="str">
        <f t="shared" si="0"/>
        <v>Normal</v>
      </c>
      <c r="AC26" t="str">
        <f t="shared" si="1"/>
        <v>Normal</v>
      </c>
    </row>
    <row r="27" spans="1:29" x14ac:dyDescent="0.25">
      <c r="A27" t="s">
        <v>31</v>
      </c>
      <c r="B27" s="2">
        <v>45535</v>
      </c>
      <c r="C27" t="s">
        <v>41</v>
      </c>
      <c r="D27" t="s">
        <v>48</v>
      </c>
      <c r="E27">
        <v>1</v>
      </c>
      <c r="F27">
        <v>52</v>
      </c>
      <c r="G27">
        <v>412</v>
      </c>
      <c r="H27">
        <v>312</v>
      </c>
      <c r="I27" s="11">
        <f t="shared" si="2"/>
        <v>75.728155339805824</v>
      </c>
      <c r="J27">
        <v>1</v>
      </c>
      <c r="K27" t="s">
        <v>36</v>
      </c>
      <c r="L27">
        <v>1</v>
      </c>
      <c r="M27" t="s">
        <v>36</v>
      </c>
      <c r="N27">
        <v>16</v>
      </c>
      <c r="O27">
        <v>5</v>
      </c>
      <c r="P27">
        <v>15</v>
      </c>
      <c r="Q27">
        <v>7</v>
      </c>
      <c r="R27">
        <v>3</v>
      </c>
      <c r="S27">
        <v>0</v>
      </c>
      <c r="AB27" t="str">
        <f t="shared" si="0"/>
        <v>Normal</v>
      </c>
      <c r="AC27" t="str">
        <f t="shared" si="1"/>
        <v>Normal</v>
      </c>
    </row>
    <row r="28" spans="1:29" x14ac:dyDescent="0.25">
      <c r="A28" t="s">
        <v>31</v>
      </c>
      <c r="B28" s="2">
        <v>45535</v>
      </c>
      <c r="C28" t="s">
        <v>50</v>
      </c>
      <c r="D28" t="s">
        <v>51</v>
      </c>
      <c r="E28">
        <v>0.7</v>
      </c>
      <c r="F28">
        <v>33</v>
      </c>
      <c r="G28">
        <v>379</v>
      </c>
      <c r="H28">
        <v>310</v>
      </c>
      <c r="I28" s="11">
        <f t="shared" si="2"/>
        <v>81.794195250659627</v>
      </c>
      <c r="J28">
        <v>1</v>
      </c>
      <c r="K28" t="s">
        <v>40</v>
      </c>
      <c r="L28">
        <v>1</v>
      </c>
      <c r="M28" t="s">
        <v>40</v>
      </c>
      <c r="N28">
        <v>10</v>
      </c>
      <c r="O28">
        <v>2</v>
      </c>
      <c r="P28">
        <v>10</v>
      </c>
      <c r="Q28">
        <v>3</v>
      </c>
      <c r="R28">
        <v>3</v>
      </c>
      <c r="S28">
        <v>0</v>
      </c>
      <c r="AB28" t="str">
        <f t="shared" si="0"/>
        <v>Normal</v>
      </c>
      <c r="AC28" t="str">
        <f t="shared" si="1"/>
        <v>Normal</v>
      </c>
    </row>
    <row r="29" spans="1:29" x14ac:dyDescent="0.25">
      <c r="A29" t="s">
        <v>31</v>
      </c>
      <c r="B29" s="2">
        <v>45536</v>
      </c>
      <c r="C29" t="s">
        <v>61</v>
      </c>
      <c r="D29" t="s">
        <v>57</v>
      </c>
      <c r="E29">
        <v>2.4</v>
      </c>
      <c r="F29">
        <v>62</v>
      </c>
      <c r="G29">
        <v>628</v>
      </c>
      <c r="H29">
        <v>553</v>
      </c>
      <c r="I29" s="11">
        <f t="shared" si="2"/>
        <v>88.057324840764323</v>
      </c>
      <c r="J29">
        <v>1</v>
      </c>
      <c r="K29" t="s">
        <v>36</v>
      </c>
      <c r="L29">
        <v>1</v>
      </c>
      <c r="M29" t="s">
        <v>35</v>
      </c>
      <c r="N29">
        <v>13</v>
      </c>
      <c r="O29">
        <v>7</v>
      </c>
      <c r="P29">
        <v>9</v>
      </c>
      <c r="Q29">
        <v>4</v>
      </c>
      <c r="R29">
        <v>4</v>
      </c>
      <c r="S29">
        <v>0</v>
      </c>
      <c r="AB29" t="str">
        <f t="shared" si="0"/>
        <v>Normal</v>
      </c>
      <c r="AC29" t="str">
        <f t="shared" si="1"/>
        <v>Normal</v>
      </c>
    </row>
    <row r="30" spans="1:29" x14ac:dyDescent="0.25">
      <c r="A30" t="s">
        <v>31</v>
      </c>
      <c r="B30" s="2">
        <v>45536</v>
      </c>
      <c r="C30" t="s">
        <v>61</v>
      </c>
      <c r="D30" t="s">
        <v>46</v>
      </c>
      <c r="E30">
        <v>1.8</v>
      </c>
      <c r="F30">
        <v>35</v>
      </c>
      <c r="G30">
        <v>296</v>
      </c>
      <c r="H30">
        <v>207</v>
      </c>
      <c r="I30" s="11">
        <f t="shared" si="2"/>
        <v>69.932432432432435</v>
      </c>
      <c r="J30">
        <v>2</v>
      </c>
      <c r="K30" t="s">
        <v>35</v>
      </c>
      <c r="L30">
        <v>1</v>
      </c>
      <c r="M30" t="s">
        <v>35</v>
      </c>
      <c r="N30">
        <v>9</v>
      </c>
      <c r="O30">
        <v>3</v>
      </c>
      <c r="P30">
        <v>16</v>
      </c>
      <c r="Q30">
        <v>7</v>
      </c>
      <c r="R30">
        <v>4</v>
      </c>
      <c r="S30">
        <v>0</v>
      </c>
      <c r="AB30" t="str">
        <f t="shared" si="0"/>
        <v>Normal</v>
      </c>
      <c r="AC30" t="str">
        <f t="shared" si="1"/>
        <v>Normal</v>
      </c>
    </row>
    <row r="31" spans="1:29" x14ac:dyDescent="0.25">
      <c r="A31" t="s">
        <v>31</v>
      </c>
      <c r="B31" s="2">
        <v>45536</v>
      </c>
      <c r="C31" t="s">
        <v>62</v>
      </c>
      <c r="D31" t="s">
        <v>33</v>
      </c>
      <c r="E31">
        <v>1.4</v>
      </c>
      <c r="F31">
        <v>53</v>
      </c>
      <c r="G31">
        <v>556</v>
      </c>
      <c r="H31">
        <v>453</v>
      </c>
      <c r="I31" s="11">
        <f t="shared" si="2"/>
        <v>81.474820143884898</v>
      </c>
      <c r="J31">
        <v>0</v>
      </c>
      <c r="K31" t="s">
        <v>40</v>
      </c>
      <c r="L31">
        <v>0</v>
      </c>
      <c r="M31" t="s">
        <v>40</v>
      </c>
      <c r="N31">
        <v>8</v>
      </c>
      <c r="O31">
        <v>3</v>
      </c>
      <c r="P31">
        <v>7</v>
      </c>
      <c r="Q31">
        <v>5</v>
      </c>
      <c r="R31">
        <v>4</v>
      </c>
      <c r="S31">
        <v>0</v>
      </c>
      <c r="AB31" t="str">
        <f t="shared" si="0"/>
        <v>Normal</v>
      </c>
      <c r="AC31" t="str">
        <f t="shared" si="1"/>
        <v>Normal</v>
      </c>
    </row>
    <row r="32" spans="1:29" x14ac:dyDescent="0.25">
      <c r="A32" t="s">
        <v>31</v>
      </c>
      <c r="B32" s="2">
        <v>45549</v>
      </c>
      <c r="C32" t="s">
        <v>37</v>
      </c>
      <c r="D32" t="s">
        <v>47</v>
      </c>
      <c r="E32">
        <v>1.1000000000000001</v>
      </c>
      <c r="F32">
        <v>44</v>
      </c>
      <c r="G32">
        <v>505</v>
      </c>
      <c r="H32">
        <v>439</v>
      </c>
      <c r="I32" s="11">
        <f t="shared" si="2"/>
        <v>86.930693069306926</v>
      </c>
      <c r="J32">
        <v>0</v>
      </c>
      <c r="K32" t="s">
        <v>40</v>
      </c>
      <c r="L32">
        <v>0</v>
      </c>
      <c r="M32" t="s">
        <v>40</v>
      </c>
      <c r="N32">
        <v>6</v>
      </c>
      <c r="O32">
        <v>4</v>
      </c>
      <c r="P32">
        <v>11</v>
      </c>
      <c r="Q32">
        <v>0</v>
      </c>
      <c r="R32">
        <v>1</v>
      </c>
      <c r="S32">
        <v>1</v>
      </c>
      <c r="AB32" t="str">
        <f t="shared" si="0"/>
        <v>Normal</v>
      </c>
      <c r="AC32" t="str">
        <f t="shared" si="1"/>
        <v>Normal</v>
      </c>
    </row>
    <row r="33" spans="1:29" x14ac:dyDescent="0.25">
      <c r="A33" t="s">
        <v>31</v>
      </c>
      <c r="B33" s="2">
        <v>45549</v>
      </c>
      <c r="C33" t="s">
        <v>41</v>
      </c>
      <c r="D33" t="s">
        <v>45</v>
      </c>
      <c r="E33">
        <v>1.6</v>
      </c>
      <c r="F33">
        <v>68</v>
      </c>
      <c r="G33">
        <v>617</v>
      </c>
      <c r="H33">
        <v>512</v>
      </c>
      <c r="I33" s="11">
        <f t="shared" si="2"/>
        <v>82.982171799027554</v>
      </c>
      <c r="J33">
        <v>0</v>
      </c>
      <c r="K33" t="s">
        <v>36</v>
      </c>
      <c r="L33">
        <v>0</v>
      </c>
      <c r="M33" t="s">
        <v>36</v>
      </c>
      <c r="N33">
        <v>21</v>
      </c>
      <c r="O33">
        <v>6</v>
      </c>
      <c r="P33">
        <v>14</v>
      </c>
      <c r="Q33">
        <v>9</v>
      </c>
      <c r="R33">
        <v>4</v>
      </c>
      <c r="S33">
        <v>0</v>
      </c>
      <c r="AB33" t="str">
        <f t="shared" si="0"/>
        <v>Normal</v>
      </c>
      <c r="AC33" t="str">
        <f t="shared" si="1"/>
        <v>Normal</v>
      </c>
    </row>
    <row r="34" spans="1:29" x14ac:dyDescent="0.25">
      <c r="A34" t="s">
        <v>31</v>
      </c>
      <c r="B34" s="2">
        <v>45549</v>
      </c>
      <c r="C34" t="s">
        <v>41</v>
      </c>
      <c r="D34" t="s">
        <v>55</v>
      </c>
      <c r="E34">
        <v>2.5</v>
      </c>
      <c r="F34">
        <v>66</v>
      </c>
      <c r="G34">
        <v>652</v>
      </c>
      <c r="H34">
        <v>533</v>
      </c>
      <c r="I34" s="11">
        <f t="shared" si="2"/>
        <v>81.748466257668724</v>
      </c>
      <c r="J34">
        <v>2</v>
      </c>
      <c r="K34" t="s">
        <v>36</v>
      </c>
      <c r="L34">
        <v>0</v>
      </c>
      <c r="M34" t="s">
        <v>40</v>
      </c>
      <c r="N34">
        <v>20</v>
      </c>
      <c r="O34">
        <v>4</v>
      </c>
      <c r="P34">
        <v>11</v>
      </c>
      <c r="Q34">
        <v>5</v>
      </c>
      <c r="R34">
        <v>0</v>
      </c>
      <c r="S34">
        <v>0</v>
      </c>
      <c r="AB34" t="str">
        <f t="shared" si="0"/>
        <v>Normal</v>
      </c>
      <c r="AC34" t="str">
        <f t="shared" si="1"/>
        <v>Normal</v>
      </c>
    </row>
    <row r="35" spans="1:29" x14ac:dyDescent="0.25">
      <c r="A35" t="s">
        <v>31</v>
      </c>
      <c r="B35" s="2">
        <v>45549</v>
      </c>
      <c r="C35" t="s">
        <v>41</v>
      </c>
      <c r="D35" t="s">
        <v>34</v>
      </c>
      <c r="E35">
        <v>1.5</v>
      </c>
      <c r="F35">
        <v>54</v>
      </c>
      <c r="G35">
        <v>451</v>
      </c>
      <c r="H35">
        <v>351</v>
      </c>
      <c r="I35" s="11">
        <f t="shared" si="2"/>
        <v>77.827050997782706</v>
      </c>
      <c r="J35">
        <v>1</v>
      </c>
      <c r="K35" t="s">
        <v>36</v>
      </c>
      <c r="L35">
        <v>1</v>
      </c>
      <c r="M35" t="s">
        <v>35</v>
      </c>
      <c r="N35">
        <v>21</v>
      </c>
      <c r="O35">
        <v>5</v>
      </c>
      <c r="P35">
        <v>15</v>
      </c>
      <c r="Q35">
        <v>3</v>
      </c>
      <c r="R35">
        <v>2</v>
      </c>
      <c r="S35">
        <v>0</v>
      </c>
      <c r="AB35" t="str">
        <f t="shared" si="0"/>
        <v>Normal</v>
      </c>
      <c r="AC35" t="str">
        <f t="shared" si="1"/>
        <v>Normal</v>
      </c>
    </row>
    <row r="36" spans="1:29" x14ac:dyDescent="0.25">
      <c r="A36" t="s">
        <v>31</v>
      </c>
      <c r="B36" s="2">
        <v>45549</v>
      </c>
      <c r="C36" t="s">
        <v>41</v>
      </c>
      <c r="D36" t="s">
        <v>39</v>
      </c>
      <c r="E36">
        <v>0.9</v>
      </c>
      <c r="F36">
        <v>68</v>
      </c>
      <c r="G36">
        <v>654</v>
      </c>
      <c r="H36">
        <v>542</v>
      </c>
      <c r="I36" s="11">
        <f t="shared" si="2"/>
        <v>82.874617737003049</v>
      </c>
      <c r="J36">
        <v>0</v>
      </c>
      <c r="K36" t="s">
        <v>40</v>
      </c>
      <c r="L36">
        <v>0</v>
      </c>
      <c r="M36" t="s">
        <v>36</v>
      </c>
      <c r="N36">
        <v>14</v>
      </c>
      <c r="O36">
        <v>5</v>
      </c>
      <c r="P36">
        <v>15</v>
      </c>
      <c r="Q36">
        <v>7</v>
      </c>
      <c r="R36">
        <v>4</v>
      </c>
      <c r="S36">
        <v>0</v>
      </c>
      <c r="AB36" t="str">
        <f t="shared" si="0"/>
        <v>Normal</v>
      </c>
      <c r="AC36" t="str">
        <f t="shared" si="1"/>
        <v>Normal</v>
      </c>
    </row>
    <row r="37" spans="1:29" x14ac:dyDescent="0.25">
      <c r="A37" t="s">
        <v>31</v>
      </c>
      <c r="B37" s="2">
        <v>45549</v>
      </c>
      <c r="C37" t="s">
        <v>41</v>
      </c>
      <c r="D37" t="s">
        <v>58</v>
      </c>
      <c r="E37">
        <v>2.1</v>
      </c>
      <c r="F37">
        <v>54</v>
      </c>
      <c r="G37">
        <v>581</v>
      </c>
      <c r="H37">
        <v>507</v>
      </c>
      <c r="I37" s="11">
        <f t="shared" si="2"/>
        <v>87.263339070567994</v>
      </c>
      <c r="J37">
        <v>2</v>
      </c>
      <c r="K37" t="s">
        <v>35</v>
      </c>
      <c r="L37">
        <v>2</v>
      </c>
      <c r="M37" t="s">
        <v>35</v>
      </c>
      <c r="N37">
        <v>18</v>
      </c>
      <c r="O37">
        <v>7</v>
      </c>
      <c r="P37">
        <v>9</v>
      </c>
      <c r="Q37">
        <v>12</v>
      </c>
      <c r="R37">
        <v>3</v>
      </c>
      <c r="S37">
        <v>0</v>
      </c>
      <c r="AB37" t="str">
        <f t="shared" si="0"/>
        <v>Normal</v>
      </c>
      <c r="AC37" t="str">
        <f t="shared" si="1"/>
        <v>Normal</v>
      </c>
    </row>
    <row r="38" spans="1:29" x14ac:dyDescent="0.25">
      <c r="A38" t="s">
        <v>31</v>
      </c>
      <c r="B38" s="2">
        <v>45549</v>
      </c>
      <c r="C38" t="s">
        <v>50</v>
      </c>
      <c r="D38" t="s">
        <v>52</v>
      </c>
      <c r="E38">
        <v>2.1</v>
      </c>
      <c r="F38">
        <v>72</v>
      </c>
      <c r="G38">
        <v>709</v>
      </c>
      <c r="H38">
        <v>628</v>
      </c>
      <c r="I38" s="11">
        <f t="shared" si="2"/>
        <v>88.575458392101552</v>
      </c>
      <c r="J38">
        <v>3</v>
      </c>
      <c r="K38" t="s">
        <v>35</v>
      </c>
      <c r="L38">
        <v>1</v>
      </c>
      <c r="M38" t="s">
        <v>40</v>
      </c>
      <c r="N38">
        <v>17</v>
      </c>
      <c r="O38">
        <v>8</v>
      </c>
      <c r="P38">
        <v>10</v>
      </c>
      <c r="Q38">
        <v>6</v>
      </c>
      <c r="R38">
        <v>1</v>
      </c>
      <c r="S38">
        <v>0</v>
      </c>
      <c r="AB38" t="str">
        <f t="shared" si="0"/>
        <v>Normal</v>
      </c>
      <c r="AC38" t="str">
        <f t="shared" si="1"/>
        <v>Normal</v>
      </c>
    </row>
    <row r="39" spans="1:29" x14ac:dyDescent="0.25">
      <c r="A39" t="s">
        <v>31</v>
      </c>
      <c r="B39" s="2">
        <v>45549</v>
      </c>
      <c r="C39" t="s">
        <v>32</v>
      </c>
      <c r="D39" t="s">
        <v>49</v>
      </c>
      <c r="E39">
        <v>1.7</v>
      </c>
      <c r="F39">
        <v>34</v>
      </c>
      <c r="G39">
        <v>317</v>
      </c>
      <c r="H39">
        <v>214</v>
      </c>
      <c r="I39" s="11">
        <f t="shared" si="2"/>
        <v>67.50788643533123</v>
      </c>
      <c r="J39">
        <v>0</v>
      </c>
      <c r="K39" t="s">
        <v>40</v>
      </c>
      <c r="L39">
        <v>0</v>
      </c>
      <c r="M39" t="s">
        <v>36</v>
      </c>
      <c r="N39">
        <v>19</v>
      </c>
      <c r="O39">
        <v>7</v>
      </c>
      <c r="P39">
        <v>16</v>
      </c>
      <c r="Q39">
        <v>6</v>
      </c>
      <c r="R39">
        <v>6</v>
      </c>
      <c r="S39">
        <v>0</v>
      </c>
      <c r="AB39" t="str">
        <f t="shared" si="0"/>
        <v>Normal</v>
      </c>
      <c r="AC39" t="str">
        <f t="shared" si="1"/>
        <v>Normal</v>
      </c>
    </row>
    <row r="40" spans="1:29" x14ac:dyDescent="0.25">
      <c r="A40" t="s">
        <v>31</v>
      </c>
      <c r="B40" s="2">
        <v>45550</v>
      </c>
      <c r="C40" t="s">
        <v>53</v>
      </c>
      <c r="D40" t="s">
        <v>60</v>
      </c>
      <c r="E40">
        <v>0.7</v>
      </c>
      <c r="F40">
        <v>63</v>
      </c>
      <c r="G40">
        <v>553</v>
      </c>
      <c r="H40">
        <v>470</v>
      </c>
      <c r="I40" s="11">
        <f t="shared" si="2"/>
        <v>84.99095840867993</v>
      </c>
      <c r="J40">
        <v>0</v>
      </c>
      <c r="K40" t="s">
        <v>40</v>
      </c>
      <c r="L40">
        <v>0</v>
      </c>
      <c r="M40" t="s">
        <v>36</v>
      </c>
      <c r="N40">
        <v>15</v>
      </c>
      <c r="O40">
        <v>5</v>
      </c>
      <c r="P40">
        <v>13</v>
      </c>
      <c r="Q40">
        <v>7</v>
      </c>
      <c r="R40">
        <v>5</v>
      </c>
      <c r="S40">
        <v>0</v>
      </c>
      <c r="AB40" t="str">
        <f t="shared" si="0"/>
        <v>Normal</v>
      </c>
      <c r="AC40" t="str">
        <f t="shared" si="1"/>
        <v>Normal</v>
      </c>
    </row>
    <row r="41" spans="1:29" x14ac:dyDescent="0.25">
      <c r="A41" t="s">
        <v>31</v>
      </c>
      <c r="B41" s="2">
        <v>45550</v>
      </c>
      <c r="C41" t="s">
        <v>56</v>
      </c>
      <c r="D41" t="s">
        <v>43</v>
      </c>
      <c r="E41">
        <v>1.2</v>
      </c>
      <c r="F41">
        <v>49</v>
      </c>
      <c r="G41">
        <v>483</v>
      </c>
      <c r="H41">
        <v>389</v>
      </c>
      <c r="I41" s="11">
        <f t="shared" si="2"/>
        <v>80.53830227743272</v>
      </c>
      <c r="J41">
        <v>1</v>
      </c>
      <c r="K41" t="s">
        <v>40</v>
      </c>
      <c r="L41">
        <v>1</v>
      </c>
      <c r="M41" t="s">
        <v>35</v>
      </c>
      <c r="N41">
        <v>12</v>
      </c>
      <c r="O41">
        <v>5</v>
      </c>
      <c r="P41">
        <v>17</v>
      </c>
      <c r="Q41">
        <v>4</v>
      </c>
      <c r="R41">
        <v>3</v>
      </c>
      <c r="S41">
        <v>0</v>
      </c>
      <c r="AB41" t="str">
        <f t="shared" si="0"/>
        <v>Normal</v>
      </c>
      <c r="AC41" t="str">
        <f t="shared" si="1"/>
        <v>Normal</v>
      </c>
    </row>
    <row r="42" spans="1:29" x14ac:dyDescent="0.25">
      <c r="A42" t="s">
        <v>31</v>
      </c>
      <c r="B42" s="2">
        <v>45556</v>
      </c>
      <c r="C42" t="s">
        <v>37</v>
      </c>
      <c r="D42" t="s">
        <v>51</v>
      </c>
      <c r="E42">
        <v>0.9</v>
      </c>
      <c r="F42">
        <v>53</v>
      </c>
      <c r="G42">
        <v>542</v>
      </c>
      <c r="H42">
        <v>463</v>
      </c>
      <c r="I42" s="11">
        <f t="shared" si="2"/>
        <v>85.424354243542439</v>
      </c>
      <c r="J42">
        <v>0</v>
      </c>
      <c r="K42" t="s">
        <v>40</v>
      </c>
      <c r="L42">
        <v>0</v>
      </c>
      <c r="M42" t="s">
        <v>40</v>
      </c>
      <c r="N42">
        <v>15</v>
      </c>
      <c r="O42">
        <v>7</v>
      </c>
      <c r="P42">
        <v>17</v>
      </c>
      <c r="Q42">
        <v>6</v>
      </c>
      <c r="R42">
        <v>5</v>
      </c>
      <c r="S42">
        <v>0</v>
      </c>
      <c r="AB42" t="str">
        <f t="shared" si="0"/>
        <v>Normal</v>
      </c>
      <c r="AC42" t="str">
        <f t="shared" si="1"/>
        <v>Normal</v>
      </c>
    </row>
    <row r="43" spans="1:29" x14ac:dyDescent="0.25">
      <c r="A43" t="s">
        <v>31</v>
      </c>
      <c r="B43" s="2">
        <v>45556</v>
      </c>
      <c r="C43" t="s">
        <v>41</v>
      </c>
      <c r="D43" t="s">
        <v>52</v>
      </c>
      <c r="E43">
        <v>1.7</v>
      </c>
      <c r="F43">
        <v>53</v>
      </c>
      <c r="G43">
        <v>480</v>
      </c>
      <c r="H43">
        <v>412</v>
      </c>
      <c r="I43" s="11">
        <f t="shared" si="2"/>
        <v>85.833333333333329</v>
      </c>
      <c r="J43">
        <v>3</v>
      </c>
      <c r="K43" t="s">
        <v>35</v>
      </c>
      <c r="L43">
        <v>0</v>
      </c>
      <c r="M43" t="s">
        <v>40</v>
      </c>
      <c r="N43">
        <v>9</v>
      </c>
      <c r="O43">
        <v>4</v>
      </c>
      <c r="P43">
        <v>11</v>
      </c>
      <c r="Q43">
        <v>6</v>
      </c>
      <c r="R43">
        <v>3</v>
      </c>
      <c r="S43">
        <v>0</v>
      </c>
      <c r="AB43" t="str">
        <f t="shared" si="0"/>
        <v>Normal</v>
      </c>
      <c r="AC43" t="str">
        <f t="shared" si="1"/>
        <v>Normal</v>
      </c>
    </row>
    <row r="44" spans="1:29" x14ac:dyDescent="0.25">
      <c r="A44" t="s">
        <v>31</v>
      </c>
      <c r="B44" s="2">
        <v>45556</v>
      </c>
      <c r="C44" t="s">
        <v>41</v>
      </c>
      <c r="D44" t="s">
        <v>34</v>
      </c>
      <c r="E44">
        <v>2.2000000000000002</v>
      </c>
      <c r="F44">
        <v>39</v>
      </c>
      <c r="G44">
        <v>379</v>
      </c>
      <c r="H44">
        <v>305</v>
      </c>
      <c r="I44" s="11">
        <f t="shared" si="2"/>
        <v>80.474934036939317</v>
      </c>
      <c r="J44">
        <v>3</v>
      </c>
      <c r="K44" t="s">
        <v>35</v>
      </c>
      <c r="L44">
        <v>2</v>
      </c>
      <c r="M44" t="s">
        <v>35</v>
      </c>
      <c r="N44">
        <v>22</v>
      </c>
      <c r="O44">
        <v>11</v>
      </c>
      <c r="P44">
        <v>16</v>
      </c>
      <c r="Q44">
        <v>6</v>
      </c>
      <c r="R44">
        <v>6</v>
      </c>
      <c r="S44">
        <v>0</v>
      </c>
      <c r="AB44" t="str">
        <f t="shared" si="0"/>
        <v>Normal</v>
      </c>
      <c r="AC44" t="str">
        <f t="shared" si="1"/>
        <v>Normal</v>
      </c>
    </row>
    <row r="45" spans="1:29" x14ac:dyDescent="0.25">
      <c r="A45" t="s">
        <v>31</v>
      </c>
      <c r="B45" s="2">
        <v>45556</v>
      </c>
      <c r="C45" t="s">
        <v>41</v>
      </c>
      <c r="D45" t="s">
        <v>59</v>
      </c>
      <c r="E45">
        <v>0.7</v>
      </c>
      <c r="F45">
        <v>58</v>
      </c>
      <c r="G45">
        <v>522</v>
      </c>
      <c r="H45">
        <v>426</v>
      </c>
      <c r="I45" s="11">
        <f t="shared" si="2"/>
        <v>81.609195402298852</v>
      </c>
      <c r="J45">
        <v>1</v>
      </c>
      <c r="K45" t="s">
        <v>36</v>
      </c>
      <c r="L45">
        <v>0</v>
      </c>
      <c r="M45" t="s">
        <v>40</v>
      </c>
      <c r="N45">
        <v>12</v>
      </c>
      <c r="O45">
        <v>2</v>
      </c>
      <c r="P45">
        <v>11</v>
      </c>
      <c r="Q45">
        <v>6</v>
      </c>
      <c r="R45">
        <v>1</v>
      </c>
      <c r="S45">
        <v>0</v>
      </c>
      <c r="AB45" t="str">
        <f t="shared" si="0"/>
        <v>Normal</v>
      </c>
      <c r="AC45" t="str">
        <f t="shared" si="1"/>
        <v>Normal</v>
      </c>
    </row>
    <row r="46" spans="1:29" x14ac:dyDescent="0.25">
      <c r="A46" t="s">
        <v>31</v>
      </c>
      <c r="B46" s="2">
        <v>45556</v>
      </c>
      <c r="C46" t="s">
        <v>41</v>
      </c>
      <c r="D46" t="s">
        <v>39</v>
      </c>
      <c r="E46">
        <v>2</v>
      </c>
      <c r="F46">
        <v>58</v>
      </c>
      <c r="G46">
        <v>619</v>
      </c>
      <c r="H46">
        <v>546</v>
      </c>
      <c r="I46" s="11">
        <f t="shared" si="2"/>
        <v>88.206785137318249</v>
      </c>
      <c r="J46">
        <v>3</v>
      </c>
      <c r="K46" t="s">
        <v>35</v>
      </c>
      <c r="L46">
        <v>3</v>
      </c>
      <c r="M46" t="s">
        <v>35</v>
      </c>
      <c r="N46">
        <v>19</v>
      </c>
      <c r="O46">
        <v>13</v>
      </c>
      <c r="P46">
        <v>10</v>
      </c>
      <c r="Q46">
        <v>3</v>
      </c>
      <c r="R46">
        <v>1</v>
      </c>
      <c r="S46">
        <v>0</v>
      </c>
      <c r="AB46" t="str">
        <f t="shared" si="0"/>
        <v>Normal</v>
      </c>
      <c r="AC46" t="str">
        <f t="shared" si="1"/>
        <v>Normal</v>
      </c>
    </row>
    <row r="47" spans="1:29" x14ac:dyDescent="0.25">
      <c r="A47" t="s">
        <v>31</v>
      </c>
      <c r="B47" s="2">
        <v>45556</v>
      </c>
      <c r="C47" t="s">
        <v>41</v>
      </c>
      <c r="D47" t="s">
        <v>47</v>
      </c>
      <c r="E47">
        <v>2.4</v>
      </c>
      <c r="F47">
        <v>53</v>
      </c>
      <c r="G47">
        <v>517</v>
      </c>
      <c r="H47">
        <v>439</v>
      </c>
      <c r="I47" s="11">
        <f t="shared" si="2"/>
        <v>84.912959381044487</v>
      </c>
      <c r="J47">
        <v>1</v>
      </c>
      <c r="K47" t="s">
        <v>36</v>
      </c>
      <c r="L47">
        <v>1</v>
      </c>
      <c r="M47" t="s">
        <v>35</v>
      </c>
      <c r="N47">
        <v>11</v>
      </c>
      <c r="O47">
        <v>3</v>
      </c>
      <c r="P47">
        <v>16</v>
      </c>
      <c r="Q47">
        <v>2</v>
      </c>
      <c r="R47">
        <v>4</v>
      </c>
      <c r="S47">
        <v>0</v>
      </c>
      <c r="AB47" t="str">
        <f t="shared" si="0"/>
        <v>Normal</v>
      </c>
      <c r="AC47" t="str">
        <f t="shared" si="1"/>
        <v>Normal</v>
      </c>
    </row>
    <row r="48" spans="1:29" x14ac:dyDescent="0.25">
      <c r="A48" t="s">
        <v>31</v>
      </c>
      <c r="B48" s="2">
        <v>45556</v>
      </c>
      <c r="C48" t="s">
        <v>41</v>
      </c>
      <c r="D48" t="s">
        <v>60</v>
      </c>
      <c r="E48">
        <v>3.5</v>
      </c>
      <c r="F48">
        <v>48</v>
      </c>
      <c r="G48">
        <v>485</v>
      </c>
      <c r="H48">
        <v>381</v>
      </c>
      <c r="I48" s="11">
        <f t="shared" si="2"/>
        <v>78.55670103092784</v>
      </c>
      <c r="J48">
        <v>3</v>
      </c>
      <c r="K48" t="s">
        <v>35</v>
      </c>
      <c r="L48">
        <v>2</v>
      </c>
      <c r="M48" t="s">
        <v>35</v>
      </c>
      <c r="N48">
        <v>23</v>
      </c>
      <c r="O48">
        <v>10</v>
      </c>
      <c r="P48">
        <v>11</v>
      </c>
      <c r="Q48">
        <v>9</v>
      </c>
      <c r="R48">
        <v>3</v>
      </c>
      <c r="S48">
        <v>0</v>
      </c>
      <c r="AB48" t="str">
        <f t="shared" si="0"/>
        <v>Normal</v>
      </c>
      <c r="AC48" t="str">
        <f t="shared" si="1"/>
        <v>Normal</v>
      </c>
    </row>
    <row r="49" spans="1:29" x14ac:dyDescent="0.25">
      <c r="A49" t="s">
        <v>31</v>
      </c>
      <c r="B49" s="2">
        <v>45556</v>
      </c>
      <c r="C49" t="s">
        <v>50</v>
      </c>
      <c r="D49" t="s">
        <v>55</v>
      </c>
      <c r="E49">
        <v>1</v>
      </c>
      <c r="F49">
        <v>33</v>
      </c>
      <c r="G49">
        <v>342</v>
      </c>
      <c r="H49">
        <v>239</v>
      </c>
      <c r="I49" s="11">
        <f t="shared" si="2"/>
        <v>69.883040935672511</v>
      </c>
      <c r="J49">
        <v>0</v>
      </c>
      <c r="K49" t="s">
        <v>36</v>
      </c>
      <c r="L49">
        <v>0</v>
      </c>
      <c r="M49" t="s">
        <v>36</v>
      </c>
      <c r="N49">
        <v>9</v>
      </c>
      <c r="O49">
        <v>4</v>
      </c>
      <c r="P49">
        <v>7</v>
      </c>
      <c r="Q49">
        <v>4</v>
      </c>
      <c r="R49">
        <v>3</v>
      </c>
      <c r="S49">
        <v>0</v>
      </c>
      <c r="AB49" t="str">
        <f t="shared" si="0"/>
        <v>Normal</v>
      </c>
      <c r="AC49" t="str">
        <f t="shared" si="1"/>
        <v>Normal</v>
      </c>
    </row>
    <row r="50" spans="1:29" x14ac:dyDescent="0.25">
      <c r="A50" t="s">
        <v>31</v>
      </c>
      <c r="B50" s="2">
        <v>45557</v>
      </c>
      <c r="C50" t="s">
        <v>53</v>
      </c>
      <c r="D50" t="s">
        <v>45</v>
      </c>
      <c r="E50">
        <v>1</v>
      </c>
      <c r="F50">
        <v>70</v>
      </c>
      <c r="G50">
        <v>619</v>
      </c>
      <c r="H50">
        <v>510</v>
      </c>
      <c r="I50" s="11">
        <f t="shared" si="2"/>
        <v>82.390953150242325</v>
      </c>
      <c r="J50">
        <v>2</v>
      </c>
      <c r="K50" t="s">
        <v>36</v>
      </c>
      <c r="L50">
        <v>2</v>
      </c>
      <c r="M50" t="s">
        <v>35</v>
      </c>
      <c r="N50">
        <v>14</v>
      </c>
      <c r="O50">
        <v>3</v>
      </c>
      <c r="P50">
        <v>12</v>
      </c>
      <c r="Q50">
        <v>9</v>
      </c>
      <c r="R50">
        <v>3</v>
      </c>
      <c r="S50">
        <v>0</v>
      </c>
      <c r="AB50" t="str">
        <f t="shared" si="0"/>
        <v>Normal</v>
      </c>
      <c r="AC50" t="str">
        <f t="shared" si="1"/>
        <v>Normal</v>
      </c>
    </row>
    <row r="51" spans="1:29" x14ac:dyDescent="0.25">
      <c r="A51" t="s">
        <v>31</v>
      </c>
      <c r="B51" s="2">
        <v>45557</v>
      </c>
      <c r="C51" t="s">
        <v>56</v>
      </c>
      <c r="D51" t="s">
        <v>58</v>
      </c>
      <c r="E51">
        <v>2.1</v>
      </c>
      <c r="F51">
        <v>77</v>
      </c>
      <c r="G51">
        <v>749</v>
      </c>
      <c r="H51">
        <v>669</v>
      </c>
      <c r="I51" s="11">
        <f t="shared" si="2"/>
        <v>89.31909212283044</v>
      </c>
      <c r="J51">
        <v>2</v>
      </c>
      <c r="K51" t="s">
        <v>36</v>
      </c>
      <c r="L51">
        <v>1</v>
      </c>
      <c r="M51" t="s">
        <v>40</v>
      </c>
      <c r="N51">
        <v>33</v>
      </c>
      <c r="O51">
        <v>11</v>
      </c>
      <c r="P51">
        <v>7</v>
      </c>
      <c r="Q51">
        <v>8</v>
      </c>
      <c r="R51">
        <v>3</v>
      </c>
      <c r="S51">
        <v>0</v>
      </c>
      <c r="AB51" t="str">
        <f t="shared" si="0"/>
        <v>Normal</v>
      </c>
      <c r="AC51" t="str">
        <f t="shared" si="1"/>
        <v>Normal</v>
      </c>
    </row>
    <row r="52" spans="1:29" x14ac:dyDescent="0.25">
      <c r="A52" t="s">
        <v>31</v>
      </c>
      <c r="B52" s="2">
        <v>45563</v>
      </c>
      <c r="C52" t="s">
        <v>37</v>
      </c>
      <c r="D52" t="s">
        <v>46</v>
      </c>
      <c r="E52">
        <v>1.6</v>
      </c>
      <c r="F52">
        <v>38</v>
      </c>
      <c r="G52">
        <v>368</v>
      </c>
      <c r="H52">
        <v>285</v>
      </c>
      <c r="I52" s="11">
        <f t="shared" si="2"/>
        <v>77.445652173913047</v>
      </c>
      <c r="J52">
        <v>1</v>
      </c>
      <c r="K52" t="s">
        <v>36</v>
      </c>
      <c r="L52">
        <v>0</v>
      </c>
      <c r="M52" t="s">
        <v>40</v>
      </c>
      <c r="N52">
        <v>11</v>
      </c>
      <c r="O52">
        <v>4</v>
      </c>
      <c r="P52">
        <v>14</v>
      </c>
      <c r="Q52">
        <v>5</v>
      </c>
      <c r="R52">
        <v>4</v>
      </c>
      <c r="S52">
        <v>0</v>
      </c>
      <c r="AB52" t="str">
        <f t="shared" si="0"/>
        <v>Normal</v>
      </c>
      <c r="AC52" t="str">
        <f t="shared" si="1"/>
        <v>Normal</v>
      </c>
    </row>
    <row r="53" spans="1:29" x14ac:dyDescent="0.25">
      <c r="A53" t="s">
        <v>31</v>
      </c>
      <c r="B53" s="2">
        <v>45563</v>
      </c>
      <c r="C53" t="s">
        <v>41</v>
      </c>
      <c r="D53" t="s">
        <v>42</v>
      </c>
      <c r="E53">
        <v>4.4000000000000004</v>
      </c>
      <c r="F53">
        <v>74</v>
      </c>
      <c r="G53">
        <v>723</v>
      </c>
      <c r="H53">
        <v>620</v>
      </c>
      <c r="I53" s="11">
        <f t="shared" si="2"/>
        <v>85.753803596127241</v>
      </c>
      <c r="J53">
        <v>4</v>
      </c>
      <c r="K53" t="s">
        <v>35</v>
      </c>
      <c r="L53">
        <v>2</v>
      </c>
      <c r="M53" t="s">
        <v>35</v>
      </c>
      <c r="N53">
        <v>36</v>
      </c>
      <c r="O53">
        <v>16</v>
      </c>
      <c r="P53">
        <v>11</v>
      </c>
      <c r="Q53">
        <v>17</v>
      </c>
      <c r="R53">
        <v>2</v>
      </c>
      <c r="S53">
        <v>0</v>
      </c>
      <c r="AB53" t="str">
        <f t="shared" si="0"/>
        <v>Normal</v>
      </c>
      <c r="AC53" t="str">
        <f t="shared" si="1"/>
        <v>Normal</v>
      </c>
    </row>
    <row r="54" spans="1:29" x14ac:dyDescent="0.25">
      <c r="A54" t="s">
        <v>31</v>
      </c>
      <c r="B54" s="2">
        <v>45563</v>
      </c>
      <c r="C54" t="s">
        <v>41</v>
      </c>
      <c r="D54" t="s">
        <v>54</v>
      </c>
      <c r="E54">
        <v>0.4</v>
      </c>
      <c r="F54">
        <v>57</v>
      </c>
      <c r="G54">
        <v>578</v>
      </c>
      <c r="H54">
        <v>448</v>
      </c>
      <c r="I54" s="11">
        <f t="shared" si="2"/>
        <v>77.508650519031136</v>
      </c>
      <c r="J54">
        <v>1</v>
      </c>
      <c r="K54" t="s">
        <v>36</v>
      </c>
      <c r="L54">
        <v>1</v>
      </c>
      <c r="M54" t="s">
        <v>35</v>
      </c>
      <c r="N54">
        <v>8</v>
      </c>
      <c r="O54">
        <v>3</v>
      </c>
      <c r="P54">
        <v>2</v>
      </c>
      <c r="Q54">
        <v>7</v>
      </c>
      <c r="R54">
        <v>2</v>
      </c>
      <c r="S54">
        <v>0</v>
      </c>
      <c r="AB54" t="str">
        <f t="shared" si="0"/>
        <v>Normal</v>
      </c>
      <c r="AC54" t="str">
        <f t="shared" si="1"/>
        <v>Normal</v>
      </c>
    </row>
    <row r="55" spans="1:29" x14ac:dyDescent="0.25">
      <c r="A55" t="s">
        <v>31</v>
      </c>
      <c r="B55" s="2">
        <v>45563</v>
      </c>
      <c r="C55" t="s">
        <v>41</v>
      </c>
      <c r="D55" t="s">
        <v>57</v>
      </c>
      <c r="E55">
        <v>4.2</v>
      </c>
      <c r="F55">
        <v>41</v>
      </c>
      <c r="G55">
        <v>414</v>
      </c>
      <c r="H55">
        <v>312</v>
      </c>
      <c r="I55" s="11">
        <f t="shared" si="2"/>
        <v>75.362318840579718</v>
      </c>
      <c r="J55">
        <v>4</v>
      </c>
      <c r="K55" t="s">
        <v>35</v>
      </c>
      <c r="L55">
        <v>4</v>
      </c>
      <c r="M55" t="s">
        <v>35</v>
      </c>
      <c r="N55">
        <v>15</v>
      </c>
      <c r="O55">
        <v>7</v>
      </c>
      <c r="P55">
        <v>11</v>
      </c>
      <c r="Q55">
        <v>8</v>
      </c>
      <c r="R55">
        <v>3</v>
      </c>
      <c r="S55">
        <v>0</v>
      </c>
      <c r="AB55" t="str">
        <f t="shared" si="0"/>
        <v>Normal</v>
      </c>
      <c r="AC55" t="str">
        <f t="shared" si="1"/>
        <v>Normal</v>
      </c>
    </row>
    <row r="56" spans="1:29" x14ac:dyDescent="0.25">
      <c r="A56" t="s">
        <v>31</v>
      </c>
      <c r="B56" s="2">
        <v>45563</v>
      </c>
      <c r="C56" t="s">
        <v>41</v>
      </c>
      <c r="D56" t="s">
        <v>44</v>
      </c>
      <c r="E56">
        <v>0.9</v>
      </c>
      <c r="F56">
        <v>41</v>
      </c>
      <c r="G56">
        <v>399</v>
      </c>
      <c r="H56">
        <v>287</v>
      </c>
      <c r="I56" s="11">
        <f t="shared" si="2"/>
        <v>71.929824561403507</v>
      </c>
      <c r="J56">
        <v>2</v>
      </c>
      <c r="K56" t="s">
        <v>35</v>
      </c>
      <c r="L56">
        <v>0</v>
      </c>
      <c r="M56" t="s">
        <v>40</v>
      </c>
      <c r="N56">
        <v>8</v>
      </c>
      <c r="O56">
        <v>2</v>
      </c>
      <c r="P56">
        <v>13</v>
      </c>
      <c r="Q56">
        <v>5</v>
      </c>
      <c r="R56">
        <v>2</v>
      </c>
      <c r="S56">
        <v>0</v>
      </c>
      <c r="AB56" t="str">
        <f t="shared" si="0"/>
        <v>Normal</v>
      </c>
      <c r="AC56" t="str">
        <f t="shared" si="1"/>
        <v>Normal</v>
      </c>
    </row>
    <row r="57" spans="1:29" x14ac:dyDescent="0.25">
      <c r="A57" t="s">
        <v>31</v>
      </c>
      <c r="B57" s="2">
        <v>45563</v>
      </c>
      <c r="C57" t="s">
        <v>41</v>
      </c>
      <c r="D57" t="s">
        <v>48</v>
      </c>
      <c r="E57">
        <v>0.8</v>
      </c>
      <c r="F57">
        <v>41</v>
      </c>
      <c r="G57">
        <v>398</v>
      </c>
      <c r="H57">
        <v>291</v>
      </c>
      <c r="I57" s="11">
        <f t="shared" si="2"/>
        <v>73.115577889447238</v>
      </c>
      <c r="J57">
        <v>0</v>
      </c>
      <c r="K57" t="s">
        <v>40</v>
      </c>
      <c r="L57">
        <v>0</v>
      </c>
      <c r="M57" t="s">
        <v>36</v>
      </c>
      <c r="N57">
        <v>11</v>
      </c>
      <c r="O57">
        <v>1</v>
      </c>
      <c r="P57">
        <v>11</v>
      </c>
      <c r="Q57">
        <v>6</v>
      </c>
      <c r="R57">
        <v>2</v>
      </c>
      <c r="S57">
        <v>0</v>
      </c>
      <c r="AB57" t="str">
        <f t="shared" si="0"/>
        <v>Normal</v>
      </c>
      <c r="AC57" t="str">
        <f t="shared" si="1"/>
        <v>Normal</v>
      </c>
    </row>
    <row r="58" spans="1:29" x14ac:dyDescent="0.25">
      <c r="A58" t="s">
        <v>31</v>
      </c>
      <c r="B58" s="2">
        <v>45563</v>
      </c>
      <c r="C58" t="s">
        <v>50</v>
      </c>
      <c r="D58" t="s">
        <v>43</v>
      </c>
      <c r="E58">
        <v>0.6</v>
      </c>
      <c r="F58">
        <v>45</v>
      </c>
      <c r="G58">
        <v>465</v>
      </c>
      <c r="H58">
        <v>382</v>
      </c>
      <c r="I58" s="11">
        <f t="shared" si="2"/>
        <v>82.150537634408607</v>
      </c>
      <c r="J58">
        <v>1</v>
      </c>
      <c r="K58" t="s">
        <v>40</v>
      </c>
      <c r="L58">
        <v>0</v>
      </c>
      <c r="M58" t="s">
        <v>40</v>
      </c>
      <c r="N58">
        <v>8</v>
      </c>
      <c r="O58">
        <v>3</v>
      </c>
      <c r="P58">
        <v>16</v>
      </c>
      <c r="Q58">
        <v>2</v>
      </c>
      <c r="R58">
        <v>2</v>
      </c>
      <c r="S58">
        <v>0</v>
      </c>
      <c r="AB58" t="str">
        <f t="shared" si="0"/>
        <v>Normal</v>
      </c>
      <c r="AC58" t="str">
        <f t="shared" si="1"/>
        <v>Normal</v>
      </c>
    </row>
    <row r="59" spans="1:29" x14ac:dyDescent="0.25">
      <c r="A59" t="s">
        <v>31</v>
      </c>
      <c r="B59" s="2">
        <v>45564</v>
      </c>
      <c r="C59" t="s">
        <v>53</v>
      </c>
      <c r="D59" t="s">
        <v>38</v>
      </c>
      <c r="E59">
        <v>1.2</v>
      </c>
      <c r="F59">
        <v>44</v>
      </c>
      <c r="G59">
        <v>441</v>
      </c>
      <c r="H59">
        <v>361</v>
      </c>
      <c r="I59" s="11">
        <f t="shared" si="2"/>
        <v>81.859410430838992</v>
      </c>
      <c r="J59">
        <v>2</v>
      </c>
      <c r="K59" t="s">
        <v>36</v>
      </c>
      <c r="L59">
        <v>1</v>
      </c>
      <c r="M59" t="s">
        <v>40</v>
      </c>
      <c r="N59">
        <v>15</v>
      </c>
      <c r="O59">
        <v>5</v>
      </c>
      <c r="P59">
        <v>10</v>
      </c>
      <c r="Q59">
        <v>10</v>
      </c>
      <c r="R59">
        <v>4</v>
      </c>
      <c r="S59">
        <v>0</v>
      </c>
      <c r="AB59" t="str">
        <f t="shared" si="0"/>
        <v>Normal</v>
      </c>
      <c r="AC59" t="str">
        <f t="shared" si="1"/>
        <v>Normal</v>
      </c>
    </row>
    <row r="60" spans="1:29" x14ac:dyDescent="0.25">
      <c r="A60" t="s">
        <v>31</v>
      </c>
      <c r="B60" s="2">
        <v>45564</v>
      </c>
      <c r="C60" t="s">
        <v>56</v>
      </c>
      <c r="D60" t="s">
        <v>33</v>
      </c>
      <c r="E60">
        <v>1</v>
      </c>
      <c r="F60">
        <v>39</v>
      </c>
      <c r="G60">
        <v>436</v>
      </c>
      <c r="H60">
        <v>336</v>
      </c>
      <c r="I60" s="11">
        <f t="shared" si="2"/>
        <v>77.064220183486242</v>
      </c>
      <c r="J60">
        <v>0</v>
      </c>
      <c r="K60" t="s">
        <v>40</v>
      </c>
      <c r="L60">
        <v>0</v>
      </c>
      <c r="M60" t="s">
        <v>40</v>
      </c>
      <c r="N60">
        <v>11</v>
      </c>
      <c r="O60">
        <v>2</v>
      </c>
      <c r="P60">
        <v>16</v>
      </c>
      <c r="Q60">
        <v>5</v>
      </c>
      <c r="R60">
        <v>5</v>
      </c>
      <c r="S60">
        <v>1</v>
      </c>
      <c r="AB60" t="str">
        <f t="shared" si="0"/>
        <v>Normal</v>
      </c>
      <c r="AC60" t="str">
        <f t="shared" si="1"/>
        <v>Normal</v>
      </c>
    </row>
    <row r="61" spans="1:29" x14ac:dyDescent="0.25">
      <c r="A61" t="s">
        <v>31</v>
      </c>
      <c r="B61" s="2">
        <v>45565</v>
      </c>
      <c r="C61" t="s">
        <v>32</v>
      </c>
      <c r="D61" t="s">
        <v>49</v>
      </c>
      <c r="E61">
        <v>1.3</v>
      </c>
      <c r="F61">
        <v>40</v>
      </c>
      <c r="G61">
        <v>420</v>
      </c>
      <c r="H61">
        <v>321</v>
      </c>
      <c r="I61" s="11">
        <f t="shared" si="2"/>
        <v>76.428571428571416</v>
      </c>
      <c r="J61">
        <v>3</v>
      </c>
      <c r="K61" t="s">
        <v>35</v>
      </c>
      <c r="L61">
        <v>3</v>
      </c>
      <c r="M61" t="s">
        <v>35</v>
      </c>
      <c r="N61">
        <v>14</v>
      </c>
      <c r="O61">
        <v>6</v>
      </c>
      <c r="P61">
        <v>19</v>
      </c>
      <c r="Q61">
        <v>7</v>
      </c>
      <c r="R61">
        <v>2</v>
      </c>
      <c r="S61">
        <v>0</v>
      </c>
      <c r="AB61" t="str">
        <f t="shared" si="0"/>
        <v>Normal</v>
      </c>
      <c r="AC61" t="str">
        <f t="shared" si="1"/>
        <v>Normal</v>
      </c>
    </row>
    <row r="62" spans="1:29" x14ac:dyDescent="0.25">
      <c r="A62" t="s">
        <v>31</v>
      </c>
      <c r="B62" s="2">
        <v>45570</v>
      </c>
      <c r="C62" t="s">
        <v>37</v>
      </c>
      <c r="D62" t="s">
        <v>55</v>
      </c>
      <c r="E62">
        <v>0.6</v>
      </c>
      <c r="F62">
        <v>32</v>
      </c>
      <c r="G62">
        <v>325</v>
      </c>
      <c r="H62">
        <v>221</v>
      </c>
      <c r="I62" s="11">
        <f t="shared" si="2"/>
        <v>68</v>
      </c>
      <c r="J62">
        <v>0</v>
      </c>
      <c r="K62" t="s">
        <v>40</v>
      </c>
      <c r="L62">
        <v>0</v>
      </c>
      <c r="M62" t="s">
        <v>40</v>
      </c>
      <c r="N62">
        <v>9</v>
      </c>
      <c r="O62">
        <v>5</v>
      </c>
      <c r="P62">
        <v>7</v>
      </c>
      <c r="Q62">
        <v>3</v>
      </c>
      <c r="R62">
        <v>4</v>
      </c>
      <c r="S62">
        <v>0</v>
      </c>
      <c r="AB62" t="str">
        <f t="shared" si="0"/>
        <v>Normal</v>
      </c>
      <c r="AC62" t="str">
        <f t="shared" si="1"/>
        <v>Normal</v>
      </c>
    </row>
    <row r="63" spans="1:29" x14ac:dyDescent="0.25">
      <c r="A63" t="s">
        <v>31</v>
      </c>
      <c r="B63" s="2">
        <v>45570</v>
      </c>
      <c r="C63" t="s">
        <v>41</v>
      </c>
      <c r="D63" t="s">
        <v>42</v>
      </c>
      <c r="E63">
        <v>2.8</v>
      </c>
      <c r="F63">
        <v>59</v>
      </c>
      <c r="G63">
        <v>590</v>
      </c>
      <c r="H63">
        <v>505</v>
      </c>
      <c r="I63" s="11">
        <f t="shared" si="2"/>
        <v>85.593220338983059</v>
      </c>
      <c r="J63">
        <v>3</v>
      </c>
      <c r="K63" t="s">
        <v>35</v>
      </c>
      <c r="L63">
        <v>0</v>
      </c>
      <c r="M63" t="s">
        <v>36</v>
      </c>
      <c r="N63">
        <v>29</v>
      </c>
      <c r="O63">
        <v>6</v>
      </c>
      <c r="P63">
        <v>10</v>
      </c>
      <c r="Q63">
        <v>13</v>
      </c>
      <c r="R63">
        <v>0</v>
      </c>
      <c r="S63">
        <v>0</v>
      </c>
      <c r="AB63" t="str">
        <f t="shared" si="0"/>
        <v>Normal</v>
      </c>
      <c r="AC63" t="str">
        <f t="shared" si="1"/>
        <v>Normal</v>
      </c>
    </row>
    <row r="64" spans="1:29" x14ac:dyDescent="0.25">
      <c r="A64" t="s">
        <v>31</v>
      </c>
      <c r="B64" s="2">
        <v>45570</v>
      </c>
      <c r="C64" t="s">
        <v>41</v>
      </c>
      <c r="D64" t="s">
        <v>54</v>
      </c>
      <c r="E64">
        <v>4.2</v>
      </c>
      <c r="F64">
        <v>44</v>
      </c>
      <c r="G64">
        <v>410</v>
      </c>
      <c r="H64">
        <v>308</v>
      </c>
      <c r="I64" s="11">
        <f t="shared" si="2"/>
        <v>75.121951219512198</v>
      </c>
      <c r="J64">
        <v>5</v>
      </c>
      <c r="K64" t="s">
        <v>35</v>
      </c>
      <c r="L64">
        <v>4</v>
      </c>
      <c r="M64" t="s">
        <v>35</v>
      </c>
      <c r="N64">
        <v>19</v>
      </c>
      <c r="O64">
        <v>12</v>
      </c>
      <c r="P64">
        <v>9</v>
      </c>
      <c r="Q64">
        <v>10</v>
      </c>
      <c r="R64">
        <v>2</v>
      </c>
      <c r="S64">
        <v>0</v>
      </c>
      <c r="AB64" t="str">
        <f t="shared" si="0"/>
        <v>Normal</v>
      </c>
      <c r="AC64" t="str">
        <f t="shared" si="1"/>
        <v>Normal</v>
      </c>
    </row>
    <row r="65" spans="1:29" x14ac:dyDescent="0.25">
      <c r="A65" t="s">
        <v>31</v>
      </c>
      <c r="B65" s="2">
        <v>45570</v>
      </c>
      <c r="C65" t="s">
        <v>41</v>
      </c>
      <c r="D65" t="s">
        <v>59</v>
      </c>
      <c r="E65">
        <v>0.8</v>
      </c>
      <c r="F65">
        <v>45</v>
      </c>
      <c r="G65">
        <v>404</v>
      </c>
      <c r="H65">
        <v>306</v>
      </c>
      <c r="I65" s="11">
        <f t="shared" si="2"/>
        <v>75.742574257425744</v>
      </c>
      <c r="J65">
        <v>1</v>
      </c>
      <c r="K65" t="s">
        <v>35</v>
      </c>
      <c r="L65">
        <v>1</v>
      </c>
      <c r="M65" t="s">
        <v>35</v>
      </c>
      <c r="N65">
        <v>6</v>
      </c>
      <c r="O65">
        <v>2</v>
      </c>
      <c r="P65">
        <v>12</v>
      </c>
      <c r="Q65">
        <v>0</v>
      </c>
      <c r="R65">
        <v>4</v>
      </c>
      <c r="S65">
        <v>0</v>
      </c>
      <c r="AB65" t="str">
        <f t="shared" si="0"/>
        <v>Normal</v>
      </c>
      <c r="AC65" t="str">
        <f t="shared" si="1"/>
        <v>Normal</v>
      </c>
    </row>
    <row r="66" spans="1:29" x14ac:dyDescent="0.25">
      <c r="A66" t="s">
        <v>31</v>
      </c>
      <c r="B66" s="2">
        <v>45570</v>
      </c>
      <c r="C66" t="s">
        <v>41</v>
      </c>
      <c r="D66" t="s">
        <v>58</v>
      </c>
      <c r="E66">
        <v>1.6</v>
      </c>
      <c r="F66">
        <v>58</v>
      </c>
      <c r="G66">
        <v>663</v>
      </c>
      <c r="H66">
        <v>592</v>
      </c>
      <c r="I66" s="11">
        <f t="shared" si="2"/>
        <v>89.291101055806948</v>
      </c>
      <c r="J66">
        <v>3</v>
      </c>
      <c r="K66" t="s">
        <v>35</v>
      </c>
      <c r="L66">
        <v>1</v>
      </c>
      <c r="M66" t="s">
        <v>36</v>
      </c>
      <c r="N66">
        <v>20</v>
      </c>
      <c r="O66">
        <v>7</v>
      </c>
      <c r="P66">
        <v>4</v>
      </c>
      <c r="Q66">
        <v>8</v>
      </c>
      <c r="R66">
        <v>2</v>
      </c>
      <c r="S66">
        <v>0</v>
      </c>
      <c r="AB66" t="str">
        <f t="shared" ref="AB66:AB129" si="3">IF(E66 &lt; _xlfn.PERCENTILE.INC($E$2:$E$761,0),
    "Ekstrem Rendah",
    IF(E66 &gt; _xlfn.PERCENTILE.INC($E$2:$E$761,1),
        "Ekstrem Tinggi",
        "Normal"
    )
)</f>
        <v>Normal</v>
      </c>
      <c r="AC66" t="str">
        <f t="shared" ref="AC66:AC129" si="4">IF(F66 &lt; _xlfn.PERCENTILE.INC($F$2:$F$761,0.001),
    "Ekstrem Rendah",
    IF(F66 &gt; _xlfn.PERCENTILE.INC($F$2:$F$761,0.999),
        "Ekstrem Tinggi",
        "Normal"
    )
)</f>
        <v>Normal</v>
      </c>
    </row>
    <row r="67" spans="1:29" x14ac:dyDescent="0.25">
      <c r="A67" t="s">
        <v>31</v>
      </c>
      <c r="B67" s="2">
        <v>45570</v>
      </c>
      <c r="C67" t="s">
        <v>41</v>
      </c>
      <c r="D67" t="s">
        <v>51</v>
      </c>
      <c r="E67">
        <v>3.6</v>
      </c>
      <c r="F67">
        <v>52</v>
      </c>
      <c r="G67">
        <v>528</v>
      </c>
      <c r="H67">
        <v>452</v>
      </c>
      <c r="I67" s="11">
        <f t="shared" ref="I67:I130" si="5">H67/G67*100</f>
        <v>85.606060606060609</v>
      </c>
      <c r="J67">
        <v>4</v>
      </c>
      <c r="K67" t="s">
        <v>35</v>
      </c>
      <c r="L67">
        <v>2</v>
      </c>
      <c r="M67" t="s">
        <v>35</v>
      </c>
      <c r="N67">
        <v>23</v>
      </c>
      <c r="O67">
        <v>13</v>
      </c>
      <c r="P67">
        <v>12</v>
      </c>
      <c r="Q67">
        <v>5</v>
      </c>
      <c r="R67">
        <v>0</v>
      </c>
      <c r="S67">
        <v>0</v>
      </c>
      <c r="AB67" t="str">
        <f t="shared" si="3"/>
        <v>Normal</v>
      </c>
      <c r="AC67" t="str">
        <f t="shared" si="4"/>
        <v>Normal</v>
      </c>
    </row>
    <row r="68" spans="1:29" x14ac:dyDescent="0.25">
      <c r="A68" t="s">
        <v>31</v>
      </c>
      <c r="B68" s="2">
        <v>45570</v>
      </c>
      <c r="C68" t="s">
        <v>50</v>
      </c>
      <c r="D68" t="s">
        <v>44</v>
      </c>
      <c r="E68">
        <v>0.7</v>
      </c>
      <c r="F68">
        <v>33</v>
      </c>
      <c r="G68">
        <v>340</v>
      </c>
      <c r="H68">
        <v>246</v>
      </c>
      <c r="I68" s="11">
        <f t="shared" si="5"/>
        <v>72.35294117647058</v>
      </c>
      <c r="J68">
        <v>0</v>
      </c>
      <c r="K68" t="s">
        <v>36</v>
      </c>
      <c r="L68">
        <v>0</v>
      </c>
      <c r="M68" t="s">
        <v>36</v>
      </c>
      <c r="N68">
        <v>8</v>
      </c>
      <c r="O68">
        <v>2</v>
      </c>
      <c r="P68">
        <v>12</v>
      </c>
      <c r="Q68">
        <v>0</v>
      </c>
      <c r="R68">
        <v>1</v>
      </c>
      <c r="S68">
        <v>0</v>
      </c>
      <c r="AB68" t="str">
        <f t="shared" si="3"/>
        <v>Normal</v>
      </c>
      <c r="AC68" t="str">
        <f t="shared" si="4"/>
        <v>Normal</v>
      </c>
    </row>
    <row r="69" spans="1:29" x14ac:dyDescent="0.25">
      <c r="A69" t="s">
        <v>31</v>
      </c>
      <c r="B69" s="2">
        <v>45571</v>
      </c>
      <c r="C69" t="s">
        <v>53</v>
      </c>
      <c r="D69" t="s">
        <v>52</v>
      </c>
      <c r="E69">
        <v>0.5</v>
      </c>
      <c r="F69">
        <v>53</v>
      </c>
      <c r="G69">
        <v>454</v>
      </c>
      <c r="H69">
        <v>359</v>
      </c>
      <c r="I69" s="11">
        <f t="shared" si="5"/>
        <v>79.074889867841421</v>
      </c>
      <c r="J69">
        <v>0</v>
      </c>
      <c r="K69" t="s">
        <v>36</v>
      </c>
      <c r="L69">
        <v>0</v>
      </c>
      <c r="M69" t="s">
        <v>36</v>
      </c>
      <c r="N69">
        <v>11</v>
      </c>
      <c r="O69">
        <v>1</v>
      </c>
      <c r="P69">
        <v>12</v>
      </c>
      <c r="Q69">
        <v>6</v>
      </c>
      <c r="R69">
        <v>1</v>
      </c>
      <c r="S69">
        <v>0</v>
      </c>
      <c r="AB69" t="str">
        <f t="shared" si="3"/>
        <v>Normal</v>
      </c>
      <c r="AC69" t="str">
        <f t="shared" si="4"/>
        <v>Normal</v>
      </c>
    </row>
    <row r="70" spans="1:29" x14ac:dyDescent="0.25">
      <c r="A70" t="s">
        <v>31</v>
      </c>
      <c r="B70" s="2">
        <v>45571</v>
      </c>
      <c r="C70" t="s">
        <v>53</v>
      </c>
      <c r="D70" t="s">
        <v>57</v>
      </c>
      <c r="E70">
        <v>2.2999999999999998</v>
      </c>
      <c r="F70">
        <v>65</v>
      </c>
      <c r="G70">
        <v>641</v>
      </c>
      <c r="H70">
        <v>543</v>
      </c>
      <c r="I70" s="11">
        <f t="shared" si="5"/>
        <v>84.711388455538213</v>
      </c>
      <c r="J70">
        <v>1</v>
      </c>
      <c r="K70" t="s">
        <v>36</v>
      </c>
      <c r="L70">
        <v>0</v>
      </c>
      <c r="M70" t="s">
        <v>36</v>
      </c>
      <c r="N70">
        <v>22</v>
      </c>
      <c r="O70">
        <v>8</v>
      </c>
      <c r="P70">
        <v>12</v>
      </c>
      <c r="Q70">
        <v>11</v>
      </c>
      <c r="R70">
        <v>6</v>
      </c>
      <c r="S70">
        <v>0</v>
      </c>
      <c r="AB70" t="str">
        <f t="shared" si="3"/>
        <v>Normal</v>
      </c>
      <c r="AC70" t="str">
        <f t="shared" si="4"/>
        <v>Normal</v>
      </c>
    </row>
    <row r="71" spans="1:29" x14ac:dyDescent="0.25">
      <c r="A71" t="s">
        <v>31</v>
      </c>
      <c r="B71" s="2">
        <v>45571</v>
      </c>
      <c r="C71" t="s">
        <v>56</v>
      </c>
      <c r="D71" t="s">
        <v>45</v>
      </c>
      <c r="E71">
        <v>1.8</v>
      </c>
      <c r="F71">
        <v>41</v>
      </c>
      <c r="G71">
        <v>397</v>
      </c>
      <c r="H71">
        <v>319</v>
      </c>
      <c r="I71" s="11">
        <f t="shared" si="5"/>
        <v>80.352644836272034</v>
      </c>
      <c r="J71">
        <v>3</v>
      </c>
      <c r="K71" t="s">
        <v>35</v>
      </c>
      <c r="L71">
        <v>0</v>
      </c>
      <c r="M71" t="s">
        <v>40</v>
      </c>
      <c r="N71">
        <v>11</v>
      </c>
      <c r="O71">
        <v>4</v>
      </c>
      <c r="P71">
        <v>14</v>
      </c>
      <c r="Q71">
        <v>4</v>
      </c>
      <c r="R71">
        <v>2</v>
      </c>
      <c r="S71">
        <v>0</v>
      </c>
      <c r="AB71" t="str">
        <f t="shared" si="3"/>
        <v>Normal</v>
      </c>
      <c r="AC71" t="str">
        <f t="shared" si="4"/>
        <v>Normal</v>
      </c>
    </row>
    <row r="72" spans="1:29" x14ac:dyDescent="0.25">
      <c r="A72" t="s">
        <v>31</v>
      </c>
      <c r="B72" s="2">
        <v>45584</v>
      </c>
      <c r="C72" t="s">
        <v>37</v>
      </c>
      <c r="D72" t="s">
        <v>60</v>
      </c>
      <c r="E72">
        <v>1.9</v>
      </c>
      <c r="F72">
        <v>57</v>
      </c>
      <c r="G72">
        <v>527</v>
      </c>
      <c r="H72">
        <v>443</v>
      </c>
      <c r="I72" s="11">
        <f t="shared" si="5"/>
        <v>84.060721062618597</v>
      </c>
      <c r="J72">
        <v>4</v>
      </c>
      <c r="K72" t="s">
        <v>35</v>
      </c>
      <c r="L72">
        <v>1</v>
      </c>
      <c r="M72" t="s">
        <v>36</v>
      </c>
      <c r="N72">
        <v>22</v>
      </c>
      <c r="O72">
        <v>7</v>
      </c>
      <c r="P72">
        <v>10</v>
      </c>
      <c r="Q72">
        <v>13</v>
      </c>
      <c r="R72">
        <v>1</v>
      </c>
      <c r="S72">
        <v>0</v>
      </c>
      <c r="AB72" t="str">
        <f t="shared" si="3"/>
        <v>Normal</v>
      </c>
      <c r="AC72" t="str">
        <f t="shared" si="4"/>
        <v>Normal</v>
      </c>
    </row>
    <row r="73" spans="1:29" x14ac:dyDescent="0.25">
      <c r="A73" t="s">
        <v>31</v>
      </c>
      <c r="B73" s="2">
        <v>45584</v>
      </c>
      <c r="C73" t="s">
        <v>41</v>
      </c>
      <c r="D73" t="s">
        <v>34</v>
      </c>
      <c r="E73">
        <v>1.8</v>
      </c>
      <c r="F73">
        <v>52</v>
      </c>
      <c r="G73">
        <v>483</v>
      </c>
      <c r="H73">
        <v>398</v>
      </c>
      <c r="I73" s="11">
        <f t="shared" si="5"/>
        <v>82.401656314699792</v>
      </c>
      <c r="J73">
        <v>1</v>
      </c>
      <c r="K73" t="s">
        <v>40</v>
      </c>
      <c r="L73">
        <v>1</v>
      </c>
      <c r="M73" t="s">
        <v>36</v>
      </c>
      <c r="N73">
        <v>10</v>
      </c>
      <c r="O73">
        <v>4</v>
      </c>
      <c r="P73">
        <v>8</v>
      </c>
      <c r="Q73">
        <v>6</v>
      </c>
      <c r="R73">
        <v>3</v>
      </c>
      <c r="S73">
        <v>1</v>
      </c>
      <c r="AB73" t="str">
        <f t="shared" si="3"/>
        <v>Normal</v>
      </c>
      <c r="AC73" t="str">
        <f t="shared" si="4"/>
        <v>Normal</v>
      </c>
    </row>
    <row r="74" spans="1:29" x14ac:dyDescent="0.25">
      <c r="A74" t="s">
        <v>31</v>
      </c>
      <c r="B74" s="2">
        <v>45584</v>
      </c>
      <c r="C74" t="s">
        <v>41</v>
      </c>
      <c r="D74" t="s">
        <v>38</v>
      </c>
      <c r="E74">
        <v>1.3</v>
      </c>
      <c r="F74">
        <v>55</v>
      </c>
      <c r="G74">
        <v>539</v>
      </c>
      <c r="H74">
        <v>449</v>
      </c>
      <c r="I74" s="11">
        <f t="shared" si="5"/>
        <v>83.302411873840441</v>
      </c>
      <c r="J74">
        <v>0</v>
      </c>
      <c r="K74" t="s">
        <v>40</v>
      </c>
      <c r="L74">
        <v>0</v>
      </c>
      <c r="M74" t="s">
        <v>40</v>
      </c>
      <c r="N74">
        <v>13</v>
      </c>
      <c r="O74">
        <v>2</v>
      </c>
      <c r="P74">
        <v>12</v>
      </c>
      <c r="Q74">
        <v>5</v>
      </c>
      <c r="R74">
        <v>1</v>
      </c>
      <c r="S74">
        <v>0</v>
      </c>
      <c r="AB74" t="str">
        <f t="shared" si="3"/>
        <v>Normal</v>
      </c>
      <c r="AC74" t="str">
        <f t="shared" si="4"/>
        <v>Normal</v>
      </c>
    </row>
    <row r="75" spans="1:29" x14ac:dyDescent="0.25">
      <c r="A75" t="s">
        <v>31</v>
      </c>
      <c r="B75" s="2">
        <v>45584</v>
      </c>
      <c r="C75" t="s">
        <v>41</v>
      </c>
      <c r="D75" t="s">
        <v>33</v>
      </c>
      <c r="E75">
        <v>1.3</v>
      </c>
      <c r="F75">
        <v>50</v>
      </c>
      <c r="G75">
        <v>530</v>
      </c>
      <c r="H75">
        <v>435</v>
      </c>
      <c r="I75" s="11">
        <f t="shared" si="5"/>
        <v>82.075471698113205</v>
      </c>
      <c r="J75">
        <v>2</v>
      </c>
      <c r="K75" t="s">
        <v>35</v>
      </c>
      <c r="L75">
        <v>0</v>
      </c>
      <c r="M75" t="s">
        <v>40</v>
      </c>
      <c r="N75">
        <v>23</v>
      </c>
      <c r="O75">
        <v>11</v>
      </c>
      <c r="P75">
        <v>14</v>
      </c>
      <c r="Q75">
        <v>9</v>
      </c>
      <c r="R75">
        <v>2</v>
      </c>
      <c r="S75">
        <v>0</v>
      </c>
      <c r="AB75" t="str">
        <f t="shared" si="3"/>
        <v>Normal</v>
      </c>
      <c r="AC75" t="str">
        <f t="shared" si="4"/>
        <v>Normal</v>
      </c>
    </row>
    <row r="76" spans="1:29" x14ac:dyDescent="0.25">
      <c r="A76" t="s">
        <v>31</v>
      </c>
      <c r="B76" s="2">
        <v>45584</v>
      </c>
      <c r="C76" t="s">
        <v>41</v>
      </c>
      <c r="D76" t="s">
        <v>46</v>
      </c>
      <c r="E76">
        <v>2</v>
      </c>
      <c r="F76">
        <v>60</v>
      </c>
      <c r="G76">
        <v>599</v>
      </c>
      <c r="H76">
        <v>479</v>
      </c>
      <c r="I76" s="11">
        <f t="shared" si="5"/>
        <v>79.966611018363949</v>
      </c>
      <c r="J76">
        <v>0</v>
      </c>
      <c r="K76" t="s">
        <v>40</v>
      </c>
      <c r="L76">
        <v>0</v>
      </c>
      <c r="M76" t="s">
        <v>40</v>
      </c>
      <c r="N76">
        <v>21</v>
      </c>
      <c r="O76">
        <v>6</v>
      </c>
      <c r="P76">
        <v>11</v>
      </c>
      <c r="Q76">
        <v>9</v>
      </c>
      <c r="R76">
        <v>2</v>
      </c>
      <c r="S76">
        <v>0</v>
      </c>
      <c r="AB76" t="str">
        <f t="shared" si="3"/>
        <v>Normal</v>
      </c>
      <c r="AC76" t="str">
        <f t="shared" si="4"/>
        <v>Normal</v>
      </c>
    </row>
    <row r="77" spans="1:29" x14ac:dyDescent="0.25">
      <c r="A77" t="s">
        <v>31</v>
      </c>
      <c r="B77" s="2">
        <v>45584</v>
      </c>
      <c r="C77" t="s">
        <v>41</v>
      </c>
      <c r="D77" t="s">
        <v>47</v>
      </c>
      <c r="E77">
        <v>2.1</v>
      </c>
      <c r="F77">
        <v>42</v>
      </c>
      <c r="G77">
        <v>398</v>
      </c>
      <c r="H77">
        <v>317</v>
      </c>
      <c r="I77" s="11">
        <f t="shared" si="5"/>
        <v>79.64824120603015</v>
      </c>
      <c r="J77">
        <v>2</v>
      </c>
      <c r="K77" t="s">
        <v>40</v>
      </c>
      <c r="L77">
        <v>2</v>
      </c>
      <c r="M77" t="s">
        <v>35</v>
      </c>
      <c r="N77">
        <v>14</v>
      </c>
      <c r="O77">
        <v>7</v>
      </c>
      <c r="P77">
        <v>10</v>
      </c>
      <c r="Q77">
        <v>10</v>
      </c>
      <c r="R77">
        <v>5</v>
      </c>
      <c r="S77">
        <v>1</v>
      </c>
      <c r="AB77" t="str">
        <f t="shared" si="3"/>
        <v>Normal</v>
      </c>
      <c r="AC77" t="str">
        <f t="shared" si="4"/>
        <v>Normal</v>
      </c>
    </row>
    <row r="78" spans="1:29" x14ac:dyDescent="0.25">
      <c r="A78" t="s">
        <v>31</v>
      </c>
      <c r="B78" s="2">
        <v>45584</v>
      </c>
      <c r="C78" t="s">
        <v>50</v>
      </c>
      <c r="D78" t="s">
        <v>49</v>
      </c>
      <c r="E78">
        <v>1.8</v>
      </c>
      <c r="F78">
        <v>49</v>
      </c>
      <c r="G78">
        <v>453</v>
      </c>
      <c r="H78">
        <v>346</v>
      </c>
      <c r="I78" s="11">
        <f t="shared" si="5"/>
        <v>76.379690949227381</v>
      </c>
      <c r="J78">
        <v>2</v>
      </c>
      <c r="K78" t="s">
        <v>35</v>
      </c>
      <c r="L78">
        <v>0</v>
      </c>
      <c r="M78" t="s">
        <v>36</v>
      </c>
      <c r="N78">
        <v>13</v>
      </c>
      <c r="O78">
        <v>4</v>
      </c>
      <c r="P78">
        <v>12</v>
      </c>
      <c r="Q78">
        <v>7</v>
      </c>
      <c r="R78">
        <v>1</v>
      </c>
      <c r="S78">
        <v>0</v>
      </c>
      <c r="AB78" t="str">
        <f t="shared" si="3"/>
        <v>Normal</v>
      </c>
      <c r="AC78" t="str">
        <f t="shared" si="4"/>
        <v>Normal</v>
      </c>
    </row>
    <row r="79" spans="1:29" x14ac:dyDescent="0.25">
      <c r="A79" t="s">
        <v>31</v>
      </c>
      <c r="B79" s="2">
        <v>45585</v>
      </c>
      <c r="C79" t="s">
        <v>53</v>
      </c>
      <c r="D79" t="s">
        <v>43</v>
      </c>
      <c r="E79">
        <v>0.8</v>
      </c>
      <c r="F79">
        <v>23</v>
      </c>
      <c r="G79">
        <v>237</v>
      </c>
      <c r="H79">
        <v>158</v>
      </c>
      <c r="I79" s="11">
        <f t="shared" si="5"/>
        <v>66.666666666666657</v>
      </c>
      <c r="J79">
        <v>1</v>
      </c>
      <c r="K79" t="s">
        <v>40</v>
      </c>
      <c r="L79">
        <v>1</v>
      </c>
      <c r="M79" t="s">
        <v>36</v>
      </c>
      <c r="N79">
        <v>3</v>
      </c>
      <c r="O79">
        <v>2</v>
      </c>
      <c r="P79">
        <v>8</v>
      </c>
      <c r="Q79">
        <v>1</v>
      </c>
      <c r="R79">
        <v>4</v>
      </c>
      <c r="S79">
        <v>0</v>
      </c>
      <c r="AB79" t="str">
        <f t="shared" si="3"/>
        <v>Normal</v>
      </c>
      <c r="AC79" t="str">
        <f t="shared" si="4"/>
        <v>Normal</v>
      </c>
    </row>
    <row r="80" spans="1:29" x14ac:dyDescent="0.25">
      <c r="A80" t="s">
        <v>31</v>
      </c>
      <c r="B80" s="2">
        <v>45585</v>
      </c>
      <c r="C80" t="s">
        <v>56</v>
      </c>
      <c r="D80" t="s">
        <v>39</v>
      </c>
      <c r="E80">
        <v>1.9</v>
      </c>
      <c r="F80">
        <v>43</v>
      </c>
      <c r="G80">
        <v>439</v>
      </c>
      <c r="H80">
        <v>345</v>
      </c>
      <c r="I80" s="11">
        <f t="shared" si="5"/>
        <v>78.587699316628701</v>
      </c>
      <c r="J80">
        <v>2</v>
      </c>
      <c r="K80" t="s">
        <v>35</v>
      </c>
      <c r="L80">
        <v>1</v>
      </c>
      <c r="M80" t="s">
        <v>35</v>
      </c>
      <c r="N80">
        <v>9</v>
      </c>
      <c r="O80">
        <v>5</v>
      </c>
      <c r="P80">
        <v>12</v>
      </c>
      <c r="Q80">
        <v>1</v>
      </c>
      <c r="R80">
        <v>4</v>
      </c>
      <c r="S80">
        <v>0</v>
      </c>
      <c r="AB80" t="str">
        <f t="shared" si="3"/>
        <v>Normal</v>
      </c>
      <c r="AC80" t="str">
        <f t="shared" si="4"/>
        <v>Normal</v>
      </c>
    </row>
    <row r="81" spans="1:29" x14ac:dyDescent="0.25">
      <c r="A81" t="s">
        <v>31</v>
      </c>
      <c r="B81" s="2">
        <v>45586</v>
      </c>
      <c r="C81" t="s">
        <v>32</v>
      </c>
      <c r="D81" t="s">
        <v>48</v>
      </c>
      <c r="E81">
        <v>1.7</v>
      </c>
      <c r="F81">
        <v>51</v>
      </c>
      <c r="G81">
        <v>493</v>
      </c>
      <c r="H81">
        <v>391</v>
      </c>
      <c r="I81" s="11">
        <f t="shared" si="5"/>
        <v>79.310344827586206</v>
      </c>
      <c r="J81">
        <v>1</v>
      </c>
      <c r="K81" t="s">
        <v>35</v>
      </c>
      <c r="L81">
        <v>0</v>
      </c>
      <c r="M81" t="s">
        <v>36</v>
      </c>
      <c r="N81">
        <v>20</v>
      </c>
      <c r="O81">
        <v>6</v>
      </c>
      <c r="P81">
        <v>9</v>
      </c>
      <c r="Q81">
        <v>6</v>
      </c>
      <c r="R81">
        <v>2</v>
      </c>
      <c r="S81">
        <v>0</v>
      </c>
      <c r="AB81" t="str">
        <f t="shared" si="3"/>
        <v>Normal</v>
      </c>
      <c r="AC81" t="str">
        <f t="shared" si="4"/>
        <v>Normal</v>
      </c>
    </row>
    <row r="82" spans="1:29" x14ac:dyDescent="0.25">
      <c r="A82" t="s">
        <v>31</v>
      </c>
      <c r="B82" s="2">
        <v>45590</v>
      </c>
      <c r="C82" t="s">
        <v>32</v>
      </c>
      <c r="D82" t="s">
        <v>59</v>
      </c>
      <c r="E82">
        <v>0.8</v>
      </c>
      <c r="F82">
        <v>65</v>
      </c>
      <c r="G82">
        <v>615</v>
      </c>
      <c r="H82">
        <v>518</v>
      </c>
      <c r="I82" s="11">
        <f t="shared" si="5"/>
        <v>84.22764227642277</v>
      </c>
      <c r="J82">
        <v>1</v>
      </c>
      <c r="K82" t="s">
        <v>40</v>
      </c>
      <c r="L82">
        <v>1</v>
      </c>
      <c r="M82" t="s">
        <v>36</v>
      </c>
      <c r="N82">
        <v>11</v>
      </c>
      <c r="O82">
        <v>1</v>
      </c>
      <c r="P82">
        <v>16</v>
      </c>
      <c r="Q82">
        <v>6</v>
      </c>
      <c r="R82">
        <v>5</v>
      </c>
      <c r="S82">
        <v>0</v>
      </c>
      <c r="AB82" t="str">
        <f t="shared" si="3"/>
        <v>Normal</v>
      </c>
      <c r="AC82" t="str">
        <f t="shared" si="4"/>
        <v>Normal</v>
      </c>
    </row>
    <row r="83" spans="1:29" x14ac:dyDescent="0.25">
      <c r="A83" t="s">
        <v>31</v>
      </c>
      <c r="B83" s="2">
        <v>45591</v>
      </c>
      <c r="C83" t="s">
        <v>41</v>
      </c>
      <c r="D83" t="s">
        <v>52</v>
      </c>
      <c r="E83">
        <v>1.8</v>
      </c>
      <c r="F83">
        <v>57</v>
      </c>
      <c r="G83">
        <v>475</v>
      </c>
      <c r="H83">
        <v>383</v>
      </c>
      <c r="I83" s="11">
        <f t="shared" si="5"/>
        <v>80.631578947368425</v>
      </c>
      <c r="J83">
        <v>1</v>
      </c>
      <c r="K83" t="s">
        <v>36</v>
      </c>
      <c r="L83">
        <v>0</v>
      </c>
      <c r="M83" t="s">
        <v>36</v>
      </c>
      <c r="N83">
        <v>18</v>
      </c>
      <c r="O83">
        <v>8</v>
      </c>
      <c r="P83">
        <v>12</v>
      </c>
      <c r="Q83">
        <v>9</v>
      </c>
      <c r="R83">
        <v>7</v>
      </c>
      <c r="S83">
        <v>0</v>
      </c>
      <c r="AB83" t="str">
        <f t="shared" si="3"/>
        <v>Normal</v>
      </c>
      <c r="AC83" t="str">
        <f t="shared" si="4"/>
        <v>Normal</v>
      </c>
    </row>
    <row r="84" spans="1:29" x14ac:dyDescent="0.25">
      <c r="A84" t="s">
        <v>31</v>
      </c>
      <c r="B84" s="2">
        <v>45591</v>
      </c>
      <c r="C84" t="s">
        <v>41</v>
      </c>
      <c r="D84" t="s">
        <v>54</v>
      </c>
      <c r="E84">
        <v>4</v>
      </c>
      <c r="F84">
        <v>65</v>
      </c>
      <c r="G84">
        <v>612</v>
      </c>
      <c r="H84">
        <v>499</v>
      </c>
      <c r="I84" s="11">
        <f t="shared" si="5"/>
        <v>81.535947712418306</v>
      </c>
      <c r="J84">
        <v>4</v>
      </c>
      <c r="K84" t="s">
        <v>35</v>
      </c>
      <c r="L84">
        <v>2</v>
      </c>
      <c r="M84" t="s">
        <v>36</v>
      </c>
      <c r="N84">
        <v>20</v>
      </c>
      <c r="O84">
        <v>9</v>
      </c>
      <c r="P84">
        <v>7</v>
      </c>
      <c r="Q84">
        <v>5</v>
      </c>
      <c r="R84">
        <v>0</v>
      </c>
      <c r="S84">
        <v>0</v>
      </c>
      <c r="AB84" t="str">
        <f t="shared" si="3"/>
        <v>Normal</v>
      </c>
      <c r="AC84" t="str">
        <f t="shared" si="4"/>
        <v>Normal</v>
      </c>
    </row>
    <row r="85" spans="1:29" x14ac:dyDescent="0.25">
      <c r="A85" t="s">
        <v>31</v>
      </c>
      <c r="B85" s="2">
        <v>45591</v>
      </c>
      <c r="C85" t="s">
        <v>41</v>
      </c>
      <c r="D85" t="s">
        <v>45</v>
      </c>
      <c r="E85">
        <v>1.3</v>
      </c>
      <c r="F85">
        <v>51</v>
      </c>
      <c r="G85">
        <v>500</v>
      </c>
      <c r="H85">
        <v>417</v>
      </c>
      <c r="I85" s="11">
        <f t="shared" si="5"/>
        <v>83.399999999999991</v>
      </c>
      <c r="J85">
        <v>2</v>
      </c>
      <c r="K85" t="s">
        <v>36</v>
      </c>
      <c r="L85">
        <v>1</v>
      </c>
      <c r="M85" t="s">
        <v>35</v>
      </c>
      <c r="N85">
        <v>19</v>
      </c>
      <c r="O85">
        <v>6</v>
      </c>
      <c r="P85">
        <v>12</v>
      </c>
      <c r="Q85">
        <v>9</v>
      </c>
      <c r="R85">
        <v>3</v>
      </c>
      <c r="S85">
        <v>0</v>
      </c>
      <c r="AB85" t="str">
        <f t="shared" si="3"/>
        <v>Normal</v>
      </c>
      <c r="AC85" t="str">
        <f t="shared" si="4"/>
        <v>Normal</v>
      </c>
    </row>
    <row r="86" spans="1:29" x14ac:dyDescent="0.25">
      <c r="A86" t="s">
        <v>31</v>
      </c>
      <c r="B86" s="2">
        <v>45591</v>
      </c>
      <c r="C86" t="s">
        <v>41</v>
      </c>
      <c r="D86" t="s">
        <v>58</v>
      </c>
      <c r="E86">
        <v>2.9</v>
      </c>
      <c r="F86">
        <v>57</v>
      </c>
      <c r="G86">
        <v>660</v>
      </c>
      <c r="H86">
        <v>595</v>
      </c>
      <c r="I86" s="11">
        <f t="shared" si="5"/>
        <v>90.151515151515156</v>
      </c>
      <c r="J86">
        <v>1</v>
      </c>
      <c r="K86" t="s">
        <v>35</v>
      </c>
      <c r="L86">
        <v>1</v>
      </c>
      <c r="M86" t="s">
        <v>35</v>
      </c>
      <c r="N86">
        <v>22</v>
      </c>
      <c r="O86">
        <v>8</v>
      </c>
      <c r="P86">
        <v>9</v>
      </c>
      <c r="Q86">
        <v>12</v>
      </c>
      <c r="R86">
        <v>1</v>
      </c>
      <c r="S86">
        <v>0</v>
      </c>
      <c r="AB86" t="str">
        <f t="shared" si="3"/>
        <v>Normal</v>
      </c>
      <c r="AC86" t="str">
        <f t="shared" si="4"/>
        <v>Normal</v>
      </c>
    </row>
    <row r="87" spans="1:29" x14ac:dyDescent="0.25">
      <c r="A87" t="s">
        <v>31</v>
      </c>
      <c r="B87" s="2">
        <v>45591</v>
      </c>
      <c r="C87" t="s">
        <v>50</v>
      </c>
      <c r="D87" t="s">
        <v>44</v>
      </c>
      <c r="E87">
        <v>0.8</v>
      </c>
      <c r="F87">
        <v>40</v>
      </c>
      <c r="G87">
        <v>429</v>
      </c>
      <c r="H87">
        <v>331</v>
      </c>
      <c r="I87" s="11">
        <f t="shared" si="5"/>
        <v>77.156177156177151</v>
      </c>
      <c r="J87">
        <v>1</v>
      </c>
      <c r="K87" t="s">
        <v>36</v>
      </c>
      <c r="L87">
        <v>0</v>
      </c>
      <c r="M87" t="s">
        <v>36</v>
      </c>
      <c r="N87">
        <v>10</v>
      </c>
      <c r="O87">
        <v>5</v>
      </c>
      <c r="P87">
        <v>8</v>
      </c>
      <c r="Q87">
        <v>4</v>
      </c>
      <c r="R87">
        <v>1</v>
      </c>
      <c r="S87">
        <v>0</v>
      </c>
      <c r="AB87" t="str">
        <f t="shared" si="3"/>
        <v>Normal</v>
      </c>
      <c r="AC87" t="str">
        <f t="shared" si="4"/>
        <v>Normal</v>
      </c>
    </row>
    <row r="88" spans="1:29" x14ac:dyDescent="0.25">
      <c r="A88" t="s">
        <v>31</v>
      </c>
      <c r="B88" s="2">
        <v>45592</v>
      </c>
      <c r="C88" t="s">
        <v>53</v>
      </c>
      <c r="D88" t="s">
        <v>57</v>
      </c>
      <c r="E88">
        <v>1.6</v>
      </c>
      <c r="F88">
        <v>50</v>
      </c>
      <c r="G88">
        <v>495</v>
      </c>
      <c r="H88">
        <v>404</v>
      </c>
      <c r="I88" s="11">
        <f t="shared" si="5"/>
        <v>81.616161616161619</v>
      </c>
      <c r="J88">
        <v>2</v>
      </c>
      <c r="K88" t="s">
        <v>35</v>
      </c>
      <c r="L88">
        <v>1</v>
      </c>
      <c r="M88" t="s">
        <v>36</v>
      </c>
      <c r="N88">
        <v>17</v>
      </c>
      <c r="O88">
        <v>7</v>
      </c>
      <c r="P88">
        <v>13</v>
      </c>
      <c r="Q88">
        <v>7</v>
      </c>
      <c r="R88">
        <v>6</v>
      </c>
      <c r="S88">
        <v>0</v>
      </c>
      <c r="AB88" t="str">
        <f t="shared" si="3"/>
        <v>Normal</v>
      </c>
      <c r="AC88" t="str">
        <f t="shared" si="4"/>
        <v>Normal</v>
      </c>
    </row>
    <row r="89" spans="1:29" x14ac:dyDescent="0.25">
      <c r="A89" t="s">
        <v>31</v>
      </c>
      <c r="B89" s="2">
        <v>45592</v>
      </c>
      <c r="C89" t="s">
        <v>53</v>
      </c>
      <c r="D89" t="s">
        <v>55</v>
      </c>
      <c r="E89">
        <v>0.8</v>
      </c>
      <c r="F89">
        <v>34</v>
      </c>
      <c r="G89">
        <v>296</v>
      </c>
      <c r="H89">
        <v>181</v>
      </c>
      <c r="I89" s="11">
        <f t="shared" si="5"/>
        <v>61.148648648648653</v>
      </c>
      <c r="J89">
        <v>1</v>
      </c>
      <c r="K89" t="s">
        <v>35</v>
      </c>
      <c r="L89">
        <v>1</v>
      </c>
      <c r="M89" t="s">
        <v>35</v>
      </c>
      <c r="N89">
        <v>14</v>
      </c>
      <c r="O89">
        <v>6</v>
      </c>
      <c r="P89">
        <v>16</v>
      </c>
      <c r="Q89">
        <v>8</v>
      </c>
      <c r="R89">
        <v>4</v>
      </c>
      <c r="S89">
        <v>0</v>
      </c>
      <c r="AB89" t="str">
        <f t="shared" si="3"/>
        <v>Normal</v>
      </c>
      <c r="AC89" t="str">
        <f t="shared" si="4"/>
        <v>Normal</v>
      </c>
    </row>
    <row r="90" spans="1:29" x14ac:dyDescent="0.25">
      <c r="A90" t="s">
        <v>31</v>
      </c>
      <c r="B90" s="2">
        <v>45592</v>
      </c>
      <c r="C90" t="s">
        <v>53</v>
      </c>
      <c r="D90" t="s">
        <v>51</v>
      </c>
      <c r="E90">
        <v>2.8</v>
      </c>
      <c r="F90">
        <v>42</v>
      </c>
      <c r="G90">
        <v>436</v>
      </c>
      <c r="H90">
        <v>338</v>
      </c>
      <c r="I90" s="11">
        <f t="shared" si="5"/>
        <v>77.522935779816521</v>
      </c>
      <c r="J90">
        <v>2</v>
      </c>
      <c r="K90" t="s">
        <v>35</v>
      </c>
      <c r="L90">
        <v>0</v>
      </c>
      <c r="M90" t="s">
        <v>36</v>
      </c>
      <c r="N90">
        <v>12</v>
      </c>
      <c r="O90">
        <v>3</v>
      </c>
      <c r="P90">
        <v>6</v>
      </c>
      <c r="Q90">
        <v>6</v>
      </c>
      <c r="R90">
        <v>5</v>
      </c>
      <c r="S90">
        <v>0</v>
      </c>
      <c r="AB90" t="str">
        <f t="shared" si="3"/>
        <v>Normal</v>
      </c>
      <c r="AC90" t="str">
        <f t="shared" si="4"/>
        <v>Normal</v>
      </c>
    </row>
    <row r="91" spans="1:29" x14ac:dyDescent="0.25">
      <c r="A91" t="s">
        <v>31</v>
      </c>
      <c r="B91" s="2">
        <v>45592</v>
      </c>
      <c r="C91" t="s">
        <v>56</v>
      </c>
      <c r="D91" t="s">
        <v>42</v>
      </c>
      <c r="E91">
        <v>0.9</v>
      </c>
      <c r="F91">
        <v>45</v>
      </c>
      <c r="G91">
        <v>415</v>
      </c>
      <c r="H91">
        <v>320</v>
      </c>
      <c r="I91" s="11">
        <f t="shared" si="5"/>
        <v>77.108433734939766</v>
      </c>
      <c r="J91">
        <v>2</v>
      </c>
      <c r="K91" t="s">
        <v>36</v>
      </c>
      <c r="L91">
        <v>2</v>
      </c>
      <c r="M91" t="s">
        <v>35</v>
      </c>
      <c r="N91">
        <v>9</v>
      </c>
      <c r="O91">
        <v>3</v>
      </c>
      <c r="P91">
        <v>14</v>
      </c>
      <c r="Q91">
        <v>1</v>
      </c>
      <c r="R91">
        <v>2</v>
      </c>
      <c r="S91">
        <v>0</v>
      </c>
      <c r="AB91" t="str">
        <f t="shared" si="3"/>
        <v>Normal</v>
      </c>
      <c r="AC91" t="str">
        <f t="shared" si="4"/>
        <v>Normal</v>
      </c>
    </row>
    <row r="92" spans="1:29" x14ac:dyDescent="0.25">
      <c r="A92" t="s">
        <v>31</v>
      </c>
      <c r="B92" s="2">
        <v>45598</v>
      </c>
      <c r="C92" t="s">
        <v>37</v>
      </c>
      <c r="D92" t="s">
        <v>46</v>
      </c>
      <c r="E92">
        <v>0.5</v>
      </c>
      <c r="F92">
        <v>37</v>
      </c>
      <c r="G92">
        <v>321</v>
      </c>
      <c r="H92">
        <v>218</v>
      </c>
      <c r="I92" s="11">
        <f t="shared" si="5"/>
        <v>67.912772585669785</v>
      </c>
      <c r="J92">
        <v>1</v>
      </c>
      <c r="K92" t="s">
        <v>35</v>
      </c>
      <c r="L92">
        <v>1</v>
      </c>
      <c r="M92" t="s">
        <v>35</v>
      </c>
      <c r="N92">
        <v>9</v>
      </c>
      <c r="O92">
        <v>4</v>
      </c>
      <c r="P92">
        <v>16</v>
      </c>
      <c r="Q92">
        <v>4</v>
      </c>
      <c r="R92">
        <v>4</v>
      </c>
      <c r="S92">
        <v>0</v>
      </c>
      <c r="AB92" t="str">
        <f t="shared" si="3"/>
        <v>Normal</v>
      </c>
      <c r="AC92" t="str">
        <f t="shared" si="4"/>
        <v>Normal</v>
      </c>
    </row>
    <row r="93" spans="1:29" x14ac:dyDescent="0.25">
      <c r="A93" t="s">
        <v>31</v>
      </c>
      <c r="B93" s="2">
        <v>45598</v>
      </c>
      <c r="C93" t="s">
        <v>41</v>
      </c>
      <c r="D93" t="s">
        <v>49</v>
      </c>
      <c r="E93">
        <v>2</v>
      </c>
      <c r="F93">
        <v>36</v>
      </c>
      <c r="G93">
        <v>362</v>
      </c>
      <c r="H93">
        <v>297</v>
      </c>
      <c r="I93" s="11">
        <f t="shared" si="5"/>
        <v>82.04419889502762</v>
      </c>
      <c r="J93">
        <v>2</v>
      </c>
      <c r="K93" t="s">
        <v>35</v>
      </c>
      <c r="L93">
        <v>1</v>
      </c>
      <c r="M93" t="s">
        <v>35</v>
      </c>
      <c r="N93">
        <v>12</v>
      </c>
      <c r="O93">
        <v>6</v>
      </c>
      <c r="P93">
        <v>11</v>
      </c>
      <c r="Q93">
        <v>3</v>
      </c>
      <c r="R93">
        <v>2</v>
      </c>
      <c r="S93">
        <v>0</v>
      </c>
      <c r="AB93" t="str">
        <f t="shared" si="3"/>
        <v>Normal</v>
      </c>
      <c r="AC93" t="str">
        <f t="shared" si="4"/>
        <v>Normal</v>
      </c>
    </row>
    <row r="94" spans="1:29" x14ac:dyDescent="0.25">
      <c r="A94" t="s">
        <v>31</v>
      </c>
      <c r="B94" s="2">
        <v>45598</v>
      </c>
      <c r="C94" t="s">
        <v>41</v>
      </c>
      <c r="D94" t="s">
        <v>38</v>
      </c>
      <c r="E94">
        <v>1</v>
      </c>
      <c r="F94">
        <v>43</v>
      </c>
      <c r="G94">
        <v>359</v>
      </c>
      <c r="H94">
        <v>266</v>
      </c>
      <c r="I94" s="11">
        <f t="shared" si="5"/>
        <v>74.094707520891362</v>
      </c>
      <c r="J94">
        <v>1</v>
      </c>
      <c r="K94" t="s">
        <v>36</v>
      </c>
      <c r="L94">
        <v>0</v>
      </c>
      <c r="M94" t="s">
        <v>36</v>
      </c>
      <c r="N94">
        <v>14</v>
      </c>
      <c r="O94">
        <v>2</v>
      </c>
      <c r="P94">
        <v>11</v>
      </c>
      <c r="Q94">
        <v>4</v>
      </c>
      <c r="R94">
        <v>4</v>
      </c>
      <c r="S94">
        <v>1</v>
      </c>
      <c r="AB94" t="str">
        <f t="shared" si="3"/>
        <v>Normal</v>
      </c>
      <c r="AC94" t="str">
        <f t="shared" si="4"/>
        <v>Normal</v>
      </c>
    </row>
    <row r="95" spans="1:29" x14ac:dyDescent="0.25">
      <c r="A95" t="s">
        <v>31</v>
      </c>
      <c r="B95" s="2">
        <v>45598</v>
      </c>
      <c r="C95" t="s">
        <v>41</v>
      </c>
      <c r="D95" t="s">
        <v>39</v>
      </c>
      <c r="E95">
        <v>1.6</v>
      </c>
      <c r="F95">
        <v>49</v>
      </c>
      <c r="G95">
        <v>483</v>
      </c>
      <c r="H95">
        <v>389</v>
      </c>
      <c r="I95" s="11">
        <f t="shared" si="5"/>
        <v>80.53830227743272</v>
      </c>
      <c r="J95">
        <v>2</v>
      </c>
      <c r="K95" t="s">
        <v>35</v>
      </c>
      <c r="L95">
        <v>0</v>
      </c>
      <c r="M95" t="s">
        <v>40</v>
      </c>
      <c r="N95">
        <v>16</v>
      </c>
      <c r="O95">
        <v>8</v>
      </c>
      <c r="P95">
        <v>10</v>
      </c>
      <c r="Q95">
        <v>10</v>
      </c>
      <c r="R95">
        <v>1</v>
      </c>
      <c r="S95">
        <v>0</v>
      </c>
      <c r="AB95" t="str">
        <f t="shared" si="3"/>
        <v>Normal</v>
      </c>
      <c r="AC95" t="str">
        <f t="shared" si="4"/>
        <v>Normal</v>
      </c>
    </row>
    <row r="96" spans="1:29" x14ac:dyDescent="0.25">
      <c r="A96" t="s">
        <v>31</v>
      </c>
      <c r="B96" s="2">
        <v>45598</v>
      </c>
      <c r="C96" t="s">
        <v>41</v>
      </c>
      <c r="D96" t="s">
        <v>48</v>
      </c>
      <c r="E96">
        <v>2.2000000000000002</v>
      </c>
      <c r="F96">
        <v>54</v>
      </c>
      <c r="G96">
        <v>489</v>
      </c>
      <c r="H96">
        <v>397</v>
      </c>
      <c r="I96" s="11">
        <f t="shared" si="5"/>
        <v>81.186094069529659</v>
      </c>
      <c r="J96">
        <v>3</v>
      </c>
      <c r="K96" t="s">
        <v>35</v>
      </c>
      <c r="L96">
        <v>1</v>
      </c>
      <c r="M96" t="s">
        <v>35</v>
      </c>
      <c r="N96">
        <v>19</v>
      </c>
      <c r="O96">
        <v>6</v>
      </c>
      <c r="P96">
        <v>7</v>
      </c>
      <c r="Q96">
        <v>11</v>
      </c>
      <c r="R96">
        <v>1</v>
      </c>
      <c r="S96">
        <v>0</v>
      </c>
      <c r="AB96" t="str">
        <f t="shared" si="3"/>
        <v>Normal</v>
      </c>
      <c r="AC96" t="str">
        <f t="shared" si="4"/>
        <v>Normal</v>
      </c>
    </row>
    <row r="97" spans="1:29" x14ac:dyDescent="0.25">
      <c r="A97" t="s">
        <v>31</v>
      </c>
      <c r="B97" s="2">
        <v>45598</v>
      </c>
      <c r="C97" t="s">
        <v>41</v>
      </c>
      <c r="D97" t="s">
        <v>47</v>
      </c>
      <c r="E97">
        <v>0.7</v>
      </c>
      <c r="F97">
        <v>65</v>
      </c>
      <c r="G97">
        <v>626</v>
      </c>
      <c r="H97">
        <v>559</v>
      </c>
      <c r="I97" s="11">
        <f t="shared" si="5"/>
        <v>89.29712460063898</v>
      </c>
      <c r="J97">
        <v>1</v>
      </c>
      <c r="K97" t="s">
        <v>35</v>
      </c>
      <c r="L97">
        <v>0</v>
      </c>
      <c r="M97" t="s">
        <v>36</v>
      </c>
      <c r="N97">
        <v>9</v>
      </c>
      <c r="O97">
        <v>2</v>
      </c>
      <c r="P97">
        <v>14</v>
      </c>
      <c r="Q97">
        <v>3</v>
      </c>
      <c r="R97">
        <v>4</v>
      </c>
      <c r="S97">
        <v>0</v>
      </c>
      <c r="AB97" t="str">
        <f t="shared" si="3"/>
        <v>Normal</v>
      </c>
      <c r="AC97" t="str">
        <f t="shared" si="4"/>
        <v>Normal</v>
      </c>
    </row>
    <row r="98" spans="1:29" x14ac:dyDescent="0.25">
      <c r="A98" t="s">
        <v>31</v>
      </c>
      <c r="B98" s="2">
        <v>45598</v>
      </c>
      <c r="C98" t="s">
        <v>50</v>
      </c>
      <c r="D98" t="s">
        <v>43</v>
      </c>
      <c r="E98">
        <v>1.5</v>
      </c>
      <c r="F98">
        <v>57</v>
      </c>
      <c r="G98">
        <v>534</v>
      </c>
      <c r="H98">
        <v>423</v>
      </c>
      <c r="I98" s="11">
        <f t="shared" si="5"/>
        <v>79.213483146067418</v>
      </c>
      <c r="J98">
        <v>2</v>
      </c>
      <c r="K98" t="s">
        <v>36</v>
      </c>
      <c r="L98">
        <v>0</v>
      </c>
      <c r="M98" t="s">
        <v>36</v>
      </c>
      <c r="N98">
        <v>11</v>
      </c>
      <c r="O98">
        <v>6</v>
      </c>
      <c r="P98">
        <v>7</v>
      </c>
      <c r="Q98">
        <v>3</v>
      </c>
      <c r="R98">
        <v>1</v>
      </c>
      <c r="S98">
        <v>0</v>
      </c>
      <c r="AB98" t="str">
        <f t="shared" si="3"/>
        <v>Normal</v>
      </c>
      <c r="AC98" t="str">
        <f t="shared" si="4"/>
        <v>Normal</v>
      </c>
    </row>
    <row r="99" spans="1:29" x14ac:dyDescent="0.25">
      <c r="A99" t="s">
        <v>31</v>
      </c>
      <c r="B99" s="2">
        <v>45599</v>
      </c>
      <c r="C99" t="s">
        <v>53</v>
      </c>
      <c r="D99" t="s">
        <v>60</v>
      </c>
      <c r="E99">
        <v>2.4</v>
      </c>
      <c r="F99">
        <v>51</v>
      </c>
      <c r="G99">
        <v>435</v>
      </c>
      <c r="H99">
        <v>369</v>
      </c>
      <c r="I99" s="11">
        <f t="shared" si="5"/>
        <v>84.827586206896555</v>
      </c>
      <c r="J99">
        <v>4</v>
      </c>
      <c r="K99" t="s">
        <v>35</v>
      </c>
      <c r="L99">
        <v>0</v>
      </c>
      <c r="M99" t="s">
        <v>40</v>
      </c>
      <c r="N99">
        <v>16</v>
      </c>
      <c r="O99">
        <v>6</v>
      </c>
      <c r="P99">
        <v>14</v>
      </c>
      <c r="Q99">
        <v>6</v>
      </c>
      <c r="R99">
        <v>2</v>
      </c>
      <c r="S99">
        <v>0</v>
      </c>
      <c r="AB99" t="str">
        <f t="shared" si="3"/>
        <v>Normal</v>
      </c>
      <c r="AC99" t="str">
        <f t="shared" si="4"/>
        <v>Normal</v>
      </c>
    </row>
    <row r="100" spans="1:29" x14ac:dyDescent="0.25">
      <c r="A100" t="s">
        <v>31</v>
      </c>
      <c r="B100" s="2">
        <v>45599</v>
      </c>
      <c r="C100" t="s">
        <v>56</v>
      </c>
      <c r="D100" t="s">
        <v>33</v>
      </c>
      <c r="E100">
        <v>2</v>
      </c>
      <c r="F100">
        <v>46</v>
      </c>
      <c r="G100">
        <v>441</v>
      </c>
      <c r="H100">
        <v>344</v>
      </c>
      <c r="I100" s="11">
        <f t="shared" si="5"/>
        <v>78.004535147392289</v>
      </c>
      <c r="J100">
        <v>1</v>
      </c>
      <c r="K100" t="s">
        <v>36</v>
      </c>
      <c r="L100">
        <v>0</v>
      </c>
      <c r="M100" t="s">
        <v>36</v>
      </c>
      <c r="N100">
        <v>11</v>
      </c>
      <c r="O100">
        <v>4</v>
      </c>
      <c r="P100">
        <v>19</v>
      </c>
      <c r="Q100">
        <v>4</v>
      </c>
      <c r="R100">
        <v>6</v>
      </c>
      <c r="S100">
        <v>0</v>
      </c>
      <c r="AB100" t="str">
        <f t="shared" si="3"/>
        <v>Normal</v>
      </c>
      <c r="AC100" t="str">
        <f t="shared" si="4"/>
        <v>Normal</v>
      </c>
    </row>
    <row r="101" spans="1:29" x14ac:dyDescent="0.25">
      <c r="A101" t="s">
        <v>31</v>
      </c>
      <c r="B101" s="2">
        <v>45600</v>
      </c>
      <c r="C101" t="s">
        <v>32</v>
      </c>
      <c r="D101" t="s">
        <v>34</v>
      </c>
      <c r="E101">
        <v>1.3</v>
      </c>
      <c r="F101">
        <v>68</v>
      </c>
      <c r="G101">
        <v>712</v>
      </c>
      <c r="H101">
        <v>595</v>
      </c>
      <c r="I101" s="11">
        <f t="shared" si="5"/>
        <v>83.567415730337075</v>
      </c>
      <c r="J101">
        <v>2</v>
      </c>
      <c r="K101" t="s">
        <v>35</v>
      </c>
      <c r="L101">
        <v>0</v>
      </c>
      <c r="M101" t="s">
        <v>40</v>
      </c>
      <c r="N101">
        <v>26</v>
      </c>
      <c r="O101">
        <v>12</v>
      </c>
      <c r="P101">
        <v>3</v>
      </c>
      <c r="Q101">
        <v>11</v>
      </c>
      <c r="R101">
        <v>2</v>
      </c>
      <c r="S101">
        <v>0</v>
      </c>
      <c r="AB101" t="str">
        <f t="shared" si="3"/>
        <v>Normal</v>
      </c>
      <c r="AC101" t="str">
        <f t="shared" si="4"/>
        <v>Normal</v>
      </c>
    </row>
    <row r="102" spans="1:29" x14ac:dyDescent="0.25">
      <c r="A102" t="s">
        <v>31</v>
      </c>
      <c r="B102" s="2">
        <v>45605</v>
      </c>
      <c r="C102" t="s">
        <v>41</v>
      </c>
      <c r="D102" t="s">
        <v>54</v>
      </c>
      <c r="E102">
        <v>1.5</v>
      </c>
      <c r="F102">
        <v>51</v>
      </c>
      <c r="G102">
        <v>457</v>
      </c>
      <c r="H102">
        <v>333</v>
      </c>
      <c r="I102" s="11">
        <f t="shared" si="5"/>
        <v>72.866520787746168</v>
      </c>
      <c r="J102">
        <v>3</v>
      </c>
      <c r="K102" t="s">
        <v>35</v>
      </c>
      <c r="L102">
        <v>1</v>
      </c>
      <c r="M102" t="s">
        <v>36</v>
      </c>
      <c r="N102">
        <v>12</v>
      </c>
      <c r="O102">
        <v>6</v>
      </c>
      <c r="P102">
        <v>8</v>
      </c>
      <c r="Q102">
        <v>6</v>
      </c>
      <c r="R102">
        <v>2</v>
      </c>
      <c r="S102">
        <v>0</v>
      </c>
      <c r="AB102" t="str">
        <f t="shared" si="3"/>
        <v>Normal</v>
      </c>
      <c r="AC102" t="str">
        <f t="shared" si="4"/>
        <v>Normal</v>
      </c>
    </row>
    <row r="103" spans="1:29" x14ac:dyDescent="0.25">
      <c r="A103" t="s">
        <v>31</v>
      </c>
      <c r="B103" s="2">
        <v>45605</v>
      </c>
      <c r="C103" t="s">
        <v>41</v>
      </c>
      <c r="D103" t="s">
        <v>55</v>
      </c>
      <c r="E103">
        <v>1.5</v>
      </c>
      <c r="F103">
        <v>36</v>
      </c>
      <c r="G103">
        <v>385</v>
      </c>
      <c r="H103">
        <v>293</v>
      </c>
      <c r="I103" s="11">
        <f t="shared" si="5"/>
        <v>76.103896103896105</v>
      </c>
      <c r="J103">
        <v>0</v>
      </c>
      <c r="K103" t="s">
        <v>40</v>
      </c>
      <c r="L103">
        <v>0</v>
      </c>
      <c r="M103" t="s">
        <v>40</v>
      </c>
      <c r="N103">
        <v>13</v>
      </c>
      <c r="O103">
        <v>5</v>
      </c>
      <c r="P103">
        <v>10</v>
      </c>
      <c r="Q103">
        <v>1</v>
      </c>
      <c r="R103">
        <v>1</v>
      </c>
      <c r="S103">
        <v>1</v>
      </c>
      <c r="AB103" t="str">
        <f t="shared" si="3"/>
        <v>Normal</v>
      </c>
      <c r="AC103" t="str">
        <f t="shared" si="4"/>
        <v>Normal</v>
      </c>
    </row>
    <row r="104" spans="1:29" x14ac:dyDescent="0.25">
      <c r="A104" t="s">
        <v>31</v>
      </c>
      <c r="B104" s="2">
        <v>45605</v>
      </c>
      <c r="C104" t="s">
        <v>41</v>
      </c>
      <c r="D104" t="s">
        <v>51</v>
      </c>
      <c r="E104">
        <v>0.8</v>
      </c>
      <c r="F104">
        <v>49</v>
      </c>
      <c r="G104">
        <v>492</v>
      </c>
      <c r="H104">
        <v>374</v>
      </c>
      <c r="I104" s="11">
        <f t="shared" si="5"/>
        <v>76.016260162601625</v>
      </c>
      <c r="J104">
        <v>0</v>
      </c>
      <c r="K104" t="s">
        <v>36</v>
      </c>
      <c r="L104">
        <v>0</v>
      </c>
      <c r="M104" t="s">
        <v>36</v>
      </c>
      <c r="N104">
        <v>11</v>
      </c>
      <c r="O104">
        <v>6</v>
      </c>
      <c r="P104">
        <v>10</v>
      </c>
      <c r="Q104">
        <v>7</v>
      </c>
      <c r="R104">
        <v>1</v>
      </c>
      <c r="S104">
        <v>0</v>
      </c>
      <c r="AB104" t="str">
        <f t="shared" si="3"/>
        <v>Normal</v>
      </c>
      <c r="AC104" t="str">
        <f t="shared" si="4"/>
        <v>Normal</v>
      </c>
    </row>
    <row r="105" spans="1:29" x14ac:dyDescent="0.25">
      <c r="A105" t="s">
        <v>31</v>
      </c>
      <c r="B105" s="2">
        <v>45605</v>
      </c>
      <c r="C105" t="s">
        <v>41</v>
      </c>
      <c r="D105" t="s">
        <v>43</v>
      </c>
      <c r="E105">
        <v>1.3</v>
      </c>
      <c r="F105">
        <v>29</v>
      </c>
      <c r="G105">
        <v>299</v>
      </c>
      <c r="H105">
        <v>227</v>
      </c>
      <c r="I105" s="11">
        <f t="shared" si="5"/>
        <v>75.919732441471581</v>
      </c>
      <c r="J105">
        <v>2</v>
      </c>
      <c r="K105" t="s">
        <v>35</v>
      </c>
      <c r="L105">
        <v>1</v>
      </c>
      <c r="M105" t="s">
        <v>35</v>
      </c>
      <c r="N105">
        <v>8</v>
      </c>
      <c r="O105">
        <v>4</v>
      </c>
      <c r="P105">
        <v>14</v>
      </c>
      <c r="Q105">
        <v>1</v>
      </c>
      <c r="R105">
        <v>1</v>
      </c>
      <c r="S105">
        <v>0</v>
      </c>
      <c r="AB105" t="str">
        <f t="shared" si="3"/>
        <v>Normal</v>
      </c>
      <c r="AC105" t="str">
        <f t="shared" si="4"/>
        <v>Normal</v>
      </c>
    </row>
    <row r="106" spans="1:29" x14ac:dyDescent="0.25">
      <c r="A106" t="s">
        <v>31</v>
      </c>
      <c r="B106" s="2">
        <v>45605</v>
      </c>
      <c r="C106" t="s">
        <v>50</v>
      </c>
      <c r="D106" t="s">
        <v>45</v>
      </c>
      <c r="E106">
        <v>2.2999999999999998</v>
      </c>
      <c r="F106">
        <v>40</v>
      </c>
      <c r="G106">
        <v>453</v>
      </c>
      <c r="H106">
        <v>390</v>
      </c>
      <c r="I106" s="11">
        <f t="shared" si="5"/>
        <v>86.092715231788077</v>
      </c>
      <c r="J106">
        <v>2</v>
      </c>
      <c r="K106" t="s">
        <v>35</v>
      </c>
      <c r="L106">
        <v>0</v>
      </c>
      <c r="M106" t="s">
        <v>40</v>
      </c>
      <c r="N106">
        <v>10</v>
      </c>
      <c r="O106">
        <v>4</v>
      </c>
      <c r="P106">
        <v>12</v>
      </c>
      <c r="Q106">
        <v>0</v>
      </c>
      <c r="R106">
        <v>3</v>
      </c>
      <c r="S106">
        <v>0</v>
      </c>
      <c r="AB106" t="str">
        <f t="shared" si="3"/>
        <v>Normal</v>
      </c>
      <c r="AC106" t="str">
        <f t="shared" si="4"/>
        <v>Normal</v>
      </c>
    </row>
    <row r="107" spans="1:29" x14ac:dyDescent="0.25">
      <c r="A107" t="s">
        <v>31</v>
      </c>
      <c r="B107" s="2">
        <v>45605</v>
      </c>
      <c r="C107" t="s">
        <v>32</v>
      </c>
      <c r="D107" t="s">
        <v>39</v>
      </c>
      <c r="E107">
        <v>2</v>
      </c>
      <c r="F107">
        <v>62</v>
      </c>
      <c r="G107">
        <v>644</v>
      </c>
      <c r="H107">
        <v>564</v>
      </c>
      <c r="I107" s="11">
        <f t="shared" si="5"/>
        <v>87.577639751552795</v>
      </c>
      <c r="J107">
        <v>2</v>
      </c>
      <c r="K107" t="s">
        <v>35</v>
      </c>
      <c r="L107">
        <v>1</v>
      </c>
      <c r="M107" t="s">
        <v>35</v>
      </c>
      <c r="N107">
        <v>14</v>
      </c>
      <c r="O107">
        <v>5</v>
      </c>
      <c r="P107">
        <v>11</v>
      </c>
      <c r="Q107">
        <v>2</v>
      </c>
      <c r="R107">
        <v>0</v>
      </c>
      <c r="S107">
        <v>0</v>
      </c>
      <c r="AB107" t="str">
        <f t="shared" si="3"/>
        <v>Normal</v>
      </c>
      <c r="AC107" t="str">
        <f t="shared" si="4"/>
        <v>Normal</v>
      </c>
    </row>
    <row r="108" spans="1:29" x14ac:dyDescent="0.25">
      <c r="A108" t="s">
        <v>31</v>
      </c>
      <c r="B108" s="2">
        <v>45606</v>
      </c>
      <c r="C108" t="s">
        <v>53</v>
      </c>
      <c r="D108" t="s">
        <v>33</v>
      </c>
      <c r="E108">
        <v>0.8</v>
      </c>
      <c r="F108">
        <v>51</v>
      </c>
      <c r="G108">
        <v>534</v>
      </c>
      <c r="H108">
        <v>446</v>
      </c>
      <c r="I108" s="11">
        <f t="shared" si="5"/>
        <v>83.520599250936328</v>
      </c>
      <c r="J108">
        <v>3</v>
      </c>
      <c r="K108" t="s">
        <v>35</v>
      </c>
      <c r="L108">
        <v>2</v>
      </c>
      <c r="M108" t="s">
        <v>35</v>
      </c>
      <c r="N108">
        <v>13</v>
      </c>
      <c r="O108">
        <v>3</v>
      </c>
      <c r="P108">
        <v>9</v>
      </c>
      <c r="Q108">
        <v>1</v>
      </c>
      <c r="R108">
        <v>0</v>
      </c>
      <c r="S108">
        <v>0</v>
      </c>
      <c r="AB108" t="str">
        <f t="shared" si="3"/>
        <v>Normal</v>
      </c>
      <c r="AC108" t="str">
        <f t="shared" si="4"/>
        <v>Normal</v>
      </c>
    </row>
    <row r="109" spans="1:29" x14ac:dyDescent="0.25">
      <c r="A109" t="s">
        <v>31</v>
      </c>
      <c r="B109" s="2">
        <v>45606</v>
      </c>
      <c r="C109" t="s">
        <v>53</v>
      </c>
      <c r="D109" t="s">
        <v>48</v>
      </c>
      <c r="E109">
        <v>0.6</v>
      </c>
      <c r="F109">
        <v>44</v>
      </c>
      <c r="G109">
        <v>429</v>
      </c>
      <c r="H109">
        <v>319</v>
      </c>
      <c r="I109" s="11">
        <f t="shared" si="5"/>
        <v>74.358974358974365</v>
      </c>
      <c r="J109">
        <v>1</v>
      </c>
      <c r="K109" t="s">
        <v>40</v>
      </c>
      <c r="L109">
        <v>1</v>
      </c>
      <c r="M109" t="s">
        <v>35</v>
      </c>
      <c r="N109">
        <v>9</v>
      </c>
      <c r="O109">
        <v>3</v>
      </c>
      <c r="P109">
        <v>13</v>
      </c>
      <c r="Q109">
        <v>4</v>
      </c>
      <c r="R109">
        <v>1</v>
      </c>
      <c r="S109">
        <v>0</v>
      </c>
      <c r="AB109" t="str">
        <f t="shared" si="3"/>
        <v>Normal</v>
      </c>
      <c r="AC109" t="str">
        <f t="shared" si="4"/>
        <v>Normal</v>
      </c>
    </row>
    <row r="110" spans="1:29" x14ac:dyDescent="0.25">
      <c r="A110" t="s">
        <v>31</v>
      </c>
      <c r="B110" s="2">
        <v>45606</v>
      </c>
      <c r="C110" t="s">
        <v>53</v>
      </c>
      <c r="D110" t="s">
        <v>60</v>
      </c>
      <c r="E110">
        <v>1.5</v>
      </c>
      <c r="F110">
        <v>66</v>
      </c>
      <c r="G110">
        <v>609</v>
      </c>
      <c r="H110">
        <v>494</v>
      </c>
      <c r="I110" s="11">
        <f t="shared" si="5"/>
        <v>81.116584564860432</v>
      </c>
      <c r="J110">
        <v>1</v>
      </c>
      <c r="K110" t="s">
        <v>40</v>
      </c>
      <c r="L110">
        <v>0</v>
      </c>
      <c r="M110" t="s">
        <v>40</v>
      </c>
      <c r="N110">
        <v>17</v>
      </c>
      <c r="O110">
        <v>5</v>
      </c>
      <c r="P110">
        <v>10</v>
      </c>
      <c r="Q110">
        <v>12</v>
      </c>
      <c r="R110">
        <v>1</v>
      </c>
      <c r="S110">
        <v>0</v>
      </c>
      <c r="AB110" t="str">
        <f t="shared" si="3"/>
        <v>Normal</v>
      </c>
      <c r="AC110" t="str">
        <f t="shared" si="4"/>
        <v>Normal</v>
      </c>
    </row>
    <row r="111" spans="1:29" x14ac:dyDescent="0.25">
      <c r="A111" t="s">
        <v>31</v>
      </c>
      <c r="B111" s="2">
        <v>45606</v>
      </c>
      <c r="C111" t="s">
        <v>56</v>
      </c>
      <c r="D111" t="s">
        <v>57</v>
      </c>
      <c r="E111">
        <v>1.5</v>
      </c>
      <c r="F111">
        <v>49</v>
      </c>
      <c r="G111">
        <v>447</v>
      </c>
      <c r="H111">
        <v>376</v>
      </c>
      <c r="I111" s="11">
        <f t="shared" si="5"/>
        <v>84.116331096196873</v>
      </c>
      <c r="J111">
        <v>1</v>
      </c>
      <c r="K111" t="s">
        <v>36</v>
      </c>
      <c r="L111">
        <v>0</v>
      </c>
      <c r="M111" t="s">
        <v>36</v>
      </c>
      <c r="N111">
        <v>17</v>
      </c>
      <c r="O111">
        <v>3</v>
      </c>
      <c r="P111">
        <v>12</v>
      </c>
      <c r="Q111">
        <v>4</v>
      </c>
      <c r="R111">
        <v>4</v>
      </c>
      <c r="S111">
        <v>0</v>
      </c>
      <c r="AB111" t="str">
        <f t="shared" si="3"/>
        <v>Normal</v>
      </c>
      <c r="AC111" t="str">
        <f t="shared" si="4"/>
        <v>Normal</v>
      </c>
    </row>
    <row r="112" spans="1:29" x14ac:dyDescent="0.25">
      <c r="A112" t="s">
        <v>31</v>
      </c>
      <c r="B112" s="2">
        <v>45619</v>
      </c>
      <c r="C112" t="s">
        <v>37</v>
      </c>
      <c r="D112" t="s">
        <v>59</v>
      </c>
      <c r="E112">
        <v>1.1000000000000001</v>
      </c>
      <c r="F112">
        <v>37</v>
      </c>
      <c r="G112">
        <v>386</v>
      </c>
      <c r="H112">
        <v>286</v>
      </c>
      <c r="I112" s="11">
        <f t="shared" si="5"/>
        <v>74.093264248704656</v>
      </c>
      <c r="J112">
        <v>1</v>
      </c>
      <c r="K112" t="s">
        <v>40</v>
      </c>
      <c r="L112">
        <v>0</v>
      </c>
      <c r="M112" t="s">
        <v>40</v>
      </c>
      <c r="N112">
        <v>4</v>
      </c>
      <c r="O112">
        <v>1</v>
      </c>
      <c r="P112">
        <v>15</v>
      </c>
      <c r="Q112">
        <v>2</v>
      </c>
      <c r="R112">
        <v>4</v>
      </c>
      <c r="S112">
        <v>0</v>
      </c>
      <c r="AB112" t="str">
        <f t="shared" si="3"/>
        <v>Normal</v>
      </c>
      <c r="AC112" t="str">
        <f t="shared" si="4"/>
        <v>Normal</v>
      </c>
    </row>
    <row r="113" spans="1:29" x14ac:dyDescent="0.25">
      <c r="A113" t="s">
        <v>31</v>
      </c>
      <c r="B113" s="2">
        <v>45619</v>
      </c>
      <c r="C113" t="s">
        <v>41</v>
      </c>
      <c r="D113" t="s">
        <v>42</v>
      </c>
      <c r="E113">
        <v>1.2</v>
      </c>
      <c r="F113">
        <v>66</v>
      </c>
      <c r="G113">
        <v>631</v>
      </c>
      <c r="H113">
        <v>560</v>
      </c>
      <c r="I113" s="11">
        <f t="shared" si="5"/>
        <v>88.74801901743264</v>
      </c>
      <c r="J113">
        <v>3</v>
      </c>
      <c r="K113" t="s">
        <v>35</v>
      </c>
      <c r="L113">
        <v>1</v>
      </c>
      <c r="M113" t="s">
        <v>35</v>
      </c>
      <c r="N113">
        <v>19</v>
      </c>
      <c r="O113">
        <v>7</v>
      </c>
      <c r="P113">
        <v>10</v>
      </c>
      <c r="Q113">
        <v>8</v>
      </c>
      <c r="R113">
        <v>3</v>
      </c>
      <c r="S113">
        <v>0</v>
      </c>
      <c r="AB113" t="str">
        <f t="shared" si="3"/>
        <v>Normal</v>
      </c>
      <c r="AC113" t="str">
        <f t="shared" si="4"/>
        <v>Normal</v>
      </c>
    </row>
    <row r="114" spans="1:29" x14ac:dyDescent="0.25">
      <c r="A114" t="s">
        <v>31</v>
      </c>
      <c r="B114" s="2">
        <v>45619</v>
      </c>
      <c r="C114" t="s">
        <v>41</v>
      </c>
      <c r="D114" t="s">
        <v>52</v>
      </c>
      <c r="E114">
        <v>3</v>
      </c>
      <c r="F114">
        <v>69</v>
      </c>
      <c r="G114">
        <v>658</v>
      </c>
      <c r="H114">
        <v>554</v>
      </c>
      <c r="I114" s="11">
        <f t="shared" si="5"/>
        <v>84.19452887537993</v>
      </c>
      <c r="J114">
        <v>2</v>
      </c>
      <c r="K114" t="s">
        <v>36</v>
      </c>
      <c r="L114">
        <v>1</v>
      </c>
      <c r="M114" t="s">
        <v>40</v>
      </c>
      <c r="N114">
        <v>17</v>
      </c>
      <c r="O114">
        <v>5</v>
      </c>
      <c r="P114">
        <v>10</v>
      </c>
      <c r="Q114">
        <v>10</v>
      </c>
      <c r="R114">
        <v>3</v>
      </c>
      <c r="S114">
        <v>0</v>
      </c>
      <c r="AB114" t="str">
        <f t="shared" si="3"/>
        <v>Normal</v>
      </c>
      <c r="AC114" t="str">
        <f t="shared" si="4"/>
        <v>Normal</v>
      </c>
    </row>
    <row r="115" spans="1:29" x14ac:dyDescent="0.25">
      <c r="A115" t="s">
        <v>31</v>
      </c>
      <c r="B115" s="2">
        <v>45619</v>
      </c>
      <c r="C115" t="s">
        <v>41</v>
      </c>
      <c r="D115" t="s">
        <v>49</v>
      </c>
      <c r="E115">
        <v>1.6</v>
      </c>
      <c r="F115">
        <v>55</v>
      </c>
      <c r="G115">
        <v>542</v>
      </c>
      <c r="H115">
        <v>442</v>
      </c>
      <c r="I115" s="11">
        <f t="shared" si="5"/>
        <v>81.54981549815497</v>
      </c>
      <c r="J115">
        <v>1</v>
      </c>
      <c r="K115" t="s">
        <v>40</v>
      </c>
      <c r="L115">
        <v>0</v>
      </c>
      <c r="M115" t="s">
        <v>40</v>
      </c>
      <c r="N115">
        <v>19</v>
      </c>
      <c r="O115">
        <v>5</v>
      </c>
      <c r="P115">
        <v>13</v>
      </c>
      <c r="Q115">
        <v>7</v>
      </c>
      <c r="R115">
        <v>2</v>
      </c>
      <c r="S115">
        <v>0</v>
      </c>
      <c r="AB115" t="str">
        <f t="shared" si="3"/>
        <v>Normal</v>
      </c>
      <c r="AC115" t="str">
        <f t="shared" si="4"/>
        <v>Normal</v>
      </c>
    </row>
    <row r="116" spans="1:29" x14ac:dyDescent="0.25">
      <c r="A116" t="s">
        <v>31</v>
      </c>
      <c r="B116" s="2">
        <v>45619</v>
      </c>
      <c r="C116" t="s">
        <v>41</v>
      </c>
      <c r="D116" t="s">
        <v>44</v>
      </c>
      <c r="E116">
        <v>1.2</v>
      </c>
      <c r="F116">
        <v>59</v>
      </c>
      <c r="G116">
        <v>533</v>
      </c>
      <c r="H116">
        <v>440</v>
      </c>
      <c r="I116" s="11">
        <f t="shared" si="5"/>
        <v>82.551594746716688</v>
      </c>
      <c r="J116">
        <v>0</v>
      </c>
      <c r="K116" t="s">
        <v>36</v>
      </c>
      <c r="L116">
        <v>0</v>
      </c>
      <c r="M116" t="s">
        <v>36</v>
      </c>
      <c r="N116">
        <v>27</v>
      </c>
      <c r="O116">
        <v>5</v>
      </c>
      <c r="P116">
        <v>8</v>
      </c>
      <c r="Q116">
        <v>10</v>
      </c>
      <c r="R116">
        <v>0</v>
      </c>
      <c r="S116">
        <v>0</v>
      </c>
      <c r="AB116" t="str">
        <f t="shared" si="3"/>
        <v>Normal</v>
      </c>
      <c r="AC116" t="str">
        <f t="shared" si="4"/>
        <v>Normal</v>
      </c>
    </row>
    <row r="117" spans="1:29" x14ac:dyDescent="0.25">
      <c r="A117" t="s">
        <v>31</v>
      </c>
      <c r="B117" s="2">
        <v>45619</v>
      </c>
      <c r="C117" t="s">
        <v>41</v>
      </c>
      <c r="D117" t="s">
        <v>34</v>
      </c>
      <c r="E117">
        <v>1</v>
      </c>
      <c r="F117">
        <v>59</v>
      </c>
      <c r="G117">
        <v>603</v>
      </c>
      <c r="H117">
        <v>499</v>
      </c>
      <c r="I117" s="11">
        <f t="shared" si="5"/>
        <v>82.752902155887227</v>
      </c>
      <c r="J117">
        <v>1</v>
      </c>
      <c r="K117" t="s">
        <v>40</v>
      </c>
      <c r="L117">
        <v>1</v>
      </c>
      <c r="M117" t="s">
        <v>36</v>
      </c>
      <c r="N117">
        <v>10</v>
      </c>
      <c r="O117">
        <v>3</v>
      </c>
      <c r="P117">
        <v>14</v>
      </c>
      <c r="Q117">
        <v>7</v>
      </c>
      <c r="R117">
        <v>3</v>
      </c>
      <c r="S117">
        <v>0</v>
      </c>
      <c r="AB117" t="str">
        <f t="shared" si="3"/>
        <v>Normal</v>
      </c>
      <c r="AC117" t="str">
        <f t="shared" si="4"/>
        <v>Normal</v>
      </c>
    </row>
    <row r="118" spans="1:29" x14ac:dyDescent="0.25">
      <c r="A118" t="s">
        <v>31</v>
      </c>
      <c r="B118" s="2">
        <v>45619</v>
      </c>
      <c r="C118" t="s">
        <v>50</v>
      </c>
      <c r="D118" t="s">
        <v>58</v>
      </c>
      <c r="E118">
        <v>2.1</v>
      </c>
      <c r="F118">
        <v>58</v>
      </c>
      <c r="G118">
        <v>618</v>
      </c>
      <c r="H118">
        <v>546</v>
      </c>
      <c r="I118" s="11">
        <f t="shared" si="5"/>
        <v>88.349514563106794</v>
      </c>
      <c r="J118">
        <v>0</v>
      </c>
      <c r="K118" t="s">
        <v>40</v>
      </c>
      <c r="L118">
        <v>0</v>
      </c>
      <c r="M118" t="s">
        <v>40</v>
      </c>
      <c r="N118">
        <v>23</v>
      </c>
      <c r="O118">
        <v>5</v>
      </c>
      <c r="P118">
        <v>19</v>
      </c>
      <c r="Q118">
        <v>9</v>
      </c>
      <c r="R118">
        <v>4</v>
      </c>
      <c r="S118">
        <v>0</v>
      </c>
      <c r="AB118" t="str">
        <f t="shared" si="3"/>
        <v>Normal</v>
      </c>
      <c r="AC118" t="str">
        <f t="shared" si="4"/>
        <v>Normal</v>
      </c>
    </row>
    <row r="119" spans="1:29" x14ac:dyDescent="0.25">
      <c r="A119" t="s">
        <v>31</v>
      </c>
      <c r="B119" s="2">
        <v>45620</v>
      </c>
      <c r="C119" t="s">
        <v>53</v>
      </c>
      <c r="D119" t="s">
        <v>47</v>
      </c>
      <c r="E119">
        <v>1.3</v>
      </c>
      <c r="F119">
        <v>38</v>
      </c>
      <c r="G119">
        <v>396</v>
      </c>
      <c r="H119">
        <v>327</v>
      </c>
      <c r="I119" s="11">
        <f t="shared" si="5"/>
        <v>82.575757575757578</v>
      </c>
      <c r="J119">
        <v>2</v>
      </c>
      <c r="K119" t="s">
        <v>40</v>
      </c>
      <c r="L119">
        <v>1</v>
      </c>
      <c r="M119" t="s">
        <v>36</v>
      </c>
      <c r="N119">
        <v>7</v>
      </c>
      <c r="O119">
        <v>5</v>
      </c>
      <c r="P119">
        <v>11</v>
      </c>
      <c r="Q119">
        <v>3</v>
      </c>
      <c r="R119">
        <v>3</v>
      </c>
      <c r="S119">
        <v>0</v>
      </c>
      <c r="AB119" t="str">
        <f t="shared" si="3"/>
        <v>Normal</v>
      </c>
      <c r="AC119" t="str">
        <f t="shared" si="4"/>
        <v>Normal</v>
      </c>
    </row>
    <row r="120" spans="1:29" x14ac:dyDescent="0.25">
      <c r="A120" t="s">
        <v>31</v>
      </c>
      <c r="B120" s="2">
        <v>45620</v>
      </c>
      <c r="C120" t="s">
        <v>56</v>
      </c>
      <c r="D120" t="s">
        <v>38</v>
      </c>
      <c r="E120">
        <v>1.6</v>
      </c>
      <c r="F120">
        <v>40</v>
      </c>
      <c r="G120">
        <v>462</v>
      </c>
      <c r="H120">
        <v>368</v>
      </c>
      <c r="I120" s="11">
        <f t="shared" si="5"/>
        <v>79.65367965367966</v>
      </c>
      <c r="J120">
        <v>1</v>
      </c>
      <c r="K120" t="s">
        <v>36</v>
      </c>
      <c r="L120">
        <v>1</v>
      </c>
      <c r="M120" t="s">
        <v>36</v>
      </c>
      <c r="N120">
        <v>11</v>
      </c>
      <c r="O120">
        <v>6</v>
      </c>
      <c r="P120">
        <v>11</v>
      </c>
      <c r="Q120">
        <v>4</v>
      </c>
      <c r="R120">
        <v>0</v>
      </c>
      <c r="S120">
        <v>0</v>
      </c>
      <c r="AB120" t="str">
        <f t="shared" si="3"/>
        <v>Normal</v>
      </c>
      <c r="AC120" t="str">
        <f t="shared" si="4"/>
        <v>Normal</v>
      </c>
    </row>
    <row r="121" spans="1:29" x14ac:dyDescent="0.25">
      <c r="A121" t="s">
        <v>31</v>
      </c>
      <c r="B121" s="2">
        <v>45621</v>
      </c>
      <c r="C121" t="s">
        <v>32</v>
      </c>
      <c r="D121" t="s">
        <v>46</v>
      </c>
      <c r="E121">
        <v>1.6</v>
      </c>
      <c r="F121">
        <v>53</v>
      </c>
      <c r="G121">
        <v>576</v>
      </c>
      <c r="H121">
        <v>474</v>
      </c>
      <c r="I121" s="11">
        <f t="shared" si="5"/>
        <v>82.291666666666657</v>
      </c>
      <c r="J121">
        <v>0</v>
      </c>
      <c r="K121" t="s">
        <v>40</v>
      </c>
      <c r="L121">
        <v>0</v>
      </c>
      <c r="M121" t="s">
        <v>40</v>
      </c>
      <c r="N121">
        <v>18</v>
      </c>
      <c r="O121">
        <v>2</v>
      </c>
      <c r="P121">
        <v>11</v>
      </c>
      <c r="Q121">
        <v>8</v>
      </c>
      <c r="R121">
        <v>1</v>
      </c>
      <c r="S121">
        <v>0</v>
      </c>
      <c r="AB121" t="str">
        <f t="shared" si="3"/>
        <v>Normal</v>
      </c>
      <c r="AC121" t="str">
        <f t="shared" si="4"/>
        <v>Normal</v>
      </c>
    </row>
    <row r="122" spans="1:29" x14ac:dyDescent="0.25">
      <c r="A122" t="s">
        <v>31</v>
      </c>
      <c r="B122" s="2">
        <v>45625</v>
      </c>
      <c r="C122" t="s">
        <v>32</v>
      </c>
      <c r="D122" t="s">
        <v>45</v>
      </c>
      <c r="E122">
        <v>1.7</v>
      </c>
      <c r="F122">
        <v>53</v>
      </c>
      <c r="G122">
        <v>511</v>
      </c>
      <c r="H122">
        <v>439</v>
      </c>
      <c r="I122" s="11">
        <f t="shared" si="5"/>
        <v>85.909980430528378</v>
      </c>
      <c r="J122">
        <v>1</v>
      </c>
      <c r="K122" t="s">
        <v>36</v>
      </c>
      <c r="L122">
        <v>1</v>
      </c>
      <c r="M122" t="s">
        <v>35</v>
      </c>
      <c r="N122">
        <v>22</v>
      </c>
      <c r="O122">
        <v>5</v>
      </c>
      <c r="P122">
        <v>20</v>
      </c>
      <c r="Q122">
        <v>7</v>
      </c>
      <c r="R122">
        <v>2</v>
      </c>
      <c r="S122">
        <v>0</v>
      </c>
      <c r="AB122" t="str">
        <f t="shared" si="3"/>
        <v>Normal</v>
      </c>
      <c r="AC122" t="str">
        <f t="shared" si="4"/>
        <v>Normal</v>
      </c>
    </row>
    <row r="123" spans="1:29" x14ac:dyDescent="0.25">
      <c r="A123" t="s">
        <v>31</v>
      </c>
      <c r="B123" s="2">
        <v>45626</v>
      </c>
      <c r="C123" t="s">
        <v>41</v>
      </c>
      <c r="D123" t="s">
        <v>54</v>
      </c>
      <c r="E123">
        <v>2.4</v>
      </c>
      <c r="F123">
        <v>60</v>
      </c>
      <c r="G123">
        <v>627</v>
      </c>
      <c r="H123">
        <v>518</v>
      </c>
      <c r="I123" s="11">
        <f t="shared" si="5"/>
        <v>82.61562998405104</v>
      </c>
      <c r="J123">
        <v>4</v>
      </c>
      <c r="K123" t="s">
        <v>35</v>
      </c>
      <c r="L123">
        <v>3</v>
      </c>
      <c r="M123" t="s">
        <v>35</v>
      </c>
      <c r="N123">
        <v>13</v>
      </c>
      <c r="O123">
        <v>6</v>
      </c>
      <c r="P123">
        <v>9</v>
      </c>
      <c r="Q123">
        <v>5</v>
      </c>
      <c r="R123">
        <v>1</v>
      </c>
      <c r="S123">
        <v>0</v>
      </c>
      <c r="AB123" t="str">
        <f t="shared" si="3"/>
        <v>Normal</v>
      </c>
      <c r="AC123" t="str">
        <f t="shared" si="4"/>
        <v>Normal</v>
      </c>
    </row>
    <row r="124" spans="1:29" x14ac:dyDescent="0.25">
      <c r="A124" t="s">
        <v>31</v>
      </c>
      <c r="B124" s="2">
        <v>45626</v>
      </c>
      <c r="C124" t="s">
        <v>41</v>
      </c>
      <c r="D124" t="s">
        <v>55</v>
      </c>
      <c r="E124">
        <v>1.7</v>
      </c>
      <c r="F124">
        <v>49</v>
      </c>
      <c r="G124">
        <v>450</v>
      </c>
      <c r="H124">
        <v>351</v>
      </c>
      <c r="I124" s="11">
        <f t="shared" si="5"/>
        <v>78</v>
      </c>
      <c r="J124">
        <v>1</v>
      </c>
      <c r="K124" t="s">
        <v>36</v>
      </c>
      <c r="L124">
        <v>0</v>
      </c>
      <c r="M124" t="s">
        <v>36</v>
      </c>
      <c r="N124">
        <v>16</v>
      </c>
      <c r="O124">
        <v>4</v>
      </c>
      <c r="P124">
        <v>12</v>
      </c>
      <c r="Q124">
        <v>8</v>
      </c>
      <c r="R124">
        <v>3</v>
      </c>
      <c r="S124">
        <v>0</v>
      </c>
      <c r="AB124" t="str">
        <f t="shared" si="3"/>
        <v>Normal</v>
      </c>
      <c r="AC124" t="str">
        <f t="shared" si="4"/>
        <v>Normal</v>
      </c>
    </row>
    <row r="125" spans="1:29" x14ac:dyDescent="0.25">
      <c r="A125" t="s">
        <v>31</v>
      </c>
      <c r="B125" s="2">
        <v>45626</v>
      </c>
      <c r="C125" t="s">
        <v>41</v>
      </c>
      <c r="D125" t="s">
        <v>48</v>
      </c>
      <c r="E125">
        <v>1.6</v>
      </c>
      <c r="F125">
        <v>45</v>
      </c>
      <c r="G125">
        <v>354</v>
      </c>
      <c r="H125">
        <v>258</v>
      </c>
      <c r="I125" s="11">
        <f t="shared" si="5"/>
        <v>72.881355932203391</v>
      </c>
      <c r="J125">
        <v>1</v>
      </c>
      <c r="K125" t="s">
        <v>35</v>
      </c>
      <c r="L125">
        <v>0</v>
      </c>
      <c r="M125" t="s">
        <v>36</v>
      </c>
      <c r="N125">
        <v>12</v>
      </c>
      <c r="O125">
        <v>5</v>
      </c>
      <c r="P125">
        <v>5</v>
      </c>
      <c r="Q125">
        <v>8</v>
      </c>
      <c r="R125">
        <v>1</v>
      </c>
      <c r="S125">
        <v>0</v>
      </c>
      <c r="AB125" t="str">
        <f t="shared" si="3"/>
        <v>Normal</v>
      </c>
      <c r="AC125" t="str">
        <f t="shared" si="4"/>
        <v>Normal</v>
      </c>
    </row>
    <row r="126" spans="1:29" x14ac:dyDescent="0.25">
      <c r="A126" t="s">
        <v>31</v>
      </c>
      <c r="B126" s="2">
        <v>45626</v>
      </c>
      <c r="C126" t="s">
        <v>41</v>
      </c>
      <c r="D126" t="s">
        <v>43</v>
      </c>
      <c r="E126">
        <v>0.5</v>
      </c>
      <c r="F126">
        <v>60</v>
      </c>
      <c r="G126">
        <v>571</v>
      </c>
      <c r="H126">
        <v>472</v>
      </c>
      <c r="I126" s="11">
        <f t="shared" si="5"/>
        <v>82.661996497373025</v>
      </c>
      <c r="J126">
        <v>2</v>
      </c>
      <c r="K126" t="s">
        <v>40</v>
      </c>
      <c r="L126">
        <v>1</v>
      </c>
      <c r="M126" t="s">
        <v>40</v>
      </c>
      <c r="N126">
        <v>10</v>
      </c>
      <c r="O126">
        <v>3</v>
      </c>
      <c r="P126">
        <v>13</v>
      </c>
      <c r="Q126">
        <v>3</v>
      </c>
      <c r="R126">
        <v>4</v>
      </c>
      <c r="S126">
        <v>0</v>
      </c>
      <c r="AB126" t="str">
        <f t="shared" si="3"/>
        <v>Normal</v>
      </c>
      <c r="AC126" t="str">
        <f t="shared" si="4"/>
        <v>Normal</v>
      </c>
    </row>
    <row r="127" spans="1:29" x14ac:dyDescent="0.25">
      <c r="A127" t="s">
        <v>31</v>
      </c>
      <c r="B127" s="2">
        <v>45626</v>
      </c>
      <c r="C127" t="s">
        <v>50</v>
      </c>
      <c r="D127" t="s">
        <v>51</v>
      </c>
      <c r="E127">
        <v>1.5</v>
      </c>
      <c r="F127">
        <v>40</v>
      </c>
      <c r="G127">
        <v>348</v>
      </c>
      <c r="H127">
        <v>268</v>
      </c>
      <c r="I127" s="11">
        <f t="shared" si="5"/>
        <v>77.011494252873561</v>
      </c>
      <c r="J127">
        <v>2</v>
      </c>
      <c r="K127" t="s">
        <v>40</v>
      </c>
      <c r="L127">
        <v>2</v>
      </c>
      <c r="M127" t="s">
        <v>40</v>
      </c>
      <c r="N127">
        <v>12</v>
      </c>
      <c r="O127">
        <v>5</v>
      </c>
      <c r="P127">
        <v>10</v>
      </c>
      <c r="Q127">
        <v>2</v>
      </c>
      <c r="R127">
        <v>4</v>
      </c>
      <c r="S127">
        <v>0</v>
      </c>
      <c r="AB127" t="str">
        <f t="shared" si="3"/>
        <v>Normal</v>
      </c>
      <c r="AC127" t="str">
        <f t="shared" si="4"/>
        <v>Normal</v>
      </c>
    </row>
    <row r="128" spans="1:29" x14ac:dyDescent="0.25">
      <c r="A128" t="s">
        <v>31</v>
      </c>
      <c r="B128" s="2">
        <v>45627</v>
      </c>
      <c r="C128" t="s">
        <v>61</v>
      </c>
      <c r="D128" t="s">
        <v>57</v>
      </c>
      <c r="E128">
        <v>1.6</v>
      </c>
      <c r="F128">
        <v>64</v>
      </c>
      <c r="G128">
        <v>656</v>
      </c>
      <c r="H128">
        <v>579</v>
      </c>
      <c r="I128" s="11">
        <f t="shared" si="5"/>
        <v>88.262195121951208</v>
      </c>
      <c r="J128">
        <v>3</v>
      </c>
      <c r="K128" t="s">
        <v>35</v>
      </c>
      <c r="L128">
        <v>2</v>
      </c>
      <c r="M128" t="s">
        <v>35</v>
      </c>
      <c r="N128">
        <v>17</v>
      </c>
      <c r="O128">
        <v>8</v>
      </c>
      <c r="P128">
        <v>21</v>
      </c>
      <c r="Q128">
        <v>3</v>
      </c>
      <c r="R128">
        <v>2</v>
      </c>
      <c r="S128">
        <v>0</v>
      </c>
      <c r="AB128" t="str">
        <f t="shared" si="3"/>
        <v>Normal</v>
      </c>
      <c r="AC128" t="str">
        <f t="shared" si="4"/>
        <v>Normal</v>
      </c>
    </row>
    <row r="129" spans="1:29" x14ac:dyDescent="0.25">
      <c r="A129" t="s">
        <v>31</v>
      </c>
      <c r="B129" s="2">
        <v>45627</v>
      </c>
      <c r="C129" t="s">
        <v>61</v>
      </c>
      <c r="D129" t="s">
        <v>33</v>
      </c>
      <c r="E129">
        <v>1.1000000000000001</v>
      </c>
      <c r="F129">
        <v>60</v>
      </c>
      <c r="G129">
        <v>653</v>
      </c>
      <c r="H129">
        <v>580</v>
      </c>
      <c r="I129" s="11">
        <f t="shared" si="5"/>
        <v>88.820826952526801</v>
      </c>
      <c r="J129">
        <v>4</v>
      </c>
      <c r="K129" t="s">
        <v>35</v>
      </c>
      <c r="L129">
        <v>2</v>
      </c>
      <c r="M129" t="s">
        <v>35</v>
      </c>
      <c r="N129">
        <v>11</v>
      </c>
      <c r="O129">
        <v>5</v>
      </c>
      <c r="P129">
        <v>12</v>
      </c>
      <c r="Q129">
        <v>2</v>
      </c>
      <c r="R129">
        <v>2</v>
      </c>
      <c r="S129">
        <v>0</v>
      </c>
      <c r="AB129" t="str">
        <f t="shared" si="3"/>
        <v>Normal</v>
      </c>
      <c r="AC129" t="str">
        <f t="shared" si="4"/>
        <v>Normal</v>
      </c>
    </row>
    <row r="130" spans="1:29" x14ac:dyDescent="0.25">
      <c r="A130" t="s">
        <v>31</v>
      </c>
      <c r="B130" s="2">
        <v>45627</v>
      </c>
      <c r="C130" t="s">
        <v>61</v>
      </c>
      <c r="D130" t="s">
        <v>60</v>
      </c>
      <c r="E130">
        <v>0.8</v>
      </c>
      <c r="F130">
        <v>51</v>
      </c>
      <c r="G130">
        <v>532</v>
      </c>
      <c r="H130">
        <v>449</v>
      </c>
      <c r="I130" s="11">
        <f t="shared" si="5"/>
        <v>84.398496240601503</v>
      </c>
      <c r="J130">
        <v>1</v>
      </c>
      <c r="K130" t="s">
        <v>36</v>
      </c>
      <c r="L130">
        <v>0</v>
      </c>
      <c r="M130" t="s">
        <v>36</v>
      </c>
      <c r="N130">
        <v>8</v>
      </c>
      <c r="O130">
        <v>3</v>
      </c>
      <c r="P130">
        <v>4</v>
      </c>
      <c r="Q130">
        <v>7</v>
      </c>
      <c r="R130">
        <v>0</v>
      </c>
      <c r="S130">
        <v>0</v>
      </c>
      <c r="AB130" t="str">
        <f t="shared" ref="AB130:AB193" si="6">IF(E130 &lt; _xlfn.PERCENTILE.INC($E$2:$E$761,0),
    "Ekstrem Rendah",
    IF(E130 &gt; _xlfn.PERCENTILE.INC($E$2:$E$761,1),
        "Ekstrem Tinggi",
        "Normal"
    )
)</f>
        <v>Normal</v>
      </c>
      <c r="AC130" t="str">
        <f t="shared" ref="AC130:AC193" si="7">IF(F130 &lt; _xlfn.PERCENTILE.INC($F$2:$F$761,0.001),
    "Ekstrem Rendah",
    IF(F130 &gt; _xlfn.PERCENTILE.INC($F$2:$F$761,0.999),
        "Ekstrem Tinggi",
        "Normal"
    )
)</f>
        <v>Normal</v>
      </c>
    </row>
    <row r="131" spans="1:29" x14ac:dyDescent="0.25">
      <c r="A131" t="s">
        <v>31</v>
      </c>
      <c r="B131" s="2">
        <v>45627</v>
      </c>
      <c r="C131" t="s">
        <v>62</v>
      </c>
      <c r="D131" t="s">
        <v>39</v>
      </c>
      <c r="E131">
        <v>3.4</v>
      </c>
      <c r="F131">
        <v>44</v>
      </c>
      <c r="G131">
        <v>459</v>
      </c>
      <c r="H131">
        <v>376</v>
      </c>
      <c r="I131" s="11">
        <f t="shared" ref="I131:I194" si="8">H131/G131*100</f>
        <v>81.917211328976038</v>
      </c>
      <c r="J131">
        <v>2</v>
      </c>
      <c r="K131" t="s">
        <v>35</v>
      </c>
      <c r="L131">
        <v>1</v>
      </c>
      <c r="M131" t="s">
        <v>35</v>
      </c>
      <c r="N131">
        <v>18</v>
      </c>
      <c r="O131">
        <v>7</v>
      </c>
      <c r="P131">
        <v>9</v>
      </c>
      <c r="Q131">
        <v>7</v>
      </c>
      <c r="R131">
        <v>1</v>
      </c>
      <c r="S131">
        <v>0</v>
      </c>
      <c r="AB131" t="str">
        <f t="shared" si="6"/>
        <v>Normal</v>
      </c>
      <c r="AC131" t="str">
        <f t="shared" si="7"/>
        <v>Normal</v>
      </c>
    </row>
    <row r="132" spans="1:29" x14ac:dyDescent="0.25">
      <c r="A132" t="s">
        <v>31</v>
      </c>
      <c r="B132" s="2">
        <v>45629</v>
      </c>
      <c r="C132" t="s">
        <v>63</v>
      </c>
      <c r="D132" t="s">
        <v>38</v>
      </c>
      <c r="E132">
        <v>0.5</v>
      </c>
      <c r="F132">
        <v>54</v>
      </c>
      <c r="G132">
        <v>563</v>
      </c>
      <c r="H132">
        <v>456</v>
      </c>
      <c r="I132" s="11">
        <f t="shared" si="8"/>
        <v>80.99467140319716</v>
      </c>
      <c r="J132">
        <v>0</v>
      </c>
      <c r="K132" t="s">
        <v>40</v>
      </c>
      <c r="L132">
        <v>0</v>
      </c>
      <c r="M132" t="s">
        <v>36</v>
      </c>
      <c r="N132">
        <v>9</v>
      </c>
      <c r="O132">
        <v>2</v>
      </c>
      <c r="P132">
        <v>14</v>
      </c>
      <c r="Q132">
        <v>4</v>
      </c>
      <c r="R132">
        <v>2</v>
      </c>
      <c r="S132">
        <v>0</v>
      </c>
      <c r="AB132" t="str">
        <f t="shared" si="6"/>
        <v>Normal</v>
      </c>
      <c r="AC132" t="str">
        <f t="shared" si="7"/>
        <v>Normal</v>
      </c>
    </row>
    <row r="133" spans="1:29" x14ac:dyDescent="0.25">
      <c r="A133" t="s">
        <v>31</v>
      </c>
      <c r="B133" s="2">
        <v>45629</v>
      </c>
      <c r="C133" t="s">
        <v>64</v>
      </c>
      <c r="D133" t="s">
        <v>59</v>
      </c>
      <c r="E133">
        <v>1.7</v>
      </c>
      <c r="F133">
        <v>39</v>
      </c>
      <c r="G133">
        <v>409</v>
      </c>
      <c r="H133">
        <v>304</v>
      </c>
      <c r="I133" s="11">
        <f t="shared" si="8"/>
        <v>74.327628361858189</v>
      </c>
      <c r="J133">
        <v>3</v>
      </c>
      <c r="K133" t="s">
        <v>35</v>
      </c>
      <c r="L133">
        <v>1</v>
      </c>
      <c r="M133" t="s">
        <v>35</v>
      </c>
      <c r="N133">
        <v>8</v>
      </c>
      <c r="O133">
        <v>6</v>
      </c>
      <c r="P133">
        <v>9</v>
      </c>
      <c r="Q133">
        <v>3</v>
      </c>
      <c r="R133">
        <v>2</v>
      </c>
      <c r="S133">
        <v>0</v>
      </c>
      <c r="AB133" t="str">
        <f t="shared" si="6"/>
        <v>Normal</v>
      </c>
      <c r="AC133" t="str">
        <f t="shared" si="7"/>
        <v>Normal</v>
      </c>
    </row>
    <row r="134" spans="1:29" x14ac:dyDescent="0.25">
      <c r="A134" t="s">
        <v>31</v>
      </c>
      <c r="B134" s="2">
        <v>45630</v>
      </c>
      <c r="C134" t="s">
        <v>63</v>
      </c>
      <c r="D134" t="s">
        <v>44</v>
      </c>
      <c r="E134">
        <v>1</v>
      </c>
      <c r="F134">
        <v>44</v>
      </c>
      <c r="G134">
        <v>407</v>
      </c>
      <c r="H134">
        <v>317</v>
      </c>
      <c r="I134" s="11">
        <f t="shared" si="8"/>
        <v>77.886977886977888</v>
      </c>
      <c r="J134">
        <v>4</v>
      </c>
      <c r="K134" t="s">
        <v>35</v>
      </c>
      <c r="L134">
        <v>2</v>
      </c>
      <c r="M134" t="s">
        <v>35</v>
      </c>
      <c r="N134">
        <v>13</v>
      </c>
      <c r="O134">
        <v>4</v>
      </c>
      <c r="P134">
        <v>10</v>
      </c>
      <c r="Q134">
        <v>3</v>
      </c>
      <c r="R134">
        <v>2</v>
      </c>
      <c r="S134">
        <v>0</v>
      </c>
      <c r="AB134" t="str">
        <f t="shared" si="6"/>
        <v>Normal</v>
      </c>
      <c r="AC134" t="str">
        <f t="shared" si="7"/>
        <v>Normal</v>
      </c>
    </row>
    <row r="135" spans="1:29" x14ac:dyDescent="0.25">
      <c r="A135" t="s">
        <v>31</v>
      </c>
      <c r="B135" s="2">
        <v>45630</v>
      </c>
      <c r="C135" t="s">
        <v>63</v>
      </c>
      <c r="D135" t="s">
        <v>58</v>
      </c>
      <c r="E135">
        <v>2.4</v>
      </c>
      <c r="F135">
        <v>66</v>
      </c>
      <c r="G135">
        <v>620</v>
      </c>
      <c r="H135">
        <v>545</v>
      </c>
      <c r="I135" s="11">
        <f t="shared" si="8"/>
        <v>87.903225806451616</v>
      </c>
      <c r="J135">
        <v>3</v>
      </c>
      <c r="K135" t="s">
        <v>35</v>
      </c>
      <c r="L135">
        <v>2</v>
      </c>
      <c r="M135" t="s">
        <v>35</v>
      </c>
      <c r="N135">
        <v>17</v>
      </c>
      <c r="O135">
        <v>7</v>
      </c>
      <c r="P135">
        <v>7</v>
      </c>
      <c r="Q135">
        <v>8</v>
      </c>
      <c r="R135">
        <v>2</v>
      </c>
      <c r="S135">
        <v>0</v>
      </c>
      <c r="AB135" t="str">
        <f t="shared" si="6"/>
        <v>Normal</v>
      </c>
      <c r="AC135" t="str">
        <f t="shared" si="7"/>
        <v>Normal</v>
      </c>
    </row>
    <row r="136" spans="1:29" x14ac:dyDescent="0.25">
      <c r="A136" t="s">
        <v>31</v>
      </c>
      <c r="B136" s="2">
        <v>45630</v>
      </c>
      <c r="C136" t="s">
        <v>63</v>
      </c>
      <c r="D136" t="s">
        <v>46</v>
      </c>
      <c r="E136">
        <v>2.1</v>
      </c>
      <c r="F136">
        <v>42</v>
      </c>
      <c r="G136">
        <v>402</v>
      </c>
      <c r="H136">
        <v>307</v>
      </c>
      <c r="I136" s="11">
        <f t="shared" si="8"/>
        <v>76.368159203980099</v>
      </c>
      <c r="J136">
        <v>3</v>
      </c>
      <c r="K136" t="s">
        <v>36</v>
      </c>
      <c r="L136">
        <v>1</v>
      </c>
      <c r="M136" t="s">
        <v>35</v>
      </c>
      <c r="N136">
        <v>17</v>
      </c>
      <c r="O136">
        <v>6</v>
      </c>
      <c r="P136">
        <v>9</v>
      </c>
      <c r="Q136">
        <v>5</v>
      </c>
      <c r="R136">
        <v>2</v>
      </c>
      <c r="S136">
        <v>0</v>
      </c>
      <c r="AB136" t="str">
        <f t="shared" si="6"/>
        <v>Normal</v>
      </c>
      <c r="AC136" t="str">
        <f t="shared" si="7"/>
        <v>Normal</v>
      </c>
    </row>
    <row r="137" spans="1:29" x14ac:dyDescent="0.25">
      <c r="A137" t="s">
        <v>31</v>
      </c>
      <c r="B137" s="2">
        <v>45630</v>
      </c>
      <c r="C137" t="s">
        <v>63</v>
      </c>
      <c r="D137" t="s">
        <v>47</v>
      </c>
      <c r="E137">
        <v>1.6</v>
      </c>
      <c r="F137">
        <v>45</v>
      </c>
      <c r="G137">
        <v>467</v>
      </c>
      <c r="H137">
        <v>402</v>
      </c>
      <c r="I137" s="11">
        <f t="shared" si="8"/>
        <v>86.081370449678801</v>
      </c>
      <c r="J137">
        <v>1</v>
      </c>
      <c r="K137" t="s">
        <v>40</v>
      </c>
      <c r="L137">
        <v>1</v>
      </c>
      <c r="M137" t="s">
        <v>40</v>
      </c>
      <c r="N137">
        <v>6</v>
      </c>
      <c r="O137">
        <v>4</v>
      </c>
      <c r="P137">
        <v>7</v>
      </c>
      <c r="Q137">
        <v>5</v>
      </c>
      <c r="R137">
        <v>1</v>
      </c>
      <c r="S137">
        <v>1</v>
      </c>
      <c r="AB137" t="str">
        <f t="shared" si="6"/>
        <v>Normal</v>
      </c>
      <c r="AC137" t="str">
        <f t="shared" si="7"/>
        <v>Normal</v>
      </c>
    </row>
    <row r="138" spans="1:29" x14ac:dyDescent="0.25">
      <c r="A138" t="s">
        <v>31</v>
      </c>
      <c r="B138" s="2">
        <v>45630</v>
      </c>
      <c r="C138" t="s">
        <v>64</v>
      </c>
      <c r="D138" t="s">
        <v>42</v>
      </c>
      <c r="E138">
        <v>2.1</v>
      </c>
      <c r="F138">
        <v>51</v>
      </c>
      <c r="G138">
        <v>508</v>
      </c>
      <c r="H138">
        <v>425</v>
      </c>
      <c r="I138" s="11">
        <f t="shared" si="8"/>
        <v>83.661417322834637</v>
      </c>
      <c r="J138">
        <v>2</v>
      </c>
      <c r="K138" t="s">
        <v>35</v>
      </c>
      <c r="L138">
        <v>0</v>
      </c>
      <c r="M138" t="s">
        <v>36</v>
      </c>
      <c r="N138">
        <v>14</v>
      </c>
      <c r="O138">
        <v>6</v>
      </c>
      <c r="P138">
        <v>12</v>
      </c>
      <c r="Q138">
        <v>13</v>
      </c>
      <c r="R138">
        <v>1</v>
      </c>
      <c r="S138">
        <v>0</v>
      </c>
      <c r="AB138" t="str">
        <f t="shared" si="6"/>
        <v>Normal</v>
      </c>
      <c r="AC138" t="str">
        <f t="shared" si="7"/>
        <v>Normal</v>
      </c>
    </row>
    <row r="139" spans="1:29" x14ac:dyDescent="0.25">
      <c r="A139" t="s">
        <v>31</v>
      </c>
      <c r="B139" s="2">
        <v>45630</v>
      </c>
      <c r="C139" t="s">
        <v>64</v>
      </c>
      <c r="D139" t="s">
        <v>52</v>
      </c>
      <c r="E139">
        <v>2.4</v>
      </c>
      <c r="F139">
        <v>49</v>
      </c>
      <c r="G139">
        <v>427</v>
      </c>
      <c r="H139">
        <v>350</v>
      </c>
      <c r="I139" s="11">
        <f t="shared" si="8"/>
        <v>81.967213114754102</v>
      </c>
      <c r="J139">
        <v>3</v>
      </c>
      <c r="K139" t="s">
        <v>35</v>
      </c>
      <c r="L139">
        <v>3</v>
      </c>
      <c r="M139" t="s">
        <v>35</v>
      </c>
      <c r="N139">
        <v>20</v>
      </c>
      <c r="O139">
        <v>10</v>
      </c>
      <c r="P139">
        <v>11</v>
      </c>
      <c r="Q139">
        <v>10</v>
      </c>
      <c r="R139">
        <v>2</v>
      </c>
      <c r="S139">
        <v>0</v>
      </c>
      <c r="AB139" t="str">
        <f t="shared" si="6"/>
        <v>Normal</v>
      </c>
      <c r="AC139" t="str">
        <f t="shared" si="7"/>
        <v>Normal</v>
      </c>
    </row>
    <row r="140" spans="1:29" x14ac:dyDescent="0.25">
      <c r="A140" t="s">
        <v>31</v>
      </c>
      <c r="B140" s="2">
        <v>45631</v>
      </c>
      <c r="C140" t="s">
        <v>63</v>
      </c>
      <c r="D140" t="s">
        <v>34</v>
      </c>
      <c r="E140">
        <v>1.1000000000000001</v>
      </c>
      <c r="F140">
        <v>43</v>
      </c>
      <c r="G140">
        <v>419</v>
      </c>
      <c r="H140">
        <v>330</v>
      </c>
      <c r="I140" s="11">
        <f t="shared" si="8"/>
        <v>78.758949880668254</v>
      </c>
      <c r="J140">
        <v>3</v>
      </c>
      <c r="K140" t="s">
        <v>35</v>
      </c>
      <c r="L140">
        <v>1</v>
      </c>
      <c r="M140" t="s">
        <v>35</v>
      </c>
      <c r="N140">
        <v>6</v>
      </c>
      <c r="O140">
        <v>2</v>
      </c>
      <c r="P140">
        <v>7</v>
      </c>
      <c r="Q140">
        <v>5</v>
      </c>
      <c r="R140">
        <v>2</v>
      </c>
      <c r="S140">
        <v>0</v>
      </c>
      <c r="AB140" t="str">
        <f t="shared" si="6"/>
        <v>Normal</v>
      </c>
      <c r="AC140" t="str">
        <f t="shared" si="7"/>
        <v>Normal</v>
      </c>
    </row>
    <row r="141" spans="1:29" x14ac:dyDescent="0.25">
      <c r="A141" t="s">
        <v>31</v>
      </c>
      <c r="B141" s="2">
        <v>45631</v>
      </c>
      <c r="C141" t="s">
        <v>64</v>
      </c>
      <c r="D141" t="s">
        <v>49</v>
      </c>
      <c r="E141">
        <v>3.5</v>
      </c>
      <c r="F141">
        <v>35</v>
      </c>
      <c r="G141">
        <v>290</v>
      </c>
      <c r="H141">
        <v>194</v>
      </c>
      <c r="I141" s="11">
        <f t="shared" si="8"/>
        <v>66.896551724137936</v>
      </c>
      <c r="J141">
        <v>1</v>
      </c>
      <c r="K141" t="s">
        <v>35</v>
      </c>
      <c r="L141">
        <v>1</v>
      </c>
      <c r="M141" t="s">
        <v>35</v>
      </c>
      <c r="N141">
        <v>21</v>
      </c>
      <c r="O141">
        <v>8</v>
      </c>
      <c r="P141">
        <v>15</v>
      </c>
      <c r="Q141">
        <v>5</v>
      </c>
      <c r="R141">
        <v>2</v>
      </c>
      <c r="S141">
        <v>0</v>
      </c>
      <c r="AB141" t="str">
        <f t="shared" si="6"/>
        <v>Normal</v>
      </c>
      <c r="AC141" t="str">
        <f t="shared" si="7"/>
        <v>Normal</v>
      </c>
    </row>
    <row r="142" spans="1:29" x14ac:dyDescent="0.25">
      <c r="A142" t="s">
        <v>31</v>
      </c>
      <c r="B142" s="2">
        <v>45633</v>
      </c>
      <c r="C142" t="s">
        <v>41</v>
      </c>
      <c r="D142" t="s">
        <v>52</v>
      </c>
      <c r="E142">
        <v>2.2999999999999998</v>
      </c>
      <c r="F142">
        <v>47</v>
      </c>
      <c r="G142">
        <v>462</v>
      </c>
      <c r="H142">
        <v>383</v>
      </c>
      <c r="I142" s="11">
        <f t="shared" si="8"/>
        <v>82.900432900432889</v>
      </c>
      <c r="J142">
        <v>1</v>
      </c>
      <c r="K142" t="s">
        <v>35</v>
      </c>
      <c r="L142">
        <v>1</v>
      </c>
      <c r="M142" t="s">
        <v>35</v>
      </c>
      <c r="N142">
        <v>18</v>
      </c>
      <c r="O142">
        <v>5</v>
      </c>
      <c r="P142">
        <v>18</v>
      </c>
      <c r="Q142">
        <v>14</v>
      </c>
      <c r="R142">
        <v>1</v>
      </c>
      <c r="S142">
        <v>0</v>
      </c>
      <c r="AB142" t="str">
        <f t="shared" si="6"/>
        <v>Normal</v>
      </c>
      <c r="AC142" t="str">
        <f t="shared" si="7"/>
        <v>Normal</v>
      </c>
    </row>
    <row r="143" spans="1:29" x14ac:dyDescent="0.25">
      <c r="A143" t="s">
        <v>31</v>
      </c>
      <c r="B143" s="2">
        <v>45633</v>
      </c>
      <c r="C143" t="s">
        <v>41</v>
      </c>
      <c r="D143" t="s">
        <v>54</v>
      </c>
      <c r="E143">
        <v>1.2</v>
      </c>
      <c r="F143">
        <v>43</v>
      </c>
      <c r="G143">
        <v>427</v>
      </c>
      <c r="H143">
        <v>331</v>
      </c>
      <c r="I143" s="11">
        <f t="shared" si="8"/>
        <v>77.517564402810308</v>
      </c>
      <c r="J143">
        <v>4</v>
      </c>
      <c r="K143" t="s">
        <v>35</v>
      </c>
      <c r="L143">
        <v>2</v>
      </c>
      <c r="M143" t="s">
        <v>36</v>
      </c>
      <c r="N143">
        <v>11</v>
      </c>
      <c r="O143">
        <v>8</v>
      </c>
      <c r="P143">
        <v>10</v>
      </c>
      <c r="Q143">
        <v>3</v>
      </c>
      <c r="R143">
        <v>3</v>
      </c>
      <c r="S143">
        <v>0</v>
      </c>
      <c r="AB143" t="str">
        <f t="shared" si="6"/>
        <v>Normal</v>
      </c>
      <c r="AC143" t="str">
        <f t="shared" si="7"/>
        <v>Normal</v>
      </c>
    </row>
    <row r="144" spans="1:29" x14ac:dyDescent="0.25">
      <c r="A144" t="s">
        <v>31</v>
      </c>
      <c r="B144" s="2">
        <v>45633</v>
      </c>
      <c r="C144" t="s">
        <v>41</v>
      </c>
      <c r="D144" t="s">
        <v>55</v>
      </c>
      <c r="E144">
        <v>1.3</v>
      </c>
      <c r="F144">
        <v>32</v>
      </c>
      <c r="G144">
        <v>364</v>
      </c>
      <c r="H144">
        <v>276</v>
      </c>
      <c r="I144" s="11">
        <f t="shared" si="8"/>
        <v>75.824175824175825</v>
      </c>
      <c r="J144">
        <v>2</v>
      </c>
      <c r="K144" t="s">
        <v>36</v>
      </c>
      <c r="L144">
        <v>1</v>
      </c>
      <c r="M144" t="s">
        <v>36</v>
      </c>
      <c r="N144">
        <v>12</v>
      </c>
      <c r="O144">
        <v>3</v>
      </c>
      <c r="P144">
        <v>4</v>
      </c>
      <c r="Q144">
        <v>6</v>
      </c>
      <c r="R144">
        <v>1</v>
      </c>
      <c r="S144">
        <v>0</v>
      </c>
      <c r="AB144" t="str">
        <f t="shared" si="6"/>
        <v>Normal</v>
      </c>
      <c r="AC144" t="str">
        <f t="shared" si="7"/>
        <v>Normal</v>
      </c>
    </row>
    <row r="145" spans="1:29" x14ac:dyDescent="0.25">
      <c r="A145" t="s">
        <v>31</v>
      </c>
      <c r="B145" s="2">
        <v>45633</v>
      </c>
      <c r="C145" t="s">
        <v>50</v>
      </c>
      <c r="D145" t="s">
        <v>33</v>
      </c>
      <c r="E145">
        <v>1.6</v>
      </c>
      <c r="F145">
        <v>71</v>
      </c>
      <c r="G145">
        <v>642</v>
      </c>
      <c r="H145">
        <v>548</v>
      </c>
      <c r="I145" s="11">
        <f t="shared" si="8"/>
        <v>85.35825545171339</v>
      </c>
      <c r="J145">
        <v>2</v>
      </c>
      <c r="K145" t="s">
        <v>40</v>
      </c>
      <c r="L145">
        <v>1</v>
      </c>
      <c r="M145" t="s">
        <v>36</v>
      </c>
      <c r="N145">
        <v>17</v>
      </c>
      <c r="O145">
        <v>7</v>
      </c>
      <c r="P145">
        <v>10</v>
      </c>
      <c r="Q145">
        <v>5</v>
      </c>
      <c r="R145">
        <v>0</v>
      </c>
      <c r="S145">
        <v>0</v>
      </c>
      <c r="AB145" t="str">
        <f t="shared" si="6"/>
        <v>Normal</v>
      </c>
      <c r="AC145" t="str">
        <f t="shared" si="7"/>
        <v>Normal</v>
      </c>
    </row>
    <row r="146" spans="1:29" x14ac:dyDescent="0.25">
      <c r="A146" t="s">
        <v>31</v>
      </c>
      <c r="B146" s="2">
        <v>45634</v>
      </c>
      <c r="C146" t="s">
        <v>53</v>
      </c>
      <c r="D146" t="s">
        <v>34</v>
      </c>
      <c r="E146">
        <v>0.2</v>
      </c>
      <c r="F146">
        <v>34</v>
      </c>
      <c r="G146">
        <v>328</v>
      </c>
      <c r="H146">
        <v>233</v>
      </c>
      <c r="I146" s="11">
        <f t="shared" si="8"/>
        <v>71.036585365853654</v>
      </c>
      <c r="J146">
        <v>1</v>
      </c>
      <c r="K146" t="s">
        <v>36</v>
      </c>
      <c r="L146">
        <v>1</v>
      </c>
      <c r="M146" t="s">
        <v>35</v>
      </c>
      <c r="N146">
        <v>2</v>
      </c>
      <c r="O146">
        <v>2</v>
      </c>
      <c r="P146">
        <v>10</v>
      </c>
      <c r="Q146">
        <v>0</v>
      </c>
      <c r="R146">
        <v>4</v>
      </c>
      <c r="S146">
        <v>0</v>
      </c>
      <c r="AB146" t="str">
        <f t="shared" si="6"/>
        <v>Normal</v>
      </c>
      <c r="AC146" t="str">
        <f t="shared" si="7"/>
        <v>Normal</v>
      </c>
    </row>
    <row r="147" spans="1:29" x14ac:dyDescent="0.25">
      <c r="A147" t="s">
        <v>31</v>
      </c>
      <c r="B147" s="2">
        <v>45634</v>
      </c>
      <c r="C147" t="s">
        <v>53</v>
      </c>
      <c r="D147" t="s">
        <v>38</v>
      </c>
      <c r="E147">
        <v>1.3</v>
      </c>
      <c r="F147">
        <v>44</v>
      </c>
      <c r="G147">
        <v>377</v>
      </c>
      <c r="H147">
        <v>268</v>
      </c>
      <c r="I147" s="11">
        <f t="shared" si="8"/>
        <v>71.087533156498665</v>
      </c>
      <c r="J147">
        <v>1</v>
      </c>
      <c r="K147" t="s">
        <v>40</v>
      </c>
      <c r="L147">
        <v>1</v>
      </c>
      <c r="M147" t="s">
        <v>35</v>
      </c>
      <c r="N147">
        <v>18</v>
      </c>
      <c r="O147">
        <v>5</v>
      </c>
      <c r="P147">
        <v>9</v>
      </c>
      <c r="Q147">
        <v>6</v>
      </c>
      <c r="R147">
        <v>2</v>
      </c>
      <c r="S147">
        <v>0</v>
      </c>
      <c r="AB147" t="str">
        <f t="shared" si="6"/>
        <v>Normal</v>
      </c>
      <c r="AC147" t="str">
        <f t="shared" si="7"/>
        <v>Normal</v>
      </c>
    </row>
    <row r="148" spans="1:29" x14ac:dyDescent="0.25">
      <c r="A148" t="s">
        <v>31</v>
      </c>
      <c r="B148" s="2">
        <v>45634</v>
      </c>
      <c r="C148" t="s">
        <v>53</v>
      </c>
      <c r="D148" t="s">
        <v>59</v>
      </c>
      <c r="E148">
        <v>1.3</v>
      </c>
      <c r="F148">
        <v>56</v>
      </c>
      <c r="G148">
        <v>570</v>
      </c>
      <c r="H148">
        <v>472</v>
      </c>
      <c r="I148" s="11">
        <f t="shared" si="8"/>
        <v>82.807017543859658</v>
      </c>
      <c r="J148">
        <v>2</v>
      </c>
      <c r="K148" t="s">
        <v>36</v>
      </c>
      <c r="L148">
        <v>0</v>
      </c>
      <c r="M148" t="s">
        <v>40</v>
      </c>
      <c r="N148">
        <v>10</v>
      </c>
      <c r="O148">
        <v>3</v>
      </c>
      <c r="P148">
        <v>9</v>
      </c>
      <c r="Q148">
        <v>5</v>
      </c>
      <c r="R148">
        <v>1</v>
      </c>
      <c r="S148">
        <v>0</v>
      </c>
      <c r="AB148" t="str">
        <f t="shared" si="6"/>
        <v>Normal</v>
      </c>
      <c r="AC148" t="str">
        <f t="shared" si="7"/>
        <v>Normal</v>
      </c>
    </row>
    <row r="149" spans="1:29" x14ac:dyDescent="0.25">
      <c r="A149" t="s">
        <v>31</v>
      </c>
      <c r="B149" s="2">
        <v>45634</v>
      </c>
      <c r="C149" t="s">
        <v>56</v>
      </c>
      <c r="D149" t="s">
        <v>60</v>
      </c>
      <c r="E149">
        <v>2.8</v>
      </c>
      <c r="F149">
        <v>39</v>
      </c>
      <c r="G149">
        <v>355</v>
      </c>
      <c r="H149">
        <v>286</v>
      </c>
      <c r="I149" s="11">
        <f t="shared" si="8"/>
        <v>80.563380281690144</v>
      </c>
      <c r="J149">
        <v>3</v>
      </c>
      <c r="K149" t="s">
        <v>40</v>
      </c>
      <c r="L149">
        <v>2</v>
      </c>
      <c r="M149" t="s">
        <v>35</v>
      </c>
      <c r="N149">
        <v>13</v>
      </c>
      <c r="O149">
        <v>5</v>
      </c>
      <c r="P149">
        <v>17</v>
      </c>
      <c r="Q149">
        <v>5</v>
      </c>
      <c r="R149">
        <v>2</v>
      </c>
      <c r="S149">
        <v>0</v>
      </c>
      <c r="AB149" t="str">
        <f t="shared" si="6"/>
        <v>Normal</v>
      </c>
      <c r="AC149" t="str">
        <f t="shared" si="7"/>
        <v>Normal</v>
      </c>
    </row>
    <row r="150" spans="1:29" x14ac:dyDescent="0.25">
      <c r="A150" t="s">
        <v>31</v>
      </c>
      <c r="B150" s="2">
        <v>45635</v>
      </c>
      <c r="C150" t="s">
        <v>32</v>
      </c>
      <c r="D150" t="s">
        <v>51</v>
      </c>
      <c r="E150">
        <v>1</v>
      </c>
      <c r="F150">
        <v>54</v>
      </c>
      <c r="G150">
        <v>480</v>
      </c>
      <c r="H150">
        <v>375</v>
      </c>
      <c r="I150" s="11">
        <f t="shared" si="8"/>
        <v>78.125</v>
      </c>
      <c r="J150">
        <v>2</v>
      </c>
      <c r="K150" t="s">
        <v>35</v>
      </c>
      <c r="L150">
        <v>0</v>
      </c>
      <c r="M150" t="s">
        <v>36</v>
      </c>
      <c r="N150">
        <v>19</v>
      </c>
      <c r="O150">
        <v>4</v>
      </c>
      <c r="P150">
        <v>12</v>
      </c>
      <c r="Q150">
        <v>11</v>
      </c>
      <c r="R150">
        <v>5</v>
      </c>
      <c r="S150">
        <v>0</v>
      </c>
      <c r="AB150" t="str">
        <f t="shared" si="6"/>
        <v>Normal</v>
      </c>
      <c r="AC150" t="str">
        <f t="shared" si="7"/>
        <v>Normal</v>
      </c>
    </row>
    <row r="151" spans="1:29" x14ac:dyDescent="0.25">
      <c r="A151" t="s">
        <v>31</v>
      </c>
      <c r="B151" s="2">
        <v>45640</v>
      </c>
      <c r="C151" t="s">
        <v>41</v>
      </c>
      <c r="D151" t="s">
        <v>42</v>
      </c>
      <c r="E151">
        <v>1.2</v>
      </c>
      <c r="F151">
        <v>76</v>
      </c>
      <c r="G151">
        <v>746</v>
      </c>
      <c r="H151">
        <v>666</v>
      </c>
      <c r="I151" s="11">
        <f t="shared" si="8"/>
        <v>89.276139410187668</v>
      </c>
      <c r="J151">
        <v>0</v>
      </c>
      <c r="K151" t="s">
        <v>36</v>
      </c>
      <c r="L151">
        <v>0</v>
      </c>
      <c r="M151" t="s">
        <v>36</v>
      </c>
      <c r="N151">
        <v>13</v>
      </c>
      <c r="O151">
        <v>5</v>
      </c>
      <c r="P151">
        <v>6</v>
      </c>
      <c r="Q151">
        <v>8</v>
      </c>
      <c r="R151">
        <v>0</v>
      </c>
      <c r="S151">
        <v>0</v>
      </c>
      <c r="AB151" t="str">
        <f t="shared" si="6"/>
        <v>Normal</v>
      </c>
      <c r="AC151" t="str">
        <f t="shared" si="7"/>
        <v>Normal</v>
      </c>
    </row>
    <row r="152" spans="1:29" x14ac:dyDescent="0.25">
      <c r="A152" t="s">
        <v>31</v>
      </c>
      <c r="B152" s="2">
        <v>45640</v>
      </c>
      <c r="C152" t="s">
        <v>41</v>
      </c>
      <c r="D152" t="s">
        <v>39</v>
      </c>
      <c r="E152">
        <v>2.1</v>
      </c>
      <c r="F152">
        <v>61</v>
      </c>
      <c r="G152">
        <v>586</v>
      </c>
      <c r="H152">
        <v>498</v>
      </c>
      <c r="I152" s="11">
        <f t="shared" si="8"/>
        <v>84.982935153583611</v>
      </c>
      <c r="J152">
        <v>2</v>
      </c>
      <c r="K152" t="s">
        <v>36</v>
      </c>
      <c r="L152">
        <v>0</v>
      </c>
      <c r="M152" t="s">
        <v>40</v>
      </c>
      <c r="N152">
        <v>16</v>
      </c>
      <c r="O152">
        <v>4</v>
      </c>
      <c r="P152">
        <v>10</v>
      </c>
      <c r="Q152">
        <v>5</v>
      </c>
      <c r="R152">
        <v>3</v>
      </c>
      <c r="S152">
        <v>1</v>
      </c>
      <c r="AB152" t="str">
        <f t="shared" si="6"/>
        <v>Normal</v>
      </c>
      <c r="AC152" t="str">
        <f t="shared" si="7"/>
        <v>Normal</v>
      </c>
    </row>
    <row r="153" spans="1:29" x14ac:dyDescent="0.25">
      <c r="A153" t="s">
        <v>31</v>
      </c>
      <c r="B153" s="2">
        <v>45640</v>
      </c>
      <c r="C153" t="s">
        <v>41</v>
      </c>
      <c r="D153" t="s">
        <v>46</v>
      </c>
      <c r="E153">
        <v>3.8</v>
      </c>
      <c r="F153">
        <v>59</v>
      </c>
      <c r="G153">
        <v>668</v>
      </c>
      <c r="H153">
        <v>578</v>
      </c>
      <c r="I153" s="11">
        <f t="shared" si="8"/>
        <v>86.526946107784426</v>
      </c>
      <c r="J153">
        <v>4</v>
      </c>
      <c r="K153" t="s">
        <v>35</v>
      </c>
      <c r="L153">
        <v>1</v>
      </c>
      <c r="M153" t="s">
        <v>35</v>
      </c>
      <c r="N153">
        <v>27</v>
      </c>
      <c r="O153">
        <v>11</v>
      </c>
      <c r="P153">
        <v>7</v>
      </c>
      <c r="Q153">
        <v>5</v>
      </c>
      <c r="R153">
        <v>3</v>
      </c>
      <c r="S153">
        <v>0</v>
      </c>
      <c r="AB153" t="str">
        <f t="shared" si="6"/>
        <v>Normal</v>
      </c>
      <c r="AC153" t="str">
        <f t="shared" si="7"/>
        <v>Normal</v>
      </c>
    </row>
    <row r="154" spans="1:29" x14ac:dyDescent="0.25">
      <c r="A154" t="s">
        <v>31</v>
      </c>
      <c r="B154" s="2">
        <v>45640</v>
      </c>
      <c r="C154" t="s">
        <v>41</v>
      </c>
      <c r="D154" t="s">
        <v>43</v>
      </c>
      <c r="E154">
        <v>1.3</v>
      </c>
      <c r="F154">
        <v>54</v>
      </c>
      <c r="G154">
        <v>549</v>
      </c>
      <c r="H154">
        <v>443</v>
      </c>
      <c r="I154" s="11">
        <f t="shared" si="8"/>
        <v>80.692167577413471</v>
      </c>
      <c r="J154">
        <v>1</v>
      </c>
      <c r="K154" t="s">
        <v>40</v>
      </c>
      <c r="L154">
        <v>0</v>
      </c>
      <c r="M154" t="s">
        <v>40</v>
      </c>
      <c r="N154">
        <v>16</v>
      </c>
      <c r="O154">
        <v>6</v>
      </c>
      <c r="P154">
        <v>13</v>
      </c>
      <c r="Q154">
        <v>7</v>
      </c>
      <c r="R154">
        <v>0</v>
      </c>
      <c r="S154">
        <v>1</v>
      </c>
      <c r="AB154" t="str">
        <f t="shared" si="6"/>
        <v>Normal</v>
      </c>
      <c r="AC154" t="str">
        <f t="shared" si="7"/>
        <v>Normal</v>
      </c>
    </row>
    <row r="155" spans="1:29" x14ac:dyDescent="0.25">
      <c r="A155" t="s">
        <v>31</v>
      </c>
      <c r="B155" s="2">
        <v>45640</v>
      </c>
      <c r="C155" t="s">
        <v>50</v>
      </c>
      <c r="D155" t="s">
        <v>48</v>
      </c>
      <c r="E155">
        <v>1.7</v>
      </c>
      <c r="F155">
        <v>50</v>
      </c>
      <c r="G155">
        <v>501</v>
      </c>
      <c r="H155">
        <v>441</v>
      </c>
      <c r="I155" s="11">
        <f t="shared" si="8"/>
        <v>88.023952095808383</v>
      </c>
      <c r="J155">
        <v>2</v>
      </c>
      <c r="K155" t="s">
        <v>35</v>
      </c>
      <c r="L155">
        <v>0</v>
      </c>
      <c r="M155" t="s">
        <v>36</v>
      </c>
      <c r="N155">
        <v>17</v>
      </c>
      <c r="O155">
        <v>6</v>
      </c>
      <c r="P155">
        <v>12</v>
      </c>
      <c r="Q155">
        <v>4</v>
      </c>
      <c r="R155">
        <v>0</v>
      </c>
      <c r="S155">
        <v>0</v>
      </c>
      <c r="AB155" t="str">
        <f t="shared" si="6"/>
        <v>Normal</v>
      </c>
      <c r="AC155" t="str">
        <f t="shared" si="7"/>
        <v>Normal</v>
      </c>
    </row>
    <row r="156" spans="1:29" x14ac:dyDescent="0.25">
      <c r="A156" t="s">
        <v>31</v>
      </c>
      <c r="B156" s="2">
        <v>45641</v>
      </c>
      <c r="C156" t="s">
        <v>53</v>
      </c>
      <c r="D156" t="s">
        <v>45</v>
      </c>
      <c r="E156">
        <v>1</v>
      </c>
      <c r="F156">
        <v>64</v>
      </c>
      <c r="G156">
        <v>613</v>
      </c>
      <c r="H156">
        <v>528</v>
      </c>
      <c r="I156" s="11">
        <f t="shared" si="8"/>
        <v>86.133768352365408</v>
      </c>
      <c r="J156">
        <v>1</v>
      </c>
      <c r="K156" t="s">
        <v>40</v>
      </c>
      <c r="L156">
        <v>0</v>
      </c>
      <c r="M156" t="s">
        <v>40</v>
      </c>
      <c r="N156">
        <v>17</v>
      </c>
      <c r="O156">
        <v>5</v>
      </c>
      <c r="P156">
        <v>11</v>
      </c>
      <c r="Q156">
        <v>8</v>
      </c>
      <c r="R156">
        <v>1</v>
      </c>
      <c r="S156">
        <v>0</v>
      </c>
      <c r="AB156" t="str">
        <f t="shared" si="6"/>
        <v>Normal</v>
      </c>
      <c r="AC156" t="str">
        <f t="shared" si="7"/>
        <v>Normal</v>
      </c>
    </row>
    <row r="157" spans="1:29" x14ac:dyDescent="0.25">
      <c r="A157" t="s">
        <v>31</v>
      </c>
      <c r="B157" s="2">
        <v>45641</v>
      </c>
      <c r="C157" t="s">
        <v>56</v>
      </c>
      <c r="D157" t="s">
        <v>58</v>
      </c>
      <c r="E157">
        <v>0.9</v>
      </c>
      <c r="F157">
        <v>52</v>
      </c>
      <c r="G157">
        <v>538</v>
      </c>
      <c r="H157">
        <v>453</v>
      </c>
      <c r="I157" s="11">
        <f t="shared" si="8"/>
        <v>84.20074349442379</v>
      </c>
      <c r="J157">
        <v>1</v>
      </c>
      <c r="K157" t="s">
        <v>40</v>
      </c>
      <c r="L157">
        <v>1</v>
      </c>
      <c r="M157" t="s">
        <v>35</v>
      </c>
      <c r="N157">
        <v>10</v>
      </c>
      <c r="O157">
        <v>3</v>
      </c>
      <c r="P157">
        <v>5</v>
      </c>
      <c r="Q157">
        <v>8</v>
      </c>
      <c r="R157">
        <v>1</v>
      </c>
      <c r="S157">
        <v>0</v>
      </c>
      <c r="AB157" t="str">
        <f t="shared" si="6"/>
        <v>Normal</v>
      </c>
      <c r="AC157" t="str">
        <f t="shared" si="7"/>
        <v>Normal</v>
      </c>
    </row>
    <row r="158" spans="1:29" x14ac:dyDescent="0.25">
      <c r="A158" t="s">
        <v>31</v>
      </c>
      <c r="B158" s="2">
        <v>45641</v>
      </c>
      <c r="C158" t="s">
        <v>65</v>
      </c>
      <c r="D158" t="s">
        <v>57</v>
      </c>
      <c r="E158">
        <v>2.2000000000000002</v>
      </c>
      <c r="F158">
        <v>62</v>
      </c>
      <c r="G158">
        <v>585</v>
      </c>
      <c r="H158">
        <v>483</v>
      </c>
      <c r="I158" s="11">
        <f t="shared" si="8"/>
        <v>82.564102564102555</v>
      </c>
      <c r="J158">
        <v>2</v>
      </c>
      <c r="K158" t="s">
        <v>35</v>
      </c>
      <c r="L158">
        <v>1</v>
      </c>
      <c r="M158" t="s">
        <v>35</v>
      </c>
      <c r="N158">
        <v>26</v>
      </c>
      <c r="O158">
        <v>8</v>
      </c>
      <c r="P158">
        <v>11</v>
      </c>
      <c r="Q158">
        <v>8</v>
      </c>
      <c r="R158">
        <v>0</v>
      </c>
      <c r="S158">
        <v>1</v>
      </c>
      <c r="AB158" t="str">
        <f t="shared" si="6"/>
        <v>Normal</v>
      </c>
      <c r="AC158" t="str">
        <f t="shared" si="7"/>
        <v>Normal</v>
      </c>
    </row>
    <row r="159" spans="1:29" x14ac:dyDescent="0.25">
      <c r="A159" t="s">
        <v>31</v>
      </c>
      <c r="B159" s="2">
        <v>45641</v>
      </c>
      <c r="C159" t="s">
        <v>65</v>
      </c>
      <c r="D159" t="s">
        <v>47</v>
      </c>
      <c r="E159">
        <v>0.8</v>
      </c>
      <c r="F159">
        <v>42</v>
      </c>
      <c r="G159">
        <v>458</v>
      </c>
      <c r="H159">
        <v>392</v>
      </c>
      <c r="I159" s="11">
        <f t="shared" si="8"/>
        <v>85.589519650655021</v>
      </c>
      <c r="J159">
        <v>0</v>
      </c>
      <c r="K159" t="s">
        <v>40</v>
      </c>
      <c r="L159">
        <v>0</v>
      </c>
      <c r="M159" t="s">
        <v>40</v>
      </c>
      <c r="N159">
        <v>9</v>
      </c>
      <c r="O159">
        <v>3</v>
      </c>
      <c r="P159">
        <v>8</v>
      </c>
      <c r="Q159">
        <v>2</v>
      </c>
      <c r="R159">
        <v>1</v>
      </c>
      <c r="S159">
        <v>0</v>
      </c>
      <c r="AB159" t="str">
        <f t="shared" si="6"/>
        <v>Normal</v>
      </c>
      <c r="AC159" t="str">
        <f t="shared" si="7"/>
        <v>Normal</v>
      </c>
    </row>
    <row r="160" spans="1:29" x14ac:dyDescent="0.25">
      <c r="A160" t="s">
        <v>31</v>
      </c>
      <c r="B160" s="2">
        <v>45642</v>
      </c>
      <c r="C160" t="s">
        <v>32</v>
      </c>
      <c r="D160" t="s">
        <v>49</v>
      </c>
      <c r="E160">
        <v>1.9</v>
      </c>
      <c r="F160">
        <v>52</v>
      </c>
      <c r="G160">
        <v>491</v>
      </c>
      <c r="H160">
        <v>362</v>
      </c>
      <c r="I160" s="11">
        <f t="shared" si="8"/>
        <v>73.727087576374757</v>
      </c>
      <c r="J160">
        <v>1</v>
      </c>
      <c r="K160" t="s">
        <v>36</v>
      </c>
      <c r="L160">
        <v>0</v>
      </c>
      <c r="M160" t="s">
        <v>36</v>
      </c>
      <c r="N160">
        <v>29</v>
      </c>
      <c r="O160">
        <v>9</v>
      </c>
      <c r="P160">
        <v>6</v>
      </c>
      <c r="Q160">
        <v>12</v>
      </c>
      <c r="R160">
        <v>0</v>
      </c>
      <c r="S160">
        <v>0</v>
      </c>
      <c r="AB160" t="str">
        <f t="shared" si="6"/>
        <v>Normal</v>
      </c>
      <c r="AC160" t="str">
        <f t="shared" si="7"/>
        <v>Normal</v>
      </c>
    </row>
    <row r="161" spans="1:29" x14ac:dyDescent="0.25">
      <c r="A161" t="s">
        <v>31</v>
      </c>
      <c r="B161" s="2">
        <v>45647</v>
      </c>
      <c r="C161" t="s">
        <v>37</v>
      </c>
      <c r="D161" t="s">
        <v>52</v>
      </c>
      <c r="E161">
        <v>1.6</v>
      </c>
      <c r="F161">
        <v>44</v>
      </c>
      <c r="G161">
        <v>451</v>
      </c>
      <c r="H161">
        <v>383</v>
      </c>
      <c r="I161" s="11">
        <f t="shared" si="8"/>
        <v>84.922394678492239</v>
      </c>
      <c r="J161">
        <v>2</v>
      </c>
      <c r="K161" t="s">
        <v>35</v>
      </c>
      <c r="L161">
        <v>1</v>
      </c>
      <c r="M161" t="s">
        <v>35</v>
      </c>
      <c r="N161">
        <v>11</v>
      </c>
      <c r="O161">
        <v>6</v>
      </c>
      <c r="P161">
        <v>14</v>
      </c>
      <c r="Q161">
        <v>5</v>
      </c>
      <c r="R161">
        <v>3</v>
      </c>
      <c r="S161">
        <v>0</v>
      </c>
      <c r="AB161" t="str">
        <f t="shared" si="6"/>
        <v>Normal</v>
      </c>
      <c r="AC161" t="str">
        <f t="shared" si="7"/>
        <v>Normal</v>
      </c>
    </row>
    <row r="162" spans="1:29" x14ac:dyDescent="0.25">
      <c r="A162" t="s">
        <v>31</v>
      </c>
      <c r="B162" s="2">
        <v>45647</v>
      </c>
      <c r="C162" t="s">
        <v>41</v>
      </c>
      <c r="D162" t="s">
        <v>54</v>
      </c>
      <c r="E162">
        <v>0.7</v>
      </c>
      <c r="F162">
        <v>64</v>
      </c>
      <c r="G162">
        <v>589</v>
      </c>
      <c r="H162">
        <v>472</v>
      </c>
      <c r="I162" s="11">
        <f t="shared" si="8"/>
        <v>80.135823429541603</v>
      </c>
      <c r="J162">
        <v>0</v>
      </c>
      <c r="K162" t="s">
        <v>40</v>
      </c>
      <c r="L162">
        <v>0</v>
      </c>
      <c r="M162" t="s">
        <v>40</v>
      </c>
      <c r="N162">
        <v>7</v>
      </c>
      <c r="O162">
        <v>3</v>
      </c>
      <c r="P162">
        <v>9</v>
      </c>
      <c r="Q162">
        <v>9</v>
      </c>
      <c r="R162">
        <v>3</v>
      </c>
      <c r="S162">
        <v>0</v>
      </c>
      <c r="AB162" t="str">
        <f t="shared" si="6"/>
        <v>Normal</v>
      </c>
      <c r="AC162" t="str">
        <f t="shared" si="7"/>
        <v>Normal</v>
      </c>
    </row>
    <row r="163" spans="1:29" x14ac:dyDescent="0.25">
      <c r="A163" t="s">
        <v>31</v>
      </c>
      <c r="B163" s="2">
        <v>45647</v>
      </c>
      <c r="C163" t="s">
        <v>41</v>
      </c>
      <c r="D163" t="s">
        <v>38</v>
      </c>
      <c r="E163">
        <v>0.7</v>
      </c>
      <c r="F163">
        <v>42</v>
      </c>
      <c r="G163">
        <v>462</v>
      </c>
      <c r="H163">
        <v>374</v>
      </c>
      <c r="I163" s="11">
        <f t="shared" si="8"/>
        <v>80.952380952380949</v>
      </c>
      <c r="J163">
        <v>0</v>
      </c>
      <c r="K163" t="s">
        <v>40</v>
      </c>
      <c r="L163">
        <v>0</v>
      </c>
      <c r="M163" t="s">
        <v>40</v>
      </c>
      <c r="N163">
        <v>10</v>
      </c>
      <c r="O163">
        <v>2</v>
      </c>
      <c r="P163">
        <v>9</v>
      </c>
      <c r="Q163">
        <v>2</v>
      </c>
      <c r="R163">
        <v>2</v>
      </c>
      <c r="S163">
        <v>0</v>
      </c>
      <c r="AB163" t="str">
        <f t="shared" si="6"/>
        <v>Normal</v>
      </c>
      <c r="AC163" t="str">
        <f t="shared" si="7"/>
        <v>Normal</v>
      </c>
    </row>
    <row r="164" spans="1:29" x14ac:dyDescent="0.25">
      <c r="A164" t="s">
        <v>31</v>
      </c>
      <c r="B164" s="2">
        <v>45647</v>
      </c>
      <c r="C164" t="s">
        <v>41</v>
      </c>
      <c r="D164" t="s">
        <v>51</v>
      </c>
      <c r="E164">
        <v>1.2</v>
      </c>
      <c r="F164">
        <v>47</v>
      </c>
      <c r="G164">
        <v>418</v>
      </c>
      <c r="H164">
        <v>311</v>
      </c>
      <c r="I164" s="11">
        <f t="shared" si="8"/>
        <v>74.401913875598098</v>
      </c>
      <c r="J164">
        <v>1</v>
      </c>
      <c r="K164" t="s">
        <v>36</v>
      </c>
      <c r="L164">
        <v>0</v>
      </c>
      <c r="M164" t="s">
        <v>36</v>
      </c>
      <c r="N164">
        <v>11</v>
      </c>
      <c r="O164">
        <v>4</v>
      </c>
      <c r="P164">
        <v>14</v>
      </c>
      <c r="Q164">
        <v>8</v>
      </c>
      <c r="R164">
        <v>2</v>
      </c>
      <c r="S164">
        <v>0</v>
      </c>
      <c r="AB164" t="str">
        <f t="shared" si="6"/>
        <v>Normal</v>
      </c>
      <c r="AC164" t="str">
        <f t="shared" si="7"/>
        <v>Normal</v>
      </c>
    </row>
    <row r="165" spans="1:29" x14ac:dyDescent="0.25">
      <c r="A165" t="s">
        <v>31</v>
      </c>
      <c r="B165" s="2">
        <v>45647</v>
      </c>
      <c r="C165" t="s">
        <v>50</v>
      </c>
      <c r="D165" t="s">
        <v>55</v>
      </c>
      <c r="E165">
        <v>1.6</v>
      </c>
      <c r="F165">
        <v>42</v>
      </c>
      <c r="G165">
        <v>422</v>
      </c>
      <c r="H165">
        <v>336</v>
      </c>
      <c r="I165" s="11">
        <f t="shared" si="8"/>
        <v>79.620853080568722</v>
      </c>
      <c r="J165">
        <v>1</v>
      </c>
      <c r="K165" t="s">
        <v>40</v>
      </c>
      <c r="L165">
        <v>1</v>
      </c>
      <c r="M165" t="s">
        <v>40</v>
      </c>
      <c r="N165">
        <v>15</v>
      </c>
      <c r="O165">
        <v>6</v>
      </c>
      <c r="P165">
        <v>9</v>
      </c>
      <c r="Q165">
        <v>3</v>
      </c>
      <c r="R165">
        <v>2</v>
      </c>
      <c r="S165">
        <v>0</v>
      </c>
      <c r="AB165" t="str">
        <f t="shared" si="6"/>
        <v>Normal</v>
      </c>
      <c r="AC165" t="str">
        <f t="shared" si="7"/>
        <v>Normal</v>
      </c>
    </row>
    <row r="166" spans="1:29" x14ac:dyDescent="0.25">
      <c r="A166" t="s">
        <v>31</v>
      </c>
      <c r="B166" s="2">
        <v>45648</v>
      </c>
      <c r="C166" t="s">
        <v>53</v>
      </c>
      <c r="D166" t="s">
        <v>44</v>
      </c>
      <c r="E166">
        <v>1</v>
      </c>
      <c r="F166">
        <v>25</v>
      </c>
      <c r="G166">
        <v>231</v>
      </c>
      <c r="H166">
        <v>163</v>
      </c>
      <c r="I166" s="11">
        <f t="shared" si="8"/>
        <v>70.562770562770567</v>
      </c>
      <c r="J166">
        <v>0</v>
      </c>
      <c r="K166" t="s">
        <v>36</v>
      </c>
      <c r="L166">
        <v>0</v>
      </c>
      <c r="M166" t="s">
        <v>36</v>
      </c>
      <c r="N166">
        <v>5</v>
      </c>
      <c r="O166">
        <v>4</v>
      </c>
      <c r="P166">
        <v>20</v>
      </c>
      <c r="Q166">
        <v>2</v>
      </c>
      <c r="R166">
        <v>4</v>
      </c>
      <c r="S166">
        <v>0</v>
      </c>
      <c r="AB166" t="str">
        <f t="shared" si="6"/>
        <v>Normal</v>
      </c>
      <c r="AC166" t="str">
        <f t="shared" si="7"/>
        <v>Normal</v>
      </c>
    </row>
    <row r="167" spans="1:29" x14ac:dyDescent="0.25">
      <c r="A167" t="s">
        <v>31</v>
      </c>
      <c r="B167" s="2">
        <v>45648</v>
      </c>
      <c r="C167" t="s">
        <v>53</v>
      </c>
      <c r="D167" t="s">
        <v>34</v>
      </c>
      <c r="E167">
        <v>0.9</v>
      </c>
      <c r="F167">
        <v>57</v>
      </c>
      <c r="G167">
        <v>598</v>
      </c>
      <c r="H167">
        <v>499</v>
      </c>
      <c r="I167" s="11">
        <f t="shared" si="8"/>
        <v>83.444816053511701</v>
      </c>
      <c r="J167">
        <v>0</v>
      </c>
      <c r="K167" t="s">
        <v>36</v>
      </c>
      <c r="L167">
        <v>0</v>
      </c>
      <c r="M167" t="s">
        <v>36</v>
      </c>
      <c r="N167">
        <v>16</v>
      </c>
      <c r="O167">
        <v>5</v>
      </c>
      <c r="P167">
        <v>8</v>
      </c>
      <c r="Q167">
        <v>6</v>
      </c>
      <c r="R167">
        <v>1</v>
      </c>
      <c r="S167">
        <v>0</v>
      </c>
      <c r="AB167" t="str">
        <f t="shared" si="6"/>
        <v>Normal</v>
      </c>
      <c r="AC167" t="str">
        <f t="shared" si="7"/>
        <v>Normal</v>
      </c>
    </row>
    <row r="168" spans="1:29" x14ac:dyDescent="0.25">
      <c r="A168" t="s">
        <v>31</v>
      </c>
      <c r="B168" s="2">
        <v>45648</v>
      </c>
      <c r="C168" t="s">
        <v>53</v>
      </c>
      <c r="D168" t="s">
        <v>59</v>
      </c>
      <c r="E168">
        <v>0.8</v>
      </c>
      <c r="F168">
        <v>54</v>
      </c>
      <c r="G168">
        <v>595</v>
      </c>
      <c r="H168">
        <v>500</v>
      </c>
      <c r="I168" s="11">
        <f t="shared" si="8"/>
        <v>84.033613445378151</v>
      </c>
      <c r="J168">
        <v>0</v>
      </c>
      <c r="K168" t="s">
        <v>40</v>
      </c>
      <c r="L168">
        <v>0</v>
      </c>
      <c r="M168" t="s">
        <v>40</v>
      </c>
      <c r="N168">
        <v>9</v>
      </c>
      <c r="O168">
        <v>5</v>
      </c>
      <c r="P168">
        <v>15</v>
      </c>
      <c r="Q168">
        <v>6</v>
      </c>
      <c r="R168">
        <v>2</v>
      </c>
      <c r="S168">
        <v>0</v>
      </c>
      <c r="AB168" t="str">
        <f t="shared" si="6"/>
        <v>Normal</v>
      </c>
      <c r="AC168" t="str">
        <f t="shared" si="7"/>
        <v>Normal</v>
      </c>
    </row>
    <row r="169" spans="1:29" x14ac:dyDescent="0.25">
      <c r="A169" t="s">
        <v>31</v>
      </c>
      <c r="B169" s="2">
        <v>45648</v>
      </c>
      <c r="C169" t="s">
        <v>53</v>
      </c>
      <c r="D169" t="s">
        <v>33</v>
      </c>
      <c r="E169">
        <v>2.2000000000000002</v>
      </c>
      <c r="F169">
        <v>60</v>
      </c>
      <c r="G169">
        <v>537</v>
      </c>
      <c r="H169">
        <v>426</v>
      </c>
      <c r="I169" s="11">
        <f t="shared" si="8"/>
        <v>79.329608938547494</v>
      </c>
      <c r="J169">
        <v>0</v>
      </c>
      <c r="K169" t="s">
        <v>40</v>
      </c>
      <c r="L169">
        <v>0</v>
      </c>
      <c r="M169" t="s">
        <v>40</v>
      </c>
      <c r="N169">
        <v>23</v>
      </c>
      <c r="O169">
        <v>7</v>
      </c>
      <c r="P169">
        <v>11</v>
      </c>
      <c r="Q169">
        <v>13</v>
      </c>
      <c r="R169">
        <v>1</v>
      </c>
      <c r="S169">
        <v>0</v>
      </c>
      <c r="AB169" t="str">
        <f t="shared" si="6"/>
        <v>Normal</v>
      </c>
      <c r="AC169" t="str">
        <f t="shared" si="7"/>
        <v>Normal</v>
      </c>
    </row>
    <row r="170" spans="1:29" x14ac:dyDescent="0.25">
      <c r="A170" t="s">
        <v>31</v>
      </c>
      <c r="B170" s="2">
        <v>45648</v>
      </c>
      <c r="C170" t="s">
        <v>56</v>
      </c>
      <c r="D170" t="s">
        <v>60</v>
      </c>
      <c r="E170">
        <v>1.3</v>
      </c>
      <c r="F170">
        <v>52</v>
      </c>
      <c r="G170">
        <v>589</v>
      </c>
      <c r="H170">
        <v>490</v>
      </c>
      <c r="I170" s="11">
        <f t="shared" si="8"/>
        <v>83.191850594227503</v>
      </c>
      <c r="J170">
        <v>3</v>
      </c>
      <c r="K170" t="s">
        <v>40</v>
      </c>
      <c r="L170">
        <v>1</v>
      </c>
      <c r="M170" t="s">
        <v>40</v>
      </c>
      <c r="N170">
        <v>9</v>
      </c>
      <c r="O170">
        <v>5</v>
      </c>
      <c r="P170">
        <v>7</v>
      </c>
      <c r="Q170">
        <v>7</v>
      </c>
      <c r="R170">
        <v>1</v>
      </c>
      <c r="S170">
        <v>0</v>
      </c>
      <c r="AB170" t="str">
        <f t="shared" si="6"/>
        <v>Normal</v>
      </c>
      <c r="AC170" t="str">
        <f t="shared" si="7"/>
        <v>Normal</v>
      </c>
    </row>
    <row r="171" spans="1:29" x14ac:dyDescent="0.25">
      <c r="A171" t="s">
        <v>31</v>
      </c>
      <c r="B171" s="2">
        <v>45652</v>
      </c>
      <c r="C171" t="s">
        <v>37</v>
      </c>
      <c r="D171" t="s">
        <v>58</v>
      </c>
      <c r="E171">
        <v>2.1</v>
      </c>
      <c r="F171">
        <v>66</v>
      </c>
      <c r="G171">
        <v>689</v>
      </c>
      <c r="H171">
        <v>615</v>
      </c>
      <c r="I171" s="11">
        <f t="shared" si="8"/>
        <v>89.259796806966619</v>
      </c>
      <c r="J171">
        <v>1</v>
      </c>
      <c r="K171" t="s">
        <v>36</v>
      </c>
      <c r="L171">
        <v>1</v>
      </c>
      <c r="M171" t="s">
        <v>36</v>
      </c>
      <c r="N171">
        <v>24</v>
      </c>
      <c r="O171">
        <v>5</v>
      </c>
      <c r="P171">
        <v>5</v>
      </c>
      <c r="Q171">
        <v>8</v>
      </c>
      <c r="R171">
        <v>1</v>
      </c>
      <c r="S171">
        <v>0</v>
      </c>
      <c r="AB171" t="str">
        <f t="shared" si="6"/>
        <v>Normal</v>
      </c>
      <c r="AC171" t="str">
        <f t="shared" si="7"/>
        <v>Normal</v>
      </c>
    </row>
    <row r="172" spans="1:29" x14ac:dyDescent="0.25">
      <c r="A172" t="s">
        <v>31</v>
      </c>
      <c r="B172" s="2">
        <v>45652</v>
      </c>
      <c r="C172" t="s">
        <v>41</v>
      </c>
      <c r="D172" t="s">
        <v>49</v>
      </c>
      <c r="E172">
        <v>1.4</v>
      </c>
      <c r="F172">
        <v>52</v>
      </c>
      <c r="G172">
        <v>512</v>
      </c>
      <c r="H172">
        <v>405</v>
      </c>
      <c r="I172" s="11">
        <f t="shared" si="8"/>
        <v>79.1015625</v>
      </c>
      <c r="J172">
        <v>0</v>
      </c>
      <c r="K172" t="s">
        <v>36</v>
      </c>
      <c r="L172">
        <v>0</v>
      </c>
      <c r="M172" t="s">
        <v>36</v>
      </c>
      <c r="N172">
        <v>18</v>
      </c>
      <c r="O172">
        <v>4</v>
      </c>
      <c r="P172">
        <v>13</v>
      </c>
      <c r="Q172">
        <v>5</v>
      </c>
      <c r="R172">
        <v>2</v>
      </c>
      <c r="S172">
        <v>0</v>
      </c>
      <c r="AB172" t="str">
        <f t="shared" si="6"/>
        <v>Normal</v>
      </c>
      <c r="AC172" t="str">
        <f t="shared" si="7"/>
        <v>Normal</v>
      </c>
    </row>
    <row r="173" spans="1:29" x14ac:dyDescent="0.25">
      <c r="A173" t="s">
        <v>31</v>
      </c>
      <c r="B173" s="2">
        <v>45652</v>
      </c>
      <c r="C173" t="s">
        <v>41</v>
      </c>
      <c r="D173" t="s">
        <v>57</v>
      </c>
      <c r="E173">
        <v>1.1000000000000001</v>
      </c>
      <c r="F173">
        <v>47</v>
      </c>
      <c r="G173">
        <v>543</v>
      </c>
      <c r="H173">
        <v>443</v>
      </c>
      <c r="I173" s="11">
        <f t="shared" si="8"/>
        <v>81.583793738489874</v>
      </c>
      <c r="J173">
        <v>1</v>
      </c>
      <c r="K173" t="s">
        <v>40</v>
      </c>
      <c r="L173">
        <v>1</v>
      </c>
      <c r="M173" t="s">
        <v>35</v>
      </c>
      <c r="N173">
        <v>12</v>
      </c>
      <c r="O173">
        <v>8</v>
      </c>
      <c r="P173">
        <v>13</v>
      </c>
      <c r="Q173">
        <v>3</v>
      </c>
      <c r="R173">
        <v>1</v>
      </c>
      <c r="S173">
        <v>0</v>
      </c>
      <c r="AB173" t="str">
        <f t="shared" si="6"/>
        <v>Normal</v>
      </c>
      <c r="AC173" t="str">
        <f t="shared" si="7"/>
        <v>Normal</v>
      </c>
    </row>
    <row r="174" spans="1:29" x14ac:dyDescent="0.25">
      <c r="A174" t="s">
        <v>31</v>
      </c>
      <c r="B174" s="2">
        <v>45652</v>
      </c>
      <c r="C174" t="s">
        <v>41</v>
      </c>
      <c r="D174" t="s">
        <v>46</v>
      </c>
      <c r="E174">
        <v>2.7</v>
      </c>
      <c r="F174">
        <v>62</v>
      </c>
      <c r="G174">
        <v>585</v>
      </c>
      <c r="H174">
        <v>520</v>
      </c>
      <c r="I174" s="11">
        <f t="shared" si="8"/>
        <v>88.888888888888886</v>
      </c>
      <c r="J174">
        <v>3</v>
      </c>
      <c r="K174" t="s">
        <v>35</v>
      </c>
      <c r="L174">
        <v>1</v>
      </c>
      <c r="M174" t="s">
        <v>35</v>
      </c>
      <c r="N174">
        <v>22</v>
      </c>
      <c r="O174">
        <v>8</v>
      </c>
      <c r="P174">
        <v>15</v>
      </c>
      <c r="Q174">
        <v>9</v>
      </c>
      <c r="R174">
        <v>2</v>
      </c>
      <c r="S174">
        <v>0</v>
      </c>
      <c r="AB174" t="str">
        <f t="shared" si="6"/>
        <v>Normal</v>
      </c>
      <c r="AC174" t="str">
        <f t="shared" si="7"/>
        <v>Normal</v>
      </c>
    </row>
    <row r="175" spans="1:29" x14ac:dyDescent="0.25">
      <c r="A175" t="s">
        <v>31</v>
      </c>
      <c r="B175" s="2">
        <v>45652</v>
      </c>
      <c r="C175" t="s">
        <v>41</v>
      </c>
      <c r="D175" t="s">
        <v>48</v>
      </c>
      <c r="E175">
        <v>1.1000000000000001</v>
      </c>
      <c r="F175">
        <v>30</v>
      </c>
      <c r="G175">
        <v>287</v>
      </c>
      <c r="H175">
        <v>202</v>
      </c>
      <c r="I175" s="11">
        <f t="shared" si="8"/>
        <v>70.383275261324044</v>
      </c>
      <c r="J175">
        <v>1</v>
      </c>
      <c r="K175" t="s">
        <v>35</v>
      </c>
      <c r="L175">
        <v>1</v>
      </c>
      <c r="M175" t="s">
        <v>35</v>
      </c>
      <c r="N175">
        <v>10</v>
      </c>
      <c r="O175">
        <v>3</v>
      </c>
      <c r="P175">
        <v>12</v>
      </c>
      <c r="Q175">
        <v>2</v>
      </c>
      <c r="R175">
        <v>3</v>
      </c>
      <c r="S175">
        <v>0</v>
      </c>
      <c r="AB175" t="str">
        <f t="shared" si="6"/>
        <v>Normal</v>
      </c>
      <c r="AC175" t="str">
        <f t="shared" si="7"/>
        <v>Normal</v>
      </c>
    </row>
    <row r="176" spans="1:29" x14ac:dyDescent="0.25">
      <c r="A176" t="s">
        <v>31</v>
      </c>
      <c r="B176" s="2">
        <v>45652</v>
      </c>
      <c r="C176" t="s">
        <v>41</v>
      </c>
      <c r="D176" t="s">
        <v>47</v>
      </c>
      <c r="E176">
        <v>1.4</v>
      </c>
      <c r="F176">
        <v>54</v>
      </c>
      <c r="G176">
        <v>519</v>
      </c>
      <c r="H176">
        <v>429</v>
      </c>
      <c r="I176" s="11">
        <f t="shared" si="8"/>
        <v>82.658959537572258</v>
      </c>
      <c r="J176">
        <v>0</v>
      </c>
      <c r="K176" t="s">
        <v>40</v>
      </c>
      <c r="L176">
        <v>0</v>
      </c>
      <c r="M176" t="s">
        <v>36</v>
      </c>
      <c r="N176">
        <v>18</v>
      </c>
      <c r="O176">
        <v>5</v>
      </c>
      <c r="P176">
        <v>15</v>
      </c>
      <c r="Q176">
        <v>2</v>
      </c>
      <c r="R176">
        <v>1</v>
      </c>
      <c r="S176">
        <v>0</v>
      </c>
      <c r="AB176" t="str">
        <f t="shared" si="6"/>
        <v>Normal</v>
      </c>
      <c r="AC176" t="str">
        <f t="shared" si="7"/>
        <v>Normal</v>
      </c>
    </row>
    <row r="177" spans="1:29" x14ac:dyDescent="0.25">
      <c r="A177" t="s">
        <v>31</v>
      </c>
      <c r="B177" s="2">
        <v>45652</v>
      </c>
      <c r="C177" t="s">
        <v>50</v>
      </c>
      <c r="D177" t="s">
        <v>43</v>
      </c>
      <c r="E177">
        <v>0.9</v>
      </c>
      <c r="F177">
        <v>51</v>
      </c>
      <c r="G177">
        <v>514</v>
      </c>
      <c r="H177">
        <v>417</v>
      </c>
      <c r="I177" s="11">
        <f t="shared" si="8"/>
        <v>81.128404669260703</v>
      </c>
      <c r="J177">
        <v>2</v>
      </c>
      <c r="K177" t="s">
        <v>35</v>
      </c>
      <c r="L177">
        <v>0</v>
      </c>
      <c r="M177" t="s">
        <v>36</v>
      </c>
      <c r="N177">
        <v>7</v>
      </c>
      <c r="O177">
        <v>4</v>
      </c>
      <c r="P177">
        <v>12</v>
      </c>
      <c r="Q177">
        <v>4</v>
      </c>
      <c r="R177">
        <v>2</v>
      </c>
      <c r="S177">
        <v>0</v>
      </c>
      <c r="AB177" t="str">
        <f t="shared" si="6"/>
        <v>Normal</v>
      </c>
      <c r="AC177" t="str">
        <f t="shared" si="7"/>
        <v>Normal</v>
      </c>
    </row>
    <row r="178" spans="1:29" x14ac:dyDescent="0.25">
      <c r="A178" t="s">
        <v>31</v>
      </c>
      <c r="B178" s="2">
        <v>45652</v>
      </c>
      <c r="C178" t="s">
        <v>32</v>
      </c>
      <c r="D178" t="s">
        <v>39</v>
      </c>
      <c r="E178">
        <v>2</v>
      </c>
      <c r="F178">
        <v>68</v>
      </c>
      <c r="G178">
        <v>721</v>
      </c>
      <c r="H178">
        <v>621</v>
      </c>
      <c r="I178" s="11">
        <f t="shared" si="8"/>
        <v>86.130374479889042</v>
      </c>
      <c r="J178">
        <v>3</v>
      </c>
      <c r="K178" t="s">
        <v>35</v>
      </c>
      <c r="L178">
        <v>1</v>
      </c>
      <c r="M178" t="s">
        <v>36</v>
      </c>
      <c r="N178">
        <v>19</v>
      </c>
      <c r="O178">
        <v>7</v>
      </c>
      <c r="P178">
        <v>17</v>
      </c>
      <c r="Q178">
        <v>14</v>
      </c>
      <c r="R178">
        <v>3</v>
      </c>
      <c r="S178">
        <v>0</v>
      </c>
      <c r="AB178" t="str">
        <f t="shared" si="6"/>
        <v>Normal</v>
      </c>
      <c r="AC178" t="str">
        <f t="shared" si="7"/>
        <v>Normal</v>
      </c>
    </row>
    <row r="179" spans="1:29" x14ac:dyDescent="0.25">
      <c r="A179" t="s">
        <v>31</v>
      </c>
      <c r="B179" s="2">
        <v>45653</v>
      </c>
      <c r="C179" t="s">
        <v>63</v>
      </c>
      <c r="D179" t="s">
        <v>45</v>
      </c>
      <c r="E179">
        <v>1.3</v>
      </c>
      <c r="F179">
        <v>57</v>
      </c>
      <c r="G179">
        <v>529</v>
      </c>
      <c r="H179">
        <v>421</v>
      </c>
      <c r="I179" s="11">
        <f t="shared" si="8"/>
        <v>79.584120982986775</v>
      </c>
      <c r="J179">
        <v>0</v>
      </c>
      <c r="K179" t="s">
        <v>36</v>
      </c>
      <c r="L179">
        <v>0</v>
      </c>
      <c r="M179" t="s">
        <v>36</v>
      </c>
      <c r="N179">
        <v>24</v>
      </c>
      <c r="O179">
        <v>7</v>
      </c>
      <c r="P179">
        <v>6</v>
      </c>
      <c r="Q179">
        <v>5</v>
      </c>
      <c r="R179">
        <v>0</v>
      </c>
      <c r="S179">
        <v>0</v>
      </c>
      <c r="AB179" t="str">
        <f t="shared" si="6"/>
        <v>Normal</v>
      </c>
      <c r="AC179" t="str">
        <f t="shared" si="7"/>
        <v>Normal</v>
      </c>
    </row>
    <row r="180" spans="1:29" x14ac:dyDescent="0.25">
      <c r="A180" t="s">
        <v>31</v>
      </c>
      <c r="B180" s="2">
        <v>45653</v>
      </c>
      <c r="C180" t="s">
        <v>64</v>
      </c>
      <c r="D180" t="s">
        <v>42</v>
      </c>
      <c r="E180">
        <v>1.8</v>
      </c>
      <c r="F180">
        <v>68</v>
      </c>
      <c r="G180">
        <v>707</v>
      </c>
      <c r="H180">
        <v>624</v>
      </c>
      <c r="I180" s="11">
        <f t="shared" si="8"/>
        <v>88.260254596888259</v>
      </c>
      <c r="J180">
        <v>1</v>
      </c>
      <c r="K180" t="s">
        <v>35</v>
      </c>
      <c r="L180">
        <v>1</v>
      </c>
      <c r="M180" t="s">
        <v>35</v>
      </c>
      <c r="N180">
        <v>13</v>
      </c>
      <c r="O180">
        <v>5</v>
      </c>
      <c r="P180">
        <v>7</v>
      </c>
      <c r="Q180">
        <v>5</v>
      </c>
      <c r="R180">
        <v>1</v>
      </c>
      <c r="S180">
        <v>0</v>
      </c>
      <c r="AB180" t="str">
        <f t="shared" si="6"/>
        <v>Normal</v>
      </c>
      <c r="AC180" t="str">
        <f t="shared" si="7"/>
        <v>Normal</v>
      </c>
    </row>
    <row r="181" spans="1:29" x14ac:dyDescent="0.25">
      <c r="A181" t="s">
        <v>31</v>
      </c>
      <c r="B181" s="2">
        <v>45655</v>
      </c>
      <c r="C181" t="s">
        <v>66</v>
      </c>
      <c r="D181" t="s">
        <v>59</v>
      </c>
      <c r="E181">
        <v>1.3</v>
      </c>
      <c r="F181">
        <v>53</v>
      </c>
      <c r="G181">
        <v>618</v>
      </c>
      <c r="H181">
        <v>561</v>
      </c>
      <c r="I181" s="11">
        <f t="shared" si="8"/>
        <v>90.77669902912622</v>
      </c>
      <c r="J181">
        <v>0</v>
      </c>
      <c r="K181" t="s">
        <v>40</v>
      </c>
      <c r="L181">
        <v>0</v>
      </c>
      <c r="M181" t="s">
        <v>40</v>
      </c>
      <c r="N181">
        <v>11</v>
      </c>
      <c r="O181">
        <v>4</v>
      </c>
      <c r="P181">
        <v>11</v>
      </c>
      <c r="Q181">
        <v>4</v>
      </c>
      <c r="R181">
        <v>2</v>
      </c>
      <c r="S181">
        <v>0</v>
      </c>
      <c r="AB181" t="str">
        <f t="shared" si="6"/>
        <v>Normal</v>
      </c>
      <c r="AC181" t="str">
        <f t="shared" si="7"/>
        <v>Normal</v>
      </c>
    </row>
    <row r="182" spans="1:29" x14ac:dyDescent="0.25">
      <c r="A182" t="s">
        <v>31</v>
      </c>
      <c r="B182" s="2">
        <v>45655</v>
      </c>
      <c r="C182" t="s">
        <v>41</v>
      </c>
      <c r="D182" t="s">
        <v>55</v>
      </c>
      <c r="E182">
        <v>2</v>
      </c>
      <c r="F182">
        <v>47</v>
      </c>
      <c r="G182">
        <v>427</v>
      </c>
      <c r="H182">
        <v>316</v>
      </c>
      <c r="I182" s="11">
        <f t="shared" si="8"/>
        <v>74.004683840749422</v>
      </c>
      <c r="J182">
        <v>2</v>
      </c>
      <c r="K182" t="s">
        <v>35</v>
      </c>
      <c r="L182">
        <v>1</v>
      </c>
      <c r="M182" t="s">
        <v>36</v>
      </c>
      <c r="N182">
        <v>19</v>
      </c>
      <c r="O182">
        <v>10</v>
      </c>
      <c r="P182">
        <v>18</v>
      </c>
      <c r="Q182">
        <v>8</v>
      </c>
      <c r="R182">
        <v>2</v>
      </c>
      <c r="S182">
        <v>0</v>
      </c>
      <c r="AB182" t="str">
        <f t="shared" si="6"/>
        <v>Normal</v>
      </c>
      <c r="AC182" t="str">
        <f t="shared" si="7"/>
        <v>Normal</v>
      </c>
    </row>
    <row r="183" spans="1:29" x14ac:dyDescent="0.25">
      <c r="A183" t="s">
        <v>31</v>
      </c>
      <c r="B183" s="2">
        <v>45655</v>
      </c>
      <c r="C183" t="s">
        <v>41</v>
      </c>
      <c r="D183" t="s">
        <v>44</v>
      </c>
      <c r="E183">
        <v>0.9</v>
      </c>
      <c r="F183">
        <v>64</v>
      </c>
      <c r="G183">
        <v>564</v>
      </c>
      <c r="H183">
        <v>440</v>
      </c>
      <c r="I183" s="11">
        <f t="shared" si="8"/>
        <v>78.01418439716312</v>
      </c>
      <c r="J183">
        <v>0</v>
      </c>
      <c r="K183" t="s">
        <v>40</v>
      </c>
      <c r="L183">
        <v>0</v>
      </c>
      <c r="M183" t="s">
        <v>40</v>
      </c>
      <c r="N183">
        <v>13</v>
      </c>
      <c r="O183">
        <v>2</v>
      </c>
      <c r="P183">
        <v>13</v>
      </c>
      <c r="Q183">
        <v>5</v>
      </c>
      <c r="R183">
        <v>4</v>
      </c>
      <c r="S183">
        <v>0</v>
      </c>
      <c r="AB183" t="str">
        <f t="shared" si="6"/>
        <v>Normal</v>
      </c>
      <c r="AC183" t="str">
        <f t="shared" si="7"/>
        <v>Normal</v>
      </c>
    </row>
    <row r="184" spans="1:29" x14ac:dyDescent="0.25">
      <c r="A184" t="s">
        <v>31</v>
      </c>
      <c r="B184" s="2">
        <v>45655</v>
      </c>
      <c r="C184" t="s">
        <v>41</v>
      </c>
      <c r="D184" t="s">
        <v>34</v>
      </c>
      <c r="E184">
        <v>1.1000000000000001</v>
      </c>
      <c r="F184">
        <v>52</v>
      </c>
      <c r="G184">
        <v>528</v>
      </c>
      <c r="H184">
        <v>417</v>
      </c>
      <c r="I184" s="11">
        <f t="shared" si="8"/>
        <v>78.977272727272734</v>
      </c>
      <c r="J184">
        <v>2</v>
      </c>
      <c r="K184" t="s">
        <v>36</v>
      </c>
      <c r="L184">
        <v>1</v>
      </c>
      <c r="M184" t="s">
        <v>35</v>
      </c>
      <c r="N184">
        <v>11</v>
      </c>
      <c r="O184">
        <v>6</v>
      </c>
      <c r="P184">
        <v>7</v>
      </c>
      <c r="Q184">
        <v>1</v>
      </c>
      <c r="R184">
        <v>1</v>
      </c>
      <c r="S184">
        <v>0</v>
      </c>
      <c r="AB184" t="str">
        <f t="shared" si="6"/>
        <v>Normal</v>
      </c>
      <c r="AC184" t="str">
        <f t="shared" si="7"/>
        <v>Normal</v>
      </c>
    </row>
    <row r="185" spans="1:29" x14ac:dyDescent="0.25">
      <c r="A185" t="s">
        <v>31</v>
      </c>
      <c r="B185" s="2">
        <v>45655</v>
      </c>
      <c r="C185" t="s">
        <v>41</v>
      </c>
      <c r="D185" t="s">
        <v>60</v>
      </c>
      <c r="E185">
        <v>2.2000000000000002</v>
      </c>
      <c r="F185">
        <v>48</v>
      </c>
      <c r="G185">
        <v>459</v>
      </c>
      <c r="H185">
        <v>349</v>
      </c>
      <c r="I185" s="11">
        <f t="shared" si="8"/>
        <v>76.034858387799559</v>
      </c>
      <c r="J185">
        <v>2</v>
      </c>
      <c r="K185" t="s">
        <v>36</v>
      </c>
      <c r="L185">
        <v>2</v>
      </c>
      <c r="M185" t="s">
        <v>35</v>
      </c>
      <c r="N185">
        <v>13</v>
      </c>
      <c r="O185">
        <v>3</v>
      </c>
      <c r="P185">
        <v>9</v>
      </c>
      <c r="Q185">
        <v>5</v>
      </c>
      <c r="R185">
        <v>1</v>
      </c>
      <c r="S185">
        <v>0</v>
      </c>
      <c r="AB185" t="str">
        <f t="shared" si="6"/>
        <v>Normal</v>
      </c>
      <c r="AC185" t="str">
        <f t="shared" si="7"/>
        <v>Normal</v>
      </c>
    </row>
    <row r="186" spans="1:29" x14ac:dyDescent="0.25">
      <c r="A186" t="s">
        <v>31</v>
      </c>
      <c r="B186" s="2">
        <v>45655</v>
      </c>
      <c r="C186" t="s">
        <v>67</v>
      </c>
      <c r="D186" t="s">
        <v>51</v>
      </c>
      <c r="E186">
        <v>0.4</v>
      </c>
      <c r="F186">
        <v>46</v>
      </c>
      <c r="G186">
        <v>495</v>
      </c>
      <c r="H186">
        <v>416</v>
      </c>
      <c r="I186" s="11">
        <f t="shared" si="8"/>
        <v>84.040404040404042</v>
      </c>
      <c r="J186">
        <v>0</v>
      </c>
      <c r="K186" t="s">
        <v>40</v>
      </c>
      <c r="L186">
        <v>0</v>
      </c>
      <c r="M186" t="s">
        <v>40</v>
      </c>
      <c r="N186">
        <v>7</v>
      </c>
      <c r="O186">
        <v>0</v>
      </c>
      <c r="P186">
        <v>7</v>
      </c>
      <c r="Q186">
        <v>3</v>
      </c>
      <c r="R186">
        <v>0</v>
      </c>
      <c r="S186">
        <v>0</v>
      </c>
      <c r="AB186" t="str">
        <f t="shared" si="6"/>
        <v>Normal</v>
      </c>
      <c r="AC186" t="str">
        <f t="shared" si="7"/>
        <v>Normal</v>
      </c>
    </row>
    <row r="187" spans="1:29" x14ac:dyDescent="0.25">
      <c r="A187" t="s">
        <v>31</v>
      </c>
      <c r="B187" s="2">
        <v>45656</v>
      </c>
      <c r="C187" t="s">
        <v>68</v>
      </c>
      <c r="D187" t="s">
        <v>52</v>
      </c>
      <c r="E187">
        <v>1.8</v>
      </c>
      <c r="F187">
        <v>59</v>
      </c>
      <c r="G187">
        <v>523</v>
      </c>
      <c r="H187">
        <v>430</v>
      </c>
      <c r="I187" s="11">
        <f t="shared" si="8"/>
        <v>82.217973231357561</v>
      </c>
      <c r="J187">
        <v>2</v>
      </c>
      <c r="K187" t="s">
        <v>36</v>
      </c>
      <c r="L187">
        <v>1</v>
      </c>
      <c r="M187" t="s">
        <v>36</v>
      </c>
      <c r="N187">
        <v>20</v>
      </c>
      <c r="O187">
        <v>4</v>
      </c>
      <c r="P187">
        <v>9</v>
      </c>
      <c r="Q187">
        <v>12</v>
      </c>
      <c r="R187">
        <v>2</v>
      </c>
      <c r="S187">
        <v>0</v>
      </c>
      <c r="AB187" t="str">
        <f t="shared" si="6"/>
        <v>Normal</v>
      </c>
      <c r="AC187" t="str">
        <f t="shared" si="7"/>
        <v>Normal</v>
      </c>
    </row>
    <row r="188" spans="1:29" x14ac:dyDescent="0.25">
      <c r="A188" t="s">
        <v>31</v>
      </c>
      <c r="B188" s="2">
        <v>45656</v>
      </c>
      <c r="C188" t="s">
        <v>68</v>
      </c>
      <c r="D188" t="s">
        <v>38</v>
      </c>
      <c r="E188">
        <v>1.6</v>
      </c>
      <c r="F188">
        <v>24</v>
      </c>
      <c r="G188">
        <v>249</v>
      </c>
      <c r="H188">
        <v>157</v>
      </c>
      <c r="I188" s="11">
        <f t="shared" si="8"/>
        <v>63.052208835341361</v>
      </c>
      <c r="J188">
        <v>2</v>
      </c>
      <c r="K188" t="s">
        <v>35</v>
      </c>
      <c r="L188">
        <v>1</v>
      </c>
      <c r="M188" t="s">
        <v>35</v>
      </c>
      <c r="N188">
        <v>9</v>
      </c>
      <c r="O188">
        <v>6</v>
      </c>
      <c r="P188">
        <v>9</v>
      </c>
      <c r="Q188">
        <v>4</v>
      </c>
      <c r="R188">
        <v>4</v>
      </c>
      <c r="S188">
        <v>0</v>
      </c>
      <c r="AB188" t="str">
        <f t="shared" si="6"/>
        <v>Normal</v>
      </c>
      <c r="AC188" t="str">
        <f t="shared" si="7"/>
        <v>Normal</v>
      </c>
    </row>
    <row r="189" spans="1:29" x14ac:dyDescent="0.25">
      <c r="A189" t="s">
        <v>31</v>
      </c>
      <c r="B189" s="2">
        <v>45656</v>
      </c>
      <c r="C189" t="s">
        <v>32</v>
      </c>
      <c r="D189" t="s">
        <v>33</v>
      </c>
      <c r="E189">
        <v>0.8</v>
      </c>
      <c r="F189">
        <v>52</v>
      </c>
      <c r="G189">
        <v>615</v>
      </c>
      <c r="H189">
        <v>525</v>
      </c>
      <c r="I189" s="11">
        <f t="shared" si="8"/>
        <v>85.365853658536579</v>
      </c>
      <c r="J189">
        <v>0</v>
      </c>
      <c r="K189" t="s">
        <v>40</v>
      </c>
      <c r="L189">
        <v>0</v>
      </c>
      <c r="M189" t="s">
        <v>40</v>
      </c>
      <c r="N189">
        <v>10</v>
      </c>
      <c r="O189">
        <v>0</v>
      </c>
      <c r="P189">
        <v>13</v>
      </c>
      <c r="Q189">
        <v>2</v>
      </c>
      <c r="R189">
        <v>1</v>
      </c>
      <c r="S189">
        <v>0</v>
      </c>
      <c r="AB189" t="str">
        <f t="shared" si="6"/>
        <v>Normal</v>
      </c>
      <c r="AC189" t="str">
        <f t="shared" si="7"/>
        <v>Normal</v>
      </c>
    </row>
    <row r="190" spans="1:29" x14ac:dyDescent="0.25">
      <c r="A190" t="s">
        <v>31</v>
      </c>
      <c r="B190" s="2">
        <v>45658</v>
      </c>
      <c r="C190" t="s">
        <v>50</v>
      </c>
      <c r="D190" t="s">
        <v>54</v>
      </c>
      <c r="E190">
        <v>0.3</v>
      </c>
      <c r="F190">
        <v>50</v>
      </c>
      <c r="G190">
        <v>511</v>
      </c>
      <c r="H190">
        <v>411</v>
      </c>
      <c r="I190" s="11">
        <f t="shared" si="8"/>
        <v>80.430528375733857</v>
      </c>
      <c r="J190">
        <v>1</v>
      </c>
      <c r="K190" t="s">
        <v>40</v>
      </c>
      <c r="L190">
        <v>1</v>
      </c>
      <c r="M190" t="s">
        <v>36</v>
      </c>
      <c r="N190">
        <v>5</v>
      </c>
      <c r="O190">
        <v>2</v>
      </c>
      <c r="P190">
        <v>6</v>
      </c>
      <c r="Q190">
        <v>4</v>
      </c>
      <c r="R190">
        <v>1</v>
      </c>
      <c r="S190">
        <v>0</v>
      </c>
      <c r="AB190" t="str">
        <f t="shared" si="6"/>
        <v>Normal</v>
      </c>
      <c r="AC190" t="str">
        <f t="shared" si="7"/>
        <v>Normal</v>
      </c>
    </row>
    <row r="191" spans="1:29" x14ac:dyDescent="0.25">
      <c r="A191" t="s">
        <v>31</v>
      </c>
      <c r="B191" s="2">
        <v>45661</v>
      </c>
      <c r="C191" t="s">
        <v>37</v>
      </c>
      <c r="D191" t="s">
        <v>60</v>
      </c>
      <c r="E191">
        <v>0.9</v>
      </c>
      <c r="F191">
        <v>56</v>
      </c>
      <c r="G191">
        <v>512</v>
      </c>
      <c r="H191">
        <v>397</v>
      </c>
      <c r="I191" s="11">
        <f t="shared" si="8"/>
        <v>77.5390625</v>
      </c>
      <c r="J191">
        <v>1</v>
      </c>
      <c r="K191" t="s">
        <v>40</v>
      </c>
      <c r="L191">
        <v>1</v>
      </c>
      <c r="M191" t="s">
        <v>40</v>
      </c>
      <c r="N191">
        <v>13</v>
      </c>
      <c r="O191">
        <v>4</v>
      </c>
      <c r="P191">
        <v>11</v>
      </c>
      <c r="Q191">
        <v>9</v>
      </c>
      <c r="R191">
        <v>1</v>
      </c>
      <c r="S191">
        <v>0</v>
      </c>
      <c r="AB191" t="str">
        <f t="shared" si="6"/>
        <v>Normal</v>
      </c>
      <c r="AC191" t="str">
        <f t="shared" si="7"/>
        <v>Normal</v>
      </c>
    </row>
    <row r="192" spans="1:29" x14ac:dyDescent="0.25">
      <c r="A192" t="s">
        <v>31</v>
      </c>
      <c r="B192" s="2">
        <v>45661</v>
      </c>
      <c r="C192" t="s">
        <v>41</v>
      </c>
      <c r="D192" t="s">
        <v>52</v>
      </c>
      <c r="E192">
        <v>1.4</v>
      </c>
      <c r="F192">
        <v>60</v>
      </c>
      <c r="G192">
        <v>657</v>
      </c>
      <c r="H192">
        <v>574</v>
      </c>
      <c r="I192" s="11">
        <f t="shared" si="8"/>
        <v>87.36681887366818</v>
      </c>
      <c r="J192">
        <v>2</v>
      </c>
      <c r="K192" t="s">
        <v>35</v>
      </c>
      <c r="L192">
        <v>0</v>
      </c>
      <c r="M192" t="s">
        <v>36</v>
      </c>
      <c r="N192">
        <v>13</v>
      </c>
      <c r="O192">
        <v>5</v>
      </c>
      <c r="P192">
        <v>10</v>
      </c>
      <c r="Q192">
        <v>7</v>
      </c>
      <c r="R192">
        <v>0</v>
      </c>
      <c r="S192">
        <v>0</v>
      </c>
      <c r="AB192" t="str">
        <f t="shared" si="6"/>
        <v>Normal</v>
      </c>
      <c r="AC192" t="str">
        <f t="shared" si="7"/>
        <v>Normal</v>
      </c>
    </row>
    <row r="193" spans="1:29" x14ac:dyDescent="0.25">
      <c r="A193" t="s">
        <v>31</v>
      </c>
      <c r="B193" s="2">
        <v>45661</v>
      </c>
      <c r="C193" t="s">
        <v>41</v>
      </c>
      <c r="D193" t="s">
        <v>49</v>
      </c>
      <c r="E193">
        <v>1.8</v>
      </c>
      <c r="F193">
        <v>58</v>
      </c>
      <c r="G193">
        <v>502</v>
      </c>
      <c r="H193">
        <v>369</v>
      </c>
      <c r="I193" s="11">
        <f t="shared" si="8"/>
        <v>73.505976095617527</v>
      </c>
      <c r="J193">
        <v>1</v>
      </c>
      <c r="K193" t="s">
        <v>35</v>
      </c>
      <c r="L193">
        <v>0</v>
      </c>
      <c r="M193" t="s">
        <v>36</v>
      </c>
      <c r="N193">
        <v>19</v>
      </c>
      <c r="O193">
        <v>8</v>
      </c>
      <c r="P193">
        <v>15</v>
      </c>
      <c r="Q193">
        <v>9</v>
      </c>
      <c r="R193">
        <v>2</v>
      </c>
      <c r="S193">
        <v>0</v>
      </c>
      <c r="AB193" t="str">
        <f t="shared" si="6"/>
        <v>Normal</v>
      </c>
      <c r="AC193" t="str">
        <f t="shared" si="7"/>
        <v>Normal</v>
      </c>
    </row>
    <row r="194" spans="1:29" x14ac:dyDescent="0.25">
      <c r="A194" t="s">
        <v>31</v>
      </c>
      <c r="B194" s="2">
        <v>45661</v>
      </c>
      <c r="C194" t="s">
        <v>41</v>
      </c>
      <c r="D194" t="s">
        <v>55</v>
      </c>
      <c r="E194">
        <v>1.1000000000000001</v>
      </c>
      <c r="F194">
        <v>39</v>
      </c>
      <c r="G194">
        <v>385</v>
      </c>
      <c r="H194">
        <v>283</v>
      </c>
      <c r="I194" s="11">
        <f t="shared" si="8"/>
        <v>73.506493506493513</v>
      </c>
      <c r="J194">
        <v>1</v>
      </c>
      <c r="K194" t="s">
        <v>36</v>
      </c>
      <c r="L194">
        <v>0</v>
      </c>
      <c r="M194" t="s">
        <v>40</v>
      </c>
      <c r="N194">
        <v>13</v>
      </c>
      <c r="O194">
        <v>6</v>
      </c>
      <c r="P194">
        <v>9</v>
      </c>
      <c r="Q194">
        <v>6</v>
      </c>
      <c r="R194">
        <v>0</v>
      </c>
      <c r="S194">
        <v>0</v>
      </c>
      <c r="AB194" t="str">
        <f t="shared" ref="AB194:AB257" si="9">IF(E194 &lt; _xlfn.PERCENTILE.INC($E$2:$E$761,0),
    "Ekstrem Rendah",
    IF(E194 &gt; _xlfn.PERCENTILE.INC($E$2:$E$761,1),
        "Ekstrem Tinggi",
        "Normal"
    )
)</f>
        <v>Normal</v>
      </c>
      <c r="AC194" t="str">
        <f t="shared" ref="AC194:AC257" si="10">IF(F194 &lt; _xlfn.PERCENTILE.INC($F$2:$F$761,0.001),
    "Ekstrem Rendah",
    IF(F194 &gt; _xlfn.PERCENTILE.INC($F$2:$F$761,0.999),
        "Ekstrem Tinggi",
        "Normal"
    )
)</f>
        <v>Normal</v>
      </c>
    </row>
    <row r="195" spans="1:29" x14ac:dyDescent="0.25">
      <c r="A195" t="s">
        <v>31</v>
      </c>
      <c r="B195" s="2">
        <v>45661</v>
      </c>
      <c r="C195" t="s">
        <v>41</v>
      </c>
      <c r="D195" t="s">
        <v>58</v>
      </c>
      <c r="E195">
        <v>1.9</v>
      </c>
      <c r="F195">
        <v>56</v>
      </c>
      <c r="G195">
        <v>583</v>
      </c>
      <c r="H195">
        <v>510</v>
      </c>
      <c r="I195" s="11">
        <f t="shared" ref="I195:I258" si="11">H195/G195*100</f>
        <v>87.478559176672391</v>
      </c>
      <c r="J195">
        <v>4</v>
      </c>
      <c r="K195" t="s">
        <v>35</v>
      </c>
      <c r="L195">
        <v>2</v>
      </c>
      <c r="M195" t="s">
        <v>35</v>
      </c>
      <c r="N195">
        <v>10</v>
      </c>
      <c r="O195">
        <v>7</v>
      </c>
      <c r="P195">
        <v>8</v>
      </c>
      <c r="Q195">
        <v>7</v>
      </c>
      <c r="R195">
        <v>2</v>
      </c>
      <c r="S195">
        <v>0</v>
      </c>
      <c r="AB195" t="str">
        <f t="shared" si="9"/>
        <v>Normal</v>
      </c>
      <c r="AC195" t="str">
        <f t="shared" si="10"/>
        <v>Normal</v>
      </c>
    </row>
    <row r="196" spans="1:29" x14ac:dyDescent="0.25">
      <c r="A196" t="s">
        <v>31</v>
      </c>
      <c r="B196" s="2">
        <v>45661</v>
      </c>
      <c r="C196" t="s">
        <v>41</v>
      </c>
      <c r="D196" t="s">
        <v>47</v>
      </c>
      <c r="E196">
        <v>0.3</v>
      </c>
      <c r="F196">
        <v>50</v>
      </c>
      <c r="G196">
        <v>494</v>
      </c>
      <c r="H196">
        <v>412</v>
      </c>
      <c r="I196" s="11">
        <f t="shared" si="11"/>
        <v>83.400809716599184</v>
      </c>
      <c r="J196">
        <v>0</v>
      </c>
      <c r="K196" t="s">
        <v>40</v>
      </c>
      <c r="L196">
        <v>0</v>
      </c>
      <c r="M196" t="s">
        <v>40</v>
      </c>
      <c r="N196">
        <v>8</v>
      </c>
      <c r="O196">
        <v>1</v>
      </c>
      <c r="P196">
        <v>10</v>
      </c>
      <c r="Q196">
        <v>2</v>
      </c>
      <c r="R196">
        <v>2</v>
      </c>
      <c r="S196">
        <v>0</v>
      </c>
      <c r="AB196" t="str">
        <f t="shared" si="9"/>
        <v>Normal</v>
      </c>
      <c r="AC196" t="str">
        <f t="shared" si="10"/>
        <v>Normal</v>
      </c>
    </row>
    <row r="197" spans="1:29" x14ac:dyDescent="0.25">
      <c r="A197" t="s">
        <v>31</v>
      </c>
      <c r="B197" s="2">
        <v>45661</v>
      </c>
      <c r="C197" t="s">
        <v>50</v>
      </c>
      <c r="D197" t="s">
        <v>45</v>
      </c>
      <c r="E197">
        <v>1.5</v>
      </c>
      <c r="F197">
        <v>45</v>
      </c>
      <c r="G197">
        <v>451</v>
      </c>
      <c r="H197">
        <v>379</v>
      </c>
      <c r="I197" s="11">
        <f t="shared" si="11"/>
        <v>84.035476718403544</v>
      </c>
      <c r="J197">
        <v>1</v>
      </c>
      <c r="K197" t="s">
        <v>36</v>
      </c>
      <c r="L197">
        <v>0</v>
      </c>
      <c r="M197" t="s">
        <v>40</v>
      </c>
      <c r="N197">
        <v>11</v>
      </c>
      <c r="O197">
        <v>4</v>
      </c>
      <c r="P197">
        <v>17</v>
      </c>
      <c r="Q197">
        <v>2</v>
      </c>
      <c r="R197">
        <v>2</v>
      </c>
      <c r="S197">
        <v>0</v>
      </c>
      <c r="AB197" t="str">
        <f t="shared" si="9"/>
        <v>Normal</v>
      </c>
      <c r="AC197" t="str">
        <f t="shared" si="10"/>
        <v>Normal</v>
      </c>
    </row>
    <row r="198" spans="1:29" x14ac:dyDescent="0.25">
      <c r="A198" t="s">
        <v>31</v>
      </c>
      <c r="B198" s="2">
        <v>45662</v>
      </c>
      <c r="C198" t="s">
        <v>53</v>
      </c>
      <c r="D198" t="s">
        <v>34</v>
      </c>
      <c r="E198">
        <v>2.2000000000000002</v>
      </c>
      <c r="F198">
        <v>73</v>
      </c>
      <c r="G198">
        <v>745</v>
      </c>
      <c r="H198">
        <v>633</v>
      </c>
      <c r="I198" s="11">
        <f t="shared" si="11"/>
        <v>84.966442953020135</v>
      </c>
      <c r="J198">
        <v>2</v>
      </c>
      <c r="K198" t="s">
        <v>36</v>
      </c>
      <c r="L198">
        <v>0</v>
      </c>
      <c r="M198" t="s">
        <v>40</v>
      </c>
      <c r="N198">
        <v>15</v>
      </c>
      <c r="O198">
        <v>4</v>
      </c>
      <c r="P198">
        <v>10</v>
      </c>
      <c r="Q198">
        <v>9</v>
      </c>
      <c r="R198">
        <v>1</v>
      </c>
      <c r="S198">
        <v>0</v>
      </c>
      <c r="AB198" t="str">
        <f t="shared" si="9"/>
        <v>Normal</v>
      </c>
      <c r="AC198" t="str">
        <f t="shared" si="10"/>
        <v>Normal</v>
      </c>
    </row>
    <row r="199" spans="1:29" x14ac:dyDescent="0.25">
      <c r="A199" t="s">
        <v>31</v>
      </c>
      <c r="B199" s="2">
        <v>45662</v>
      </c>
      <c r="C199" t="s">
        <v>56</v>
      </c>
      <c r="D199" t="s">
        <v>39</v>
      </c>
      <c r="E199">
        <v>2.7</v>
      </c>
      <c r="F199">
        <v>53</v>
      </c>
      <c r="G199">
        <v>477</v>
      </c>
      <c r="H199">
        <v>388</v>
      </c>
      <c r="I199" s="11">
        <f t="shared" si="11"/>
        <v>81.341719077568129</v>
      </c>
      <c r="J199">
        <v>2</v>
      </c>
      <c r="K199" t="s">
        <v>36</v>
      </c>
      <c r="L199">
        <v>0</v>
      </c>
      <c r="M199" t="s">
        <v>36</v>
      </c>
      <c r="N199">
        <v>19</v>
      </c>
      <c r="O199">
        <v>6</v>
      </c>
      <c r="P199">
        <v>10</v>
      </c>
      <c r="Q199">
        <v>6</v>
      </c>
      <c r="R199">
        <v>2</v>
      </c>
      <c r="S199">
        <v>0</v>
      </c>
      <c r="AB199" t="str">
        <f t="shared" si="9"/>
        <v>Normal</v>
      </c>
      <c r="AC199" t="str">
        <f t="shared" si="10"/>
        <v>Normal</v>
      </c>
    </row>
    <row r="200" spans="1:29" x14ac:dyDescent="0.25">
      <c r="A200" t="s">
        <v>31</v>
      </c>
      <c r="B200" s="2">
        <v>45663</v>
      </c>
      <c r="C200" t="s">
        <v>32</v>
      </c>
      <c r="D200" t="s">
        <v>43</v>
      </c>
      <c r="E200">
        <v>1.5</v>
      </c>
      <c r="F200">
        <v>60</v>
      </c>
      <c r="G200">
        <v>600</v>
      </c>
      <c r="H200">
        <v>491</v>
      </c>
      <c r="I200" s="11">
        <f t="shared" si="11"/>
        <v>81.833333333333343</v>
      </c>
      <c r="J200">
        <v>0</v>
      </c>
      <c r="K200" t="s">
        <v>40</v>
      </c>
      <c r="L200">
        <v>0</v>
      </c>
      <c r="M200" t="s">
        <v>40</v>
      </c>
      <c r="N200">
        <v>13</v>
      </c>
      <c r="O200">
        <v>6</v>
      </c>
      <c r="P200">
        <v>10</v>
      </c>
      <c r="Q200">
        <v>5</v>
      </c>
      <c r="R200">
        <v>1</v>
      </c>
      <c r="S200">
        <v>0</v>
      </c>
      <c r="AB200" t="str">
        <f t="shared" si="9"/>
        <v>Normal</v>
      </c>
      <c r="AC200" t="str">
        <f t="shared" si="10"/>
        <v>Normal</v>
      </c>
    </row>
    <row r="201" spans="1:29" x14ac:dyDescent="0.25">
      <c r="A201" t="s">
        <v>31</v>
      </c>
      <c r="B201" s="2">
        <v>45671</v>
      </c>
      <c r="C201" t="s">
        <v>63</v>
      </c>
      <c r="D201" t="s">
        <v>54</v>
      </c>
      <c r="E201">
        <v>2.5</v>
      </c>
      <c r="F201">
        <v>45</v>
      </c>
      <c r="G201">
        <v>456</v>
      </c>
      <c r="H201">
        <v>354</v>
      </c>
      <c r="I201" s="11">
        <f t="shared" si="11"/>
        <v>77.631578947368425</v>
      </c>
      <c r="J201">
        <v>2</v>
      </c>
      <c r="K201" t="s">
        <v>36</v>
      </c>
      <c r="L201">
        <v>0</v>
      </c>
      <c r="M201" t="s">
        <v>36</v>
      </c>
      <c r="N201">
        <v>18</v>
      </c>
      <c r="O201">
        <v>6</v>
      </c>
      <c r="P201">
        <v>4</v>
      </c>
      <c r="Q201">
        <v>4</v>
      </c>
      <c r="R201">
        <v>0</v>
      </c>
      <c r="S201">
        <v>0</v>
      </c>
      <c r="AB201" t="str">
        <f t="shared" si="9"/>
        <v>Normal</v>
      </c>
      <c r="AC201" t="str">
        <f t="shared" si="10"/>
        <v>Normal</v>
      </c>
    </row>
    <row r="202" spans="1:29" x14ac:dyDescent="0.25">
      <c r="A202" t="s">
        <v>31</v>
      </c>
      <c r="B202" s="2">
        <v>45671</v>
      </c>
      <c r="C202" t="s">
        <v>63</v>
      </c>
      <c r="D202" t="s">
        <v>57</v>
      </c>
      <c r="E202">
        <v>2.5</v>
      </c>
      <c r="F202">
        <v>57</v>
      </c>
      <c r="G202">
        <v>470</v>
      </c>
      <c r="H202">
        <v>382</v>
      </c>
      <c r="I202" s="11">
        <f t="shared" si="11"/>
        <v>81.276595744680847</v>
      </c>
      <c r="J202">
        <v>2</v>
      </c>
      <c r="K202" t="s">
        <v>36</v>
      </c>
      <c r="L202">
        <v>1</v>
      </c>
      <c r="M202" t="s">
        <v>35</v>
      </c>
      <c r="N202">
        <v>26</v>
      </c>
      <c r="O202">
        <v>10</v>
      </c>
      <c r="P202">
        <v>15</v>
      </c>
      <c r="Q202">
        <v>9</v>
      </c>
      <c r="R202">
        <v>2</v>
      </c>
      <c r="S202">
        <v>0</v>
      </c>
      <c r="AB202" t="str">
        <f t="shared" si="9"/>
        <v>Normal</v>
      </c>
      <c r="AC202" t="str">
        <f t="shared" si="10"/>
        <v>Normal</v>
      </c>
    </row>
    <row r="203" spans="1:29" x14ac:dyDescent="0.25">
      <c r="A203" t="s">
        <v>31</v>
      </c>
      <c r="B203" s="2">
        <v>45671</v>
      </c>
      <c r="C203" t="s">
        <v>63</v>
      </c>
      <c r="D203" t="s">
        <v>51</v>
      </c>
      <c r="E203">
        <v>1</v>
      </c>
      <c r="F203">
        <v>44</v>
      </c>
      <c r="G203">
        <v>442</v>
      </c>
      <c r="H203">
        <v>356</v>
      </c>
      <c r="I203" s="11">
        <f t="shared" si="11"/>
        <v>80.542986425339365</v>
      </c>
      <c r="J203">
        <v>3</v>
      </c>
      <c r="K203" t="s">
        <v>35</v>
      </c>
      <c r="L203">
        <v>2</v>
      </c>
      <c r="M203" t="s">
        <v>35</v>
      </c>
      <c r="N203">
        <v>4</v>
      </c>
      <c r="O203">
        <v>3</v>
      </c>
      <c r="P203">
        <v>9</v>
      </c>
      <c r="Q203">
        <v>0</v>
      </c>
      <c r="R203">
        <v>3</v>
      </c>
      <c r="S203">
        <v>0</v>
      </c>
      <c r="AB203" t="str">
        <f t="shared" si="9"/>
        <v>Normal</v>
      </c>
      <c r="AC203" t="str">
        <f t="shared" si="10"/>
        <v>Normal</v>
      </c>
    </row>
    <row r="204" spans="1:29" x14ac:dyDescent="0.25">
      <c r="A204" t="s">
        <v>31</v>
      </c>
      <c r="B204" s="2">
        <v>45671</v>
      </c>
      <c r="C204" t="s">
        <v>32</v>
      </c>
      <c r="D204" t="s">
        <v>48</v>
      </c>
      <c r="E204">
        <v>0.3</v>
      </c>
      <c r="F204">
        <v>30</v>
      </c>
      <c r="G204">
        <v>268</v>
      </c>
      <c r="H204">
        <v>168</v>
      </c>
      <c r="I204" s="11">
        <f t="shared" si="11"/>
        <v>62.68656716417911</v>
      </c>
      <c r="J204">
        <v>1</v>
      </c>
      <c r="K204" t="s">
        <v>36</v>
      </c>
      <c r="L204">
        <v>1</v>
      </c>
      <c r="M204" t="s">
        <v>35</v>
      </c>
      <c r="N204">
        <v>6</v>
      </c>
      <c r="O204">
        <v>3</v>
      </c>
      <c r="P204">
        <v>7</v>
      </c>
      <c r="Q204">
        <v>0</v>
      </c>
      <c r="R204">
        <v>2</v>
      </c>
      <c r="S204">
        <v>0</v>
      </c>
      <c r="AB204" t="str">
        <f t="shared" si="9"/>
        <v>Normal</v>
      </c>
      <c r="AC204" t="str">
        <f t="shared" si="10"/>
        <v>Normal</v>
      </c>
    </row>
    <row r="205" spans="1:29" x14ac:dyDescent="0.25">
      <c r="A205" t="s">
        <v>31</v>
      </c>
      <c r="B205" s="2">
        <v>45672</v>
      </c>
      <c r="C205" t="s">
        <v>63</v>
      </c>
      <c r="D205" t="s">
        <v>44</v>
      </c>
      <c r="E205">
        <v>1.1000000000000001</v>
      </c>
      <c r="F205">
        <v>50</v>
      </c>
      <c r="G205">
        <v>468</v>
      </c>
      <c r="H205">
        <v>363</v>
      </c>
      <c r="I205" s="11">
        <f t="shared" si="11"/>
        <v>77.564102564102569</v>
      </c>
      <c r="J205">
        <v>0</v>
      </c>
      <c r="K205" t="s">
        <v>40</v>
      </c>
      <c r="L205">
        <v>0</v>
      </c>
      <c r="M205" t="s">
        <v>36</v>
      </c>
      <c r="N205">
        <v>10</v>
      </c>
      <c r="O205">
        <v>3</v>
      </c>
      <c r="P205">
        <v>17</v>
      </c>
      <c r="Q205">
        <v>8</v>
      </c>
      <c r="R205">
        <v>2</v>
      </c>
      <c r="S205">
        <v>0</v>
      </c>
      <c r="AB205" t="str">
        <f t="shared" si="9"/>
        <v>Normal</v>
      </c>
      <c r="AC205" t="str">
        <f t="shared" si="10"/>
        <v>Normal</v>
      </c>
    </row>
    <row r="206" spans="1:29" x14ac:dyDescent="0.25">
      <c r="A206" t="s">
        <v>31</v>
      </c>
      <c r="B206" s="2">
        <v>45672</v>
      </c>
      <c r="C206" t="s">
        <v>63</v>
      </c>
      <c r="D206" t="s">
        <v>59</v>
      </c>
      <c r="E206">
        <v>1.7</v>
      </c>
      <c r="F206">
        <v>57</v>
      </c>
      <c r="G206">
        <v>656</v>
      </c>
      <c r="H206">
        <v>549</v>
      </c>
      <c r="I206" s="11">
        <f t="shared" si="11"/>
        <v>83.689024390243901</v>
      </c>
      <c r="J206">
        <v>0</v>
      </c>
      <c r="K206" t="s">
        <v>40</v>
      </c>
      <c r="L206">
        <v>0</v>
      </c>
      <c r="M206" t="s">
        <v>36</v>
      </c>
      <c r="N206">
        <v>21</v>
      </c>
      <c r="O206">
        <v>4</v>
      </c>
      <c r="P206">
        <v>7</v>
      </c>
      <c r="Q206">
        <v>4</v>
      </c>
      <c r="R206">
        <v>0</v>
      </c>
      <c r="S206">
        <v>0</v>
      </c>
      <c r="AB206" t="str">
        <f t="shared" si="9"/>
        <v>Normal</v>
      </c>
      <c r="AC206" t="str">
        <f t="shared" si="10"/>
        <v>Normal</v>
      </c>
    </row>
    <row r="207" spans="1:29" x14ac:dyDescent="0.25">
      <c r="A207" t="s">
        <v>31</v>
      </c>
      <c r="B207" s="2">
        <v>45672</v>
      </c>
      <c r="C207" t="s">
        <v>63</v>
      </c>
      <c r="D207" t="s">
        <v>46</v>
      </c>
      <c r="E207">
        <v>2.1</v>
      </c>
      <c r="F207">
        <v>60</v>
      </c>
      <c r="G207">
        <v>626</v>
      </c>
      <c r="H207">
        <v>534</v>
      </c>
      <c r="I207" s="11">
        <f t="shared" si="11"/>
        <v>85.303514376996802</v>
      </c>
      <c r="J207">
        <v>3</v>
      </c>
      <c r="K207" t="s">
        <v>35</v>
      </c>
      <c r="L207">
        <v>1</v>
      </c>
      <c r="M207" t="s">
        <v>35</v>
      </c>
      <c r="N207">
        <v>17</v>
      </c>
      <c r="O207">
        <v>5</v>
      </c>
      <c r="P207">
        <v>10</v>
      </c>
      <c r="Q207">
        <v>4</v>
      </c>
      <c r="R207">
        <v>0</v>
      </c>
      <c r="S207">
        <v>0</v>
      </c>
      <c r="AB207" t="str">
        <f t="shared" si="9"/>
        <v>Normal</v>
      </c>
      <c r="AC207" t="str">
        <f t="shared" si="10"/>
        <v>Normal</v>
      </c>
    </row>
    <row r="208" spans="1:29" x14ac:dyDescent="0.25">
      <c r="A208" t="s">
        <v>31</v>
      </c>
      <c r="B208" s="2">
        <v>45672</v>
      </c>
      <c r="C208" t="s">
        <v>32</v>
      </c>
      <c r="D208" t="s">
        <v>42</v>
      </c>
      <c r="E208">
        <v>1.4</v>
      </c>
      <c r="F208">
        <v>53</v>
      </c>
      <c r="G208">
        <v>469</v>
      </c>
      <c r="H208">
        <v>378</v>
      </c>
      <c r="I208" s="11">
        <f t="shared" si="11"/>
        <v>80.597014925373131</v>
      </c>
      <c r="J208">
        <v>2</v>
      </c>
      <c r="K208" t="s">
        <v>35</v>
      </c>
      <c r="L208">
        <v>2</v>
      </c>
      <c r="M208" t="s">
        <v>35</v>
      </c>
      <c r="N208">
        <v>14</v>
      </c>
      <c r="O208">
        <v>4</v>
      </c>
      <c r="P208">
        <v>16</v>
      </c>
      <c r="Q208">
        <v>10</v>
      </c>
      <c r="R208">
        <v>3</v>
      </c>
      <c r="S208">
        <v>0</v>
      </c>
      <c r="AB208" t="str">
        <f t="shared" si="9"/>
        <v>Normal</v>
      </c>
      <c r="AC208" t="str">
        <f t="shared" si="10"/>
        <v>Normal</v>
      </c>
    </row>
    <row r="209" spans="1:29" x14ac:dyDescent="0.25">
      <c r="A209" t="s">
        <v>31</v>
      </c>
      <c r="B209" s="2">
        <v>45673</v>
      </c>
      <c r="C209" t="s">
        <v>63</v>
      </c>
      <c r="D209" t="s">
        <v>38</v>
      </c>
      <c r="E209">
        <v>0.3</v>
      </c>
      <c r="F209">
        <v>47</v>
      </c>
      <c r="G209">
        <v>437</v>
      </c>
      <c r="H209">
        <v>357</v>
      </c>
      <c r="I209" s="11">
        <f t="shared" si="11"/>
        <v>81.693363844393602</v>
      </c>
      <c r="J209">
        <v>0</v>
      </c>
      <c r="K209" t="s">
        <v>40</v>
      </c>
      <c r="L209">
        <v>0</v>
      </c>
      <c r="M209" t="s">
        <v>36</v>
      </c>
      <c r="N209">
        <v>5</v>
      </c>
      <c r="O209">
        <v>3</v>
      </c>
      <c r="P209">
        <v>13</v>
      </c>
      <c r="Q209">
        <v>1</v>
      </c>
      <c r="R209">
        <v>2</v>
      </c>
      <c r="S209">
        <v>0</v>
      </c>
      <c r="AB209" t="str">
        <f t="shared" si="9"/>
        <v>Normal</v>
      </c>
      <c r="AC209" t="str">
        <f t="shared" si="10"/>
        <v>Normal</v>
      </c>
    </row>
    <row r="210" spans="1:29" x14ac:dyDescent="0.25">
      <c r="A210" t="s">
        <v>31</v>
      </c>
      <c r="B210" s="2">
        <v>45673</v>
      </c>
      <c r="C210" t="s">
        <v>32</v>
      </c>
      <c r="D210" t="s">
        <v>33</v>
      </c>
      <c r="E210">
        <v>3.4</v>
      </c>
      <c r="F210">
        <v>60</v>
      </c>
      <c r="G210">
        <v>628</v>
      </c>
      <c r="H210">
        <v>522</v>
      </c>
      <c r="I210" s="11">
        <f t="shared" si="11"/>
        <v>83.121019108280265</v>
      </c>
      <c r="J210">
        <v>3</v>
      </c>
      <c r="K210" t="s">
        <v>35</v>
      </c>
      <c r="L210">
        <v>0</v>
      </c>
      <c r="M210" t="s">
        <v>40</v>
      </c>
      <c r="N210">
        <v>23</v>
      </c>
      <c r="O210">
        <v>9</v>
      </c>
      <c r="P210">
        <v>7</v>
      </c>
      <c r="Q210">
        <v>5</v>
      </c>
      <c r="R210">
        <v>1</v>
      </c>
      <c r="S210">
        <v>0</v>
      </c>
      <c r="AB210" t="str">
        <f t="shared" si="9"/>
        <v>Normal</v>
      </c>
      <c r="AC210" t="str">
        <f t="shared" si="10"/>
        <v>Normal</v>
      </c>
    </row>
    <row r="211" spans="1:29" x14ac:dyDescent="0.25">
      <c r="A211" t="s">
        <v>31</v>
      </c>
      <c r="B211" s="2">
        <v>45675</v>
      </c>
      <c r="C211" t="s">
        <v>37</v>
      </c>
      <c r="D211" t="s">
        <v>46</v>
      </c>
      <c r="E211">
        <v>0.8</v>
      </c>
      <c r="F211">
        <v>56</v>
      </c>
      <c r="G211">
        <v>459</v>
      </c>
      <c r="H211">
        <v>347</v>
      </c>
      <c r="I211" s="11">
        <f t="shared" si="11"/>
        <v>75.599128540305017</v>
      </c>
      <c r="J211">
        <v>1</v>
      </c>
      <c r="K211" t="s">
        <v>40</v>
      </c>
      <c r="L211">
        <v>1</v>
      </c>
      <c r="M211" t="s">
        <v>40</v>
      </c>
      <c r="N211">
        <v>13</v>
      </c>
      <c r="O211">
        <v>5</v>
      </c>
      <c r="P211">
        <v>7</v>
      </c>
      <c r="Q211">
        <v>7</v>
      </c>
      <c r="R211">
        <v>1</v>
      </c>
      <c r="S211">
        <v>0</v>
      </c>
      <c r="AB211" t="str">
        <f t="shared" si="9"/>
        <v>Normal</v>
      </c>
      <c r="AC211" t="str">
        <f t="shared" si="10"/>
        <v>Normal</v>
      </c>
    </row>
    <row r="212" spans="1:29" x14ac:dyDescent="0.25">
      <c r="A212" t="s">
        <v>31</v>
      </c>
      <c r="B212" s="2">
        <v>45675</v>
      </c>
      <c r="C212" t="s">
        <v>41</v>
      </c>
      <c r="D212" t="s">
        <v>54</v>
      </c>
      <c r="E212">
        <v>0.7</v>
      </c>
      <c r="F212">
        <v>40</v>
      </c>
      <c r="G212">
        <v>349</v>
      </c>
      <c r="H212">
        <v>267</v>
      </c>
      <c r="I212" s="11">
        <f t="shared" si="11"/>
        <v>76.504297994269336</v>
      </c>
      <c r="J212">
        <v>0</v>
      </c>
      <c r="K212" t="s">
        <v>40</v>
      </c>
      <c r="L212">
        <v>0</v>
      </c>
      <c r="M212" t="s">
        <v>36</v>
      </c>
      <c r="N212">
        <v>11</v>
      </c>
      <c r="O212">
        <v>6</v>
      </c>
      <c r="P212">
        <v>6</v>
      </c>
      <c r="Q212">
        <v>2</v>
      </c>
      <c r="R212">
        <v>2</v>
      </c>
      <c r="S212">
        <v>0</v>
      </c>
      <c r="AB212" t="str">
        <f t="shared" si="9"/>
        <v>Normal</v>
      </c>
      <c r="AC212" t="str">
        <f t="shared" si="10"/>
        <v>Normal</v>
      </c>
    </row>
    <row r="213" spans="1:29" x14ac:dyDescent="0.25">
      <c r="A213" t="s">
        <v>31</v>
      </c>
      <c r="B213" s="2">
        <v>45675</v>
      </c>
      <c r="C213" t="s">
        <v>41</v>
      </c>
      <c r="D213" t="s">
        <v>59</v>
      </c>
      <c r="E213">
        <v>0.6</v>
      </c>
      <c r="F213">
        <v>40</v>
      </c>
      <c r="G213">
        <v>420</v>
      </c>
      <c r="H213">
        <v>317</v>
      </c>
      <c r="I213" s="11">
        <f t="shared" si="11"/>
        <v>75.476190476190482</v>
      </c>
      <c r="J213">
        <v>0</v>
      </c>
      <c r="K213" t="s">
        <v>40</v>
      </c>
      <c r="L213">
        <v>0</v>
      </c>
      <c r="M213" t="s">
        <v>36</v>
      </c>
      <c r="N213">
        <v>8</v>
      </c>
      <c r="O213">
        <v>4</v>
      </c>
      <c r="P213">
        <v>8</v>
      </c>
      <c r="Q213">
        <v>5</v>
      </c>
      <c r="R213">
        <v>3</v>
      </c>
      <c r="S213">
        <v>0</v>
      </c>
      <c r="AB213" t="str">
        <f t="shared" si="9"/>
        <v>Normal</v>
      </c>
      <c r="AC213" t="str">
        <f t="shared" si="10"/>
        <v>Normal</v>
      </c>
    </row>
    <row r="214" spans="1:29" x14ac:dyDescent="0.25">
      <c r="A214" t="s">
        <v>31</v>
      </c>
      <c r="B214" s="2">
        <v>45675</v>
      </c>
      <c r="C214" t="s">
        <v>41</v>
      </c>
      <c r="D214" t="s">
        <v>51</v>
      </c>
      <c r="E214">
        <v>0.3</v>
      </c>
      <c r="F214">
        <v>53</v>
      </c>
      <c r="G214">
        <v>576</v>
      </c>
      <c r="H214">
        <v>466</v>
      </c>
      <c r="I214" s="11">
        <f t="shared" si="11"/>
        <v>80.902777777777786</v>
      </c>
      <c r="J214">
        <v>0</v>
      </c>
      <c r="K214" t="s">
        <v>40</v>
      </c>
      <c r="L214">
        <v>0</v>
      </c>
      <c r="M214" t="s">
        <v>36</v>
      </c>
      <c r="N214">
        <v>7</v>
      </c>
      <c r="O214">
        <v>0</v>
      </c>
      <c r="P214">
        <v>13</v>
      </c>
      <c r="Q214">
        <v>2</v>
      </c>
      <c r="R214">
        <v>1</v>
      </c>
      <c r="S214">
        <v>1</v>
      </c>
      <c r="AB214" t="str">
        <f t="shared" si="9"/>
        <v>Normal</v>
      </c>
      <c r="AC214" t="str">
        <f t="shared" si="10"/>
        <v>Normal</v>
      </c>
    </row>
    <row r="215" spans="1:29" x14ac:dyDescent="0.25">
      <c r="A215" t="s">
        <v>31</v>
      </c>
      <c r="B215" s="2">
        <v>45675</v>
      </c>
      <c r="C215" t="s">
        <v>50</v>
      </c>
      <c r="D215" t="s">
        <v>42</v>
      </c>
      <c r="E215">
        <v>1.3</v>
      </c>
      <c r="F215">
        <v>66</v>
      </c>
      <c r="G215">
        <v>543</v>
      </c>
      <c r="H215">
        <v>451</v>
      </c>
      <c r="I215" s="11">
        <f t="shared" si="11"/>
        <v>83.057090239410684</v>
      </c>
      <c r="J215">
        <v>2</v>
      </c>
      <c r="K215" t="s">
        <v>36</v>
      </c>
      <c r="L215">
        <v>1</v>
      </c>
      <c r="M215" t="s">
        <v>35</v>
      </c>
      <c r="N215">
        <v>18</v>
      </c>
      <c r="O215">
        <v>6</v>
      </c>
      <c r="P215">
        <v>10</v>
      </c>
      <c r="Q215">
        <v>10</v>
      </c>
      <c r="R215">
        <v>2</v>
      </c>
      <c r="S215">
        <v>0</v>
      </c>
      <c r="AB215" t="str">
        <f t="shared" si="9"/>
        <v>Normal</v>
      </c>
      <c r="AC215" t="str">
        <f t="shared" si="10"/>
        <v>Normal</v>
      </c>
    </row>
    <row r="216" spans="1:29" x14ac:dyDescent="0.25">
      <c r="A216" t="s">
        <v>31</v>
      </c>
      <c r="B216" s="2">
        <v>45676</v>
      </c>
      <c r="C216" t="s">
        <v>53</v>
      </c>
      <c r="D216" t="s">
        <v>44</v>
      </c>
      <c r="E216">
        <v>1.8</v>
      </c>
      <c r="F216">
        <v>36</v>
      </c>
      <c r="G216">
        <v>366</v>
      </c>
      <c r="H216">
        <v>289</v>
      </c>
      <c r="I216" s="11">
        <f t="shared" si="11"/>
        <v>78.961748633879779</v>
      </c>
      <c r="J216">
        <v>3</v>
      </c>
      <c r="K216" t="s">
        <v>35</v>
      </c>
      <c r="L216">
        <v>3</v>
      </c>
      <c r="M216" t="s">
        <v>35</v>
      </c>
      <c r="N216">
        <v>12</v>
      </c>
      <c r="O216">
        <v>6</v>
      </c>
      <c r="P216">
        <v>14</v>
      </c>
      <c r="Q216">
        <v>3</v>
      </c>
      <c r="R216">
        <v>2</v>
      </c>
      <c r="S216">
        <v>0</v>
      </c>
      <c r="AB216" t="str">
        <f t="shared" si="9"/>
        <v>Normal</v>
      </c>
      <c r="AC216" t="str">
        <f t="shared" si="10"/>
        <v>Normal</v>
      </c>
    </row>
    <row r="217" spans="1:29" x14ac:dyDescent="0.25">
      <c r="A217" t="s">
        <v>31</v>
      </c>
      <c r="B217" s="2">
        <v>45676</v>
      </c>
      <c r="C217" t="s">
        <v>53</v>
      </c>
      <c r="D217" t="s">
        <v>33</v>
      </c>
      <c r="E217">
        <v>1.5</v>
      </c>
      <c r="F217">
        <v>51</v>
      </c>
      <c r="G217">
        <v>497</v>
      </c>
      <c r="H217">
        <v>406</v>
      </c>
      <c r="I217" s="11">
        <f t="shared" si="11"/>
        <v>81.690140845070431</v>
      </c>
      <c r="J217">
        <v>1</v>
      </c>
      <c r="K217" t="s">
        <v>40</v>
      </c>
      <c r="L217">
        <v>1</v>
      </c>
      <c r="M217" t="s">
        <v>36</v>
      </c>
      <c r="N217">
        <v>10</v>
      </c>
      <c r="O217">
        <v>1</v>
      </c>
      <c r="P217">
        <v>13</v>
      </c>
      <c r="Q217">
        <v>4</v>
      </c>
      <c r="R217">
        <v>3</v>
      </c>
      <c r="S217">
        <v>0</v>
      </c>
      <c r="AB217" t="str">
        <f t="shared" si="9"/>
        <v>Normal</v>
      </c>
      <c r="AC217" t="str">
        <f t="shared" si="10"/>
        <v>Normal</v>
      </c>
    </row>
    <row r="218" spans="1:29" x14ac:dyDescent="0.25">
      <c r="A218" t="s">
        <v>31</v>
      </c>
      <c r="B218" s="2">
        <v>45676</v>
      </c>
      <c r="C218" t="s">
        <v>53</v>
      </c>
      <c r="D218" t="s">
        <v>48</v>
      </c>
      <c r="E218">
        <v>1.8</v>
      </c>
      <c r="F218">
        <v>45</v>
      </c>
      <c r="G218">
        <v>423</v>
      </c>
      <c r="H218">
        <v>334</v>
      </c>
      <c r="I218" s="11">
        <f t="shared" si="11"/>
        <v>78.959810874704488</v>
      </c>
      <c r="J218">
        <v>3</v>
      </c>
      <c r="K218" t="s">
        <v>35</v>
      </c>
      <c r="L218">
        <v>3</v>
      </c>
      <c r="M218" t="s">
        <v>35</v>
      </c>
      <c r="N218">
        <v>14</v>
      </c>
      <c r="O218">
        <v>5</v>
      </c>
      <c r="P218">
        <v>4</v>
      </c>
      <c r="Q218">
        <v>2</v>
      </c>
      <c r="R218">
        <v>0</v>
      </c>
      <c r="S218">
        <v>0</v>
      </c>
      <c r="AB218" t="str">
        <f t="shared" si="9"/>
        <v>Normal</v>
      </c>
      <c r="AC218" t="str">
        <f t="shared" si="10"/>
        <v>Normal</v>
      </c>
    </row>
    <row r="219" spans="1:29" x14ac:dyDescent="0.25">
      <c r="A219" t="s">
        <v>31</v>
      </c>
      <c r="B219" s="2">
        <v>45676</v>
      </c>
      <c r="C219" t="s">
        <v>56</v>
      </c>
      <c r="D219" t="s">
        <v>38</v>
      </c>
      <c r="E219">
        <v>0.5</v>
      </c>
      <c r="F219">
        <v>33</v>
      </c>
      <c r="G219">
        <v>378</v>
      </c>
      <c r="H219">
        <v>320</v>
      </c>
      <c r="I219" s="11">
        <f t="shared" si="11"/>
        <v>84.656084656084658</v>
      </c>
      <c r="J219">
        <v>0</v>
      </c>
      <c r="K219" t="s">
        <v>40</v>
      </c>
      <c r="L219">
        <v>0</v>
      </c>
      <c r="M219" t="s">
        <v>40</v>
      </c>
      <c r="N219">
        <v>8</v>
      </c>
      <c r="O219">
        <v>4</v>
      </c>
      <c r="P219">
        <v>4</v>
      </c>
      <c r="Q219">
        <v>4</v>
      </c>
      <c r="R219">
        <v>0</v>
      </c>
      <c r="S219">
        <v>0</v>
      </c>
      <c r="AB219" t="str">
        <f t="shared" si="9"/>
        <v>Normal</v>
      </c>
      <c r="AC219" t="str">
        <f t="shared" si="10"/>
        <v>Normal</v>
      </c>
    </row>
    <row r="220" spans="1:29" x14ac:dyDescent="0.25">
      <c r="A220" t="s">
        <v>31</v>
      </c>
      <c r="B220" s="2">
        <v>45677</v>
      </c>
      <c r="C220" t="s">
        <v>32</v>
      </c>
      <c r="D220" t="s">
        <v>57</v>
      </c>
      <c r="E220">
        <v>3.1</v>
      </c>
      <c r="F220">
        <v>63</v>
      </c>
      <c r="G220">
        <v>624</v>
      </c>
      <c r="H220">
        <v>536</v>
      </c>
      <c r="I220" s="11">
        <f t="shared" si="11"/>
        <v>85.897435897435898</v>
      </c>
      <c r="J220">
        <v>3</v>
      </c>
      <c r="K220" t="s">
        <v>35</v>
      </c>
      <c r="L220">
        <v>1</v>
      </c>
      <c r="M220" t="s">
        <v>36</v>
      </c>
      <c r="N220">
        <v>19</v>
      </c>
      <c r="O220">
        <v>7</v>
      </c>
      <c r="P220">
        <v>8</v>
      </c>
      <c r="Q220">
        <v>3</v>
      </c>
      <c r="R220">
        <v>4</v>
      </c>
      <c r="S220">
        <v>0</v>
      </c>
      <c r="AB220" t="str">
        <f t="shared" si="9"/>
        <v>Normal</v>
      </c>
      <c r="AC220" t="str">
        <f t="shared" si="10"/>
        <v>Normal</v>
      </c>
    </row>
    <row r="221" spans="1:29" x14ac:dyDescent="0.25">
      <c r="A221" t="s">
        <v>31</v>
      </c>
      <c r="B221" s="2">
        <v>45682</v>
      </c>
      <c r="C221" t="s">
        <v>41</v>
      </c>
      <c r="D221" t="s">
        <v>49</v>
      </c>
      <c r="E221">
        <v>1.7</v>
      </c>
      <c r="F221">
        <v>50</v>
      </c>
      <c r="G221">
        <v>391</v>
      </c>
      <c r="H221">
        <v>301</v>
      </c>
      <c r="I221" s="11">
        <f t="shared" si="11"/>
        <v>76.98209718670077</v>
      </c>
      <c r="J221">
        <v>5</v>
      </c>
      <c r="K221" t="s">
        <v>35</v>
      </c>
      <c r="L221">
        <v>1</v>
      </c>
      <c r="M221" t="s">
        <v>35</v>
      </c>
      <c r="N221">
        <v>16</v>
      </c>
      <c r="O221">
        <v>10</v>
      </c>
      <c r="P221">
        <v>9</v>
      </c>
      <c r="Q221">
        <v>3</v>
      </c>
      <c r="R221">
        <v>2</v>
      </c>
      <c r="S221">
        <v>0</v>
      </c>
      <c r="AB221" t="str">
        <f t="shared" si="9"/>
        <v>Normal</v>
      </c>
      <c r="AC221" t="str">
        <f t="shared" si="10"/>
        <v>Normal</v>
      </c>
    </row>
    <row r="222" spans="1:29" x14ac:dyDescent="0.25">
      <c r="A222" t="s">
        <v>31</v>
      </c>
      <c r="B222" s="2">
        <v>45682</v>
      </c>
      <c r="C222" t="s">
        <v>41</v>
      </c>
      <c r="D222" t="s">
        <v>45</v>
      </c>
      <c r="E222">
        <v>0.7</v>
      </c>
      <c r="F222">
        <v>69</v>
      </c>
      <c r="G222">
        <v>696</v>
      </c>
      <c r="H222">
        <v>587</v>
      </c>
      <c r="I222" s="11">
        <f t="shared" si="11"/>
        <v>84.339080459770116</v>
      </c>
      <c r="J222">
        <v>0</v>
      </c>
      <c r="K222" t="s">
        <v>40</v>
      </c>
      <c r="L222">
        <v>0</v>
      </c>
      <c r="M222" t="s">
        <v>40</v>
      </c>
      <c r="N222">
        <v>16</v>
      </c>
      <c r="O222">
        <v>1</v>
      </c>
      <c r="P222">
        <v>8</v>
      </c>
      <c r="Q222">
        <v>9</v>
      </c>
      <c r="R222">
        <v>3</v>
      </c>
      <c r="S222">
        <v>0</v>
      </c>
      <c r="AB222" t="str">
        <f t="shared" si="9"/>
        <v>Normal</v>
      </c>
      <c r="AC222" t="str">
        <f t="shared" si="10"/>
        <v>Normal</v>
      </c>
    </row>
    <row r="223" spans="1:29" x14ac:dyDescent="0.25">
      <c r="A223" t="s">
        <v>31</v>
      </c>
      <c r="B223" s="2">
        <v>45682</v>
      </c>
      <c r="C223" t="s">
        <v>41</v>
      </c>
      <c r="D223" t="s">
        <v>39</v>
      </c>
      <c r="E223">
        <v>2</v>
      </c>
      <c r="F223">
        <v>70</v>
      </c>
      <c r="G223">
        <v>790</v>
      </c>
      <c r="H223">
        <v>696</v>
      </c>
      <c r="I223" s="11">
        <f t="shared" si="11"/>
        <v>88.101265822784811</v>
      </c>
      <c r="J223">
        <v>4</v>
      </c>
      <c r="K223" t="s">
        <v>35</v>
      </c>
      <c r="L223">
        <v>3</v>
      </c>
      <c r="M223" t="s">
        <v>35</v>
      </c>
      <c r="N223">
        <v>16</v>
      </c>
      <c r="O223">
        <v>6</v>
      </c>
      <c r="P223">
        <v>10</v>
      </c>
      <c r="Q223">
        <v>3</v>
      </c>
      <c r="R223">
        <v>0</v>
      </c>
      <c r="S223">
        <v>0</v>
      </c>
      <c r="AB223" t="str">
        <f t="shared" si="9"/>
        <v>Normal</v>
      </c>
      <c r="AC223" t="str">
        <f t="shared" si="10"/>
        <v>Normal</v>
      </c>
    </row>
    <row r="224" spans="1:29" x14ac:dyDescent="0.25">
      <c r="A224" t="s">
        <v>31</v>
      </c>
      <c r="B224" s="2">
        <v>45682</v>
      </c>
      <c r="C224" t="s">
        <v>41</v>
      </c>
      <c r="D224" t="s">
        <v>47</v>
      </c>
      <c r="E224">
        <v>0.8</v>
      </c>
      <c r="F224">
        <v>53</v>
      </c>
      <c r="G224">
        <v>509</v>
      </c>
      <c r="H224">
        <v>421</v>
      </c>
      <c r="I224" s="11">
        <f t="shared" si="11"/>
        <v>82.711198428290771</v>
      </c>
      <c r="J224">
        <v>1</v>
      </c>
      <c r="K224" t="s">
        <v>40</v>
      </c>
      <c r="L224">
        <v>1</v>
      </c>
      <c r="M224" t="s">
        <v>40</v>
      </c>
      <c r="N224">
        <v>12</v>
      </c>
      <c r="O224">
        <v>5</v>
      </c>
      <c r="P224">
        <v>10</v>
      </c>
      <c r="Q224">
        <v>3</v>
      </c>
      <c r="R224">
        <v>1</v>
      </c>
      <c r="S224">
        <v>0</v>
      </c>
      <c r="AB224" t="str">
        <f t="shared" si="9"/>
        <v>Normal</v>
      </c>
      <c r="AC224" t="str">
        <f t="shared" si="10"/>
        <v>Normal</v>
      </c>
    </row>
    <row r="225" spans="1:29" x14ac:dyDescent="0.25">
      <c r="A225" t="s">
        <v>31</v>
      </c>
      <c r="B225" s="2">
        <v>45682</v>
      </c>
      <c r="C225" t="s">
        <v>41</v>
      </c>
      <c r="D225" t="s">
        <v>43</v>
      </c>
      <c r="E225">
        <v>0.7</v>
      </c>
      <c r="F225">
        <v>51</v>
      </c>
      <c r="G225">
        <v>466</v>
      </c>
      <c r="H225">
        <v>384</v>
      </c>
      <c r="I225" s="11">
        <f t="shared" si="11"/>
        <v>82.403433476394852</v>
      </c>
      <c r="J225">
        <v>0</v>
      </c>
      <c r="K225" t="s">
        <v>40</v>
      </c>
      <c r="L225">
        <v>0</v>
      </c>
      <c r="M225" t="s">
        <v>36</v>
      </c>
      <c r="N225">
        <v>9</v>
      </c>
      <c r="O225">
        <v>4</v>
      </c>
      <c r="P225">
        <v>20</v>
      </c>
      <c r="Q225">
        <v>1</v>
      </c>
      <c r="R225">
        <v>0</v>
      </c>
      <c r="S225">
        <v>1</v>
      </c>
      <c r="AB225" t="str">
        <f t="shared" si="9"/>
        <v>Normal</v>
      </c>
      <c r="AC225" t="str">
        <f t="shared" si="10"/>
        <v>Normal</v>
      </c>
    </row>
    <row r="226" spans="1:29" x14ac:dyDescent="0.25">
      <c r="A226" t="s">
        <v>31</v>
      </c>
      <c r="B226" s="2">
        <v>45682</v>
      </c>
      <c r="C226" t="s">
        <v>50</v>
      </c>
      <c r="D226" t="s">
        <v>58</v>
      </c>
      <c r="E226">
        <v>2.2000000000000002</v>
      </c>
      <c r="F226">
        <v>56</v>
      </c>
      <c r="G226">
        <v>603</v>
      </c>
      <c r="H226">
        <v>514</v>
      </c>
      <c r="I226" s="11">
        <f t="shared" si="11"/>
        <v>85.240464344941955</v>
      </c>
      <c r="J226">
        <v>3</v>
      </c>
      <c r="K226" t="s">
        <v>35</v>
      </c>
      <c r="L226">
        <v>1</v>
      </c>
      <c r="M226" t="s">
        <v>36</v>
      </c>
      <c r="N226">
        <v>15</v>
      </c>
      <c r="O226">
        <v>6</v>
      </c>
      <c r="P226">
        <v>6</v>
      </c>
      <c r="Q226">
        <v>2</v>
      </c>
      <c r="R226">
        <v>3</v>
      </c>
      <c r="S226">
        <v>0</v>
      </c>
      <c r="AB226" t="str">
        <f t="shared" si="9"/>
        <v>Normal</v>
      </c>
      <c r="AC226" t="str">
        <f t="shared" si="10"/>
        <v>Normal</v>
      </c>
    </row>
    <row r="227" spans="1:29" x14ac:dyDescent="0.25">
      <c r="A227" t="s">
        <v>31</v>
      </c>
      <c r="B227" s="2">
        <v>45683</v>
      </c>
      <c r="C227" t="s">
        <v>53</v>
      </c>
      <c r="D227" t="s">
        <v>55</v>
      </c>
      <c r="E227">
        <v>1.1000000000000001</v>
      </c>
      <c r="F227">
        <v>47</v>
      </c>
      <c r="G227">
        <v>350</v>
      </c>
      <c r="H227">
        <v>238</v>
      </c>
      <c r="I227" s="11">
        <f t="shared" si="11"/>
        <v>68</v>
      </c>
      <c r="J227">
        <v>1</v>
      </c>
      <c r="K227" t="s">
        <v>40</v>
      </c>
      <c r="L227">
        <v>0</v>
      </c>
      <c r="M227" t="s">
        <v>36</v>
      </c>
      <c r="N227">
        <v>16</v>
      </c>
      <c r="O227">
        <v>5</v>
      </c>
      <c r="P227">
        <v>8</v>
      </c>
      <c r="Q227">
        <v>4</v>
      </c>
      <c r="R227">
        <v>2</v>
      </c>
      <c r="S227">
        <v>0</v>
      </c>
      <c r="AB227" t="str">
        <f t="shared" si="9"/>
        <v>Normal</v>
      </c>
      <c r="AC227" t="str">
        <f t="shared" si="10"/>
        <v>Normal</v>
      </c>
    </row>
    <row r="228" spans="1:29" x14ac:dyDescent="0.25">
      <c r="A228" t="s">
        <v>31</v>
      </c>
      <c r="B228" s="2">
        <v>45683</v>
      </c>
      <c r="C228" t="s">
        <v>53</v>
      </c>
      <c r="D228" t="s">
        <v>60</v>
      </c>
      <c r="E228">
        <v>1</v>
      </c>
      <c r="F228">
        <v>61</v>
      </c>
      <c r="G228">
        <v>605</v>
      </c>
      <c r="H228">
        <v>483</v>
      </c>
      <c r="I228" s="11">
        <f t="shared" si="11"/>
        <v>79.834710743801651</v>
      </c>
      <c r="J228">
        <v>1</v>
      </c>
      <c r="K228" t="s">
        <v>40</v>
      </c>
      <c r="L228">
        <v>1</v>
      </c>
      <c r="M228" t="s">
        <v>35</v>
      </c>
      <c r="N228">
        <v>15</v>
      </c>
      <c r="O228">
        <v>6</v>
      </c>
      <c r="P228">
        <v>6</v>
      </c>
      <c r="Q228">
        <v>6</v>
      </c>
      <c r="R228">
        <v>1</v>
      </c>
      <c r="S228">
        <v>0</v>
      </c>
      <c r="AB228" t="str">
        <f t="shared" si="9"/>
        <v>Normal</v>
      </c>
      <c r="AC228" t="str">
        <f t="shared" si="10"/>
        <v>Normal</v>
      </c>
    </row>
    <row r="229" spans="1:29" x14ac:dyDescent="0.25">
      <c r="A229" t="s">
        <v>31</v>
      </c>
      <c r="B229" s="2">
        <v>45683</v>
      </c>
      <c r="C229" t="s">
        <v>56</v>
      </c>
      <c r="D229" t="s">
        <v>52</v>
      </c>
      <c r="E229">
        <v>0.9</v>
      </c>
      <c r="F229">
        <v>46</v>
      </c>
      <c r="G229">
        <v>416</v>
      </c>
      <c r="H229">
        <v>326</v>
      </c>
      <c r="I229" s="11">
        <f t="shared" si="11"/>
        <v>78.365384615384613</v>
      </c>
      <c r="J229">
        <v>1</v>
      </c>
      <c r="K229" t="s">
        <v>36</v>
      </c>
      <c r="L229">
        <v>1</v>
      </c>
      <c r="M229" t="s">
        <v>35</v>
      </c>
      <c r="N229">
        <v>14</v>
      </c>
      <c r="O229">
        <v>4</v>
      </c>
      <c r="P229">
        <v>13</v>
      </c>
      <c r="Q229">
        <v>4</v>
      </c>
      <c r="R229">
        <v>2</v>
      </c>
      <c r="S229">
        <v>0</v>
      </c>
      <c r="AB229" t="str">
        <f t="shared" si="9"/>
        <v>Normal</v>
      </c>
      <c r="AC229" t="str">
        <f t="shared" si="10"/>
        <v>Normal</v>
      </c>
    </row>
    <row r="230" spans="1:29" x14ac:dyDescent="0.25">
      <c r="A230" t="s">
        <v>31</v>
      </c>
      <c r="B230" s="2">
        <v>45683</v>
      </c>
      <c r="C230" t="s">
        <v>65</v>
      </c>
      <c r="D230" t="s">
        <v>34</v>
      </c>
      <c r="E230">
        <v>0.7</v>
      </c>
      <c r="F230">
        <v>51</v>
      </c>
      <c r="G230">
        <v>538</v>
      </c>
      <c r="H230">
        <v>437</v>
      </c>
      <c r="I230" s="11">
        <f t="shared" si="11"/>
        <v>81.226765799256512</v>
      </c>
      <c r="J230">
        <v>0</v>
      </c>
      <c r="K230" t="s">
        <v>40</v>
      </c>
      <c r="L230">
        <v>0</v>
      </c>
      <c r="M230" t="s">
        <v>36</v>
      </c>
      <c r="N230">
        <v>9</v>
      </c>
      <c r="O230">
        <v>3</v>
      </c>
      <c r="P230">
        <v>7</v>
      </c>
      <c r="Q230">
        <v>3</v>
      </c>
      <c r="R230">
        <v>0</v>
      </c>
      <c r="S230">
        <v>0</v>
      </c>
      <c r="AB230" t="str">
        <f t="shared" si="9"/>
        <v>Normal</v>
      </c>
      <c r="AC230" t="str">
        <f t="shared" si="10"/>
        <v>Normal</v>
      </c>
    </row>
    <row r="231" spans="1:29" x14ac:dyDescent="0.25">
      <c r="A231" t="s">
        <v>31</v>
      </c>
      <c r="B231" s="2">
        <v>45689</v>
      </c>
      <c r="C231" t="s">
        <v>37</v>
      </c>
      <c r="D231" t="s">
        <v>48</v>
      </c>
      <c r="E231">
        <v>3.3</v>
      </c>
      <c r="F231">
        <v>38</v>
      </c>
      <c r="G231">
        <v>352</v>
      </c>
      <c r="H231">
        <v>274</v>
      </c>
      <c r="I231" s="11">
        <f t="shared" si="11"/>
        <v>77.840909090909093</v>
      </c>
      <c r="J231">
        <v>7</v>
      </c>
      <c r="K231" t="s">
        <v>35</v>
      </c>
      <c r="L231">
        <v>3</v>
      </c>
      <c r="M231" t="s">
        <v>35</v>
      </c>
      <c r="N231">
        <v>14</v>
      </c>
      <c r="O231">
        <v>9</v>
      </c>
      <c r="P231">
        <v>8</v>
      </c>
      <c r="Q231">
        <v>4</v>
      </c>
      <c r="R231">
        <v>1</v>
      </c>
      <c r="S231">
        <v>0</v>
      </c>
      <c r="AB231" t="str">
        <f t="shared" si="9"/>
        <v>Normal</v>
      </c>
      <c r="AC231" t="str">
        <f t="shared" si="10"/>
        <v>Normal</v>
      </c>
    </row>
    <row r="232" spans="1:29" x14ac:dyDescent="0.25">
      <c r="A232" t="s">
        <v>31</v>
      </c>
      <c r="B232" s="2">
        <v>45689</v>
      </c>
      <c r="C232" t="s">
        <v>41</v>
      </c>
      <c r="D232" t="s">
        <v>49</v>
      </c>
      <c r="E232">
        <v>1.6</v>
      </c>
      <c r="F232">
        <v>49</v>
      </c>
      <c r="G232">
        <v>449</v>
      </c>
      <c r="H232">
        <v>346</v>
      </c>
      <c r="I232" s="11">
        <f t="shared" si="11"/>
        <v>77.060133630289528</v>
      </c>
      <c r="J232">
        <v>0</v>
      </c>
      <c r="K232" t="s">
        <v>40</v>
      </c>
      <c r="L232">
        <v>0</v>
      </c>
      <c r="M232" t="s">
        <v>40</v>
      </c>
      <c r="N232">
        <v>14</v>
      </c>
      <c r="O232">
        <v>3</v>
      </c>
      <c r="P232">
        <v>15</v>
      </c>
      <c r="Q232">
        <v>3</v>
      </c>
      <c r="R232">
        <v>2</v>
      </c>
      <c r="S232">
        <v>0</v>
      </c>
      <c r="AB232" t="str">
        <f t="shared" si="9"/>
        <v>Normal</v>
      </c>
      <c r="AC232" t="str">
        <f t="shared" si="10"/>
        <v>Normal</v>
      </c>
    </row>
    <row r="233" spans="1:29" x14ac:dyDescent="0.25">
      <c r="A233" t="s">
        <v>31</v>
      </c>
      <c r="B233" s="2">
        <v>45689</v>
      </c>
      <c r="C233" t="s">
        <v>41</v>
      </c>
      <c r="D233" t="s">
        <v>44</v>
      </c>
      <c r="E233">
        <v>2.5</v>
      </c>
      <c r="F233">
        <v>48</v>
      </c>
      <c r="G233">
        <v>486</v>
      </c>
      <c r="H233">
        <v>385</v>
      </c>
      <c r="I233" s="11">
        <f t="shared" si="11"/>
        <v>79.218106995884767</v>
      </c>
      <c r="J233">
        <v>4</v>
      </c>
      <c r="K233" t="s">
        <v>35</v>
      </c>
      <c r="L233">
        <v>3</v>
      </c>
      <c r="M233" t="s">
        <v>35</v>
      </c>
      <c r="N233">
        <v>13</v>
      </c>
      <c r="O233">
        <v>7</v>
      </c>
      <c r="P233">
        <v>7</v>
      </c>
      <c r="Q233">
        <v>5</v>
      </c>
      <c r="R233">
        <v>0</v>
      </c>
      <c r="S233">
        <v>0</v>
      </c>
      <c r="AB233" t="str">
        <f t="shared" si="9"/>
        <v>Normal</v>
      </c>
      <c r="AC233" t="str">
        <f t="shared" si="10"/>
        <v>Normal</v>
      </c>
    </row>
    <row r="234" spans="1:29" x14ac:dyDescent="0.25">
      <c r="A234" t="s">
        <v>31</v>
      </c>
      <c r="B234" s="2">
        <v>45689</v>
      </c>
      <c r="C234" t="s">
        <v>41</v>
      </c>
      <c r="D234" t="s">
        <v>38</v>
      </c>
      <c r="E234">
        <v>1.8</v>
      </c>
      <c r="F234">
        <v>57</v>
      </c>
      <c r="G234">
        <v>578</v>
      </c>
      <c r="H234">
        <v>483</v>
      </c>
      <c r="I234" s="11">
        <f t="shared" si="11"/>
        <v>83.564013840830455</v>
      </c>
      <c r="J234">
        <v>1</v>
      </c>
      <c r="K234" t="s">
        <v>40</v>
      </c>
      <c r="L234">
        <v>1</v>
      </c>
      <c r="M234" t="s">
        <v>36</v>
      </c>
      <c r="N234">
        <v>15</v>
      </c>
      <c r="O234">
        <v>6</v>
      </c>
      <c r="P234">
        <v>11</v>
      </c>
      <c r="Q234">
        <v>1</v>
      </c>
      <c r="R234">
        <v>0</v>
      </c>
      <c r="S234">
        <v>0</v>
      </c>
      <c r="AB234" t="str">
        <f t="shared" si="9"/>
        <v>Normal</v>
      </c>
      <c r="AC234" t="str">
        <f t="shared" si="10"/>
        <v>Normal</v>
      </c>
    </row>
    <row r="235" spans="1:29" x14ac:dyDescent="0.25">
      <c r="A235" t="s">
        <v>31</v>
      </c>
      <c r="B235" s="2">
        <v>45689</v>
      </c>
      <c r="C235" t="s">
        <v>41</v>
      </c>
      <c r="D235" t="s">
        <v>46</v>
      </c>
      <c r="E235">
        <v>0.8</v>
      </c>
      <c r="F235">
        <v>49</v>
      </c>
      <c r="G235">
        <v>454</v>
      </c>
      <c r="H235">
        <v>366</v>
      </c>
      <c r="I235" s="11">
        <f t="shared" si="11"/>
        <v>80.616740088105729</v>
      </c>
      <c r="J235">
        <v>1</v>
      </c>
      <c r="K235" t="s">
        <v>40</v>
      </c>
      <c r="L235">
        <v>1</v>
      </c>
      <c r="M235" t="s">
        <v>35</v>
      </c>
      <c r="N235">
        <v>11</v>
      </c>
      <c r="O235">
        <v>4</v>
      </c>
      <c r="P235">
        <v>10</v>
      </c>
      <c r="Q235">
        <v>4</v>
      </c>
      <c r="R235">
        <v>4</v>
      </c>
      <c r="S235">
        <v>0</v>
      </c>
      <c r="AB235" t="str">
        <f t="shared" si="9"/>
        <v>Normal</v>
      </c>
      <c r="AC235" t="str">
        <f t="shared" si="10"/>
        <v>Normal</v>
      </c>
    </row>
    <row r="236" spans="1:29" x14ac:dyDescent="0.25">
      <c r="A236" t="s">
        <v>31</v>
      </c>
      <c r="B236" s="2">
        <v>45689</v>
      </c>
      <c r="C236" t="s">
        <v>50</v>
      </c>
      <c r="D236" t="s">
        <v>43</v>
      </c>
      <c r="E236">
        <v>1.6</v>
      </c>
      <c r="F236">
        <v>32</v>
      </c>
      <c r="G236">
        <v>284</v>
      </c>
      <c r="H236">
        <v>214</v>
      </c>
      <c r="I236" s="11">
        <f t="shared" si="11"/>
        <v>75.352112676056336</v>
      </c>
      <c r="J236">
        <v>2</v>
      </c>
      <c r="K236" t="s">
        <v>35</v>
      </c>
      <c r="L236">
        <v>1</v>
      </c>
      <c r="M236" t="s">
        <v>35</v>
      </c>
      <c r="N236">
        <v>8</v>
      </c>
      <c r="O236">
        <v>5</v>
      </c>
      <c r="P236">
        <v>20</v>
      </c>
      <c r="Q236">
        <v>5</v>
      </c>
      <c r="R236">
        <v>2</v>
      </c>
      <c r="S236">
        <v>0</v>
      </c>
      <c r="AB236" t="str">
        <f t="shared" si="9"/>
        <v>Normal</v>
      </c>
      <c r="AC236" t="str">
        <f t="shared" si="10"/>
        <v>Normal</v>
      </c>
    </row>
    <row r="237" spans="1:29" x14ac:dyDescent="0.25">
      <c r="A237" t="s">
        <v>31</v>
      </c>
      <c r="B237" s="2">
        <v>45690</v>
      </c>
      <c r="C237" t="s">
        <v>53</v>
      </c>
      <c r="D237" t="s">
        <v>54</v>
      </c>
      <c r="E237">
        <v>2.1</v>
      </c>
      <c r="F237">
        <v>54</v>
      </c>
      <c r="G237">
        <v>534</v>
      </c>
      <c r="H237">
        <v>419</v>
      </c>
      <c r="I237" s="11">
        <f t="shared" si="11"/>
        <v>78.464419475655433</v>
      </c>
      <c r="J237">
        <v>0</v>
      </c>
      <c r="K237" t="s">
        <v>40</v>
      </c>
      <c r="L237">
        <v>0</v>
      </c>
      <c r="M237" t="s">
        <v>40</v>
      </c>
      <c r="N237">
        <v>20</v>
      </c>
      <c r="O237">
        <v>4</v>
      </c>
      <c r="P237">
        <v>4</v>
      </c>
      <c r="Q237">
        <v>10</v>
      </c>
      <c r="R237">
        <v>0</v>
      </c>
      <c r="S237">
        <v>0</v>
      </c>
      <c r="AB237" t="str">
        <f t="shared" si="9"/>
        <v>Normal</v>
      </c>
      <c r="AC237" t="str">
        <f t="shared" si="10"/>
        <v>Normal</v>
      </c>
    </row>
    <row r="238" spans="1:29" x14ac:dyDescent="0.25">
      <c r="A238" t="s">
        <v>31</v>
      </c>
      <c r="B238" s="2">
        <v>45690</v>
      </c>
      <c r="C238" t="s">
        <v>53</v>
      </c>
      <c r="D238" t="s">
        <v>33</v>
      </c>
      <c r="E238">
        <v>1.1000000000000001</v>
      </c>
      <c r="F238">
        <v>66</v>
      </c>
      <c r="G238">
        <v>608</v>
      </c>
      <c r="H238">
        <v>484</v>
      </c>
      <c r="I238" s="11">
        <f t="shared" si="11"/>
        <v>79.60526315789474</v>
      </c>
      <c r="J238">
        <v>0</v>
      </c>
      <c r="K238" t="s">
        <v>40</v>
      </c>
      <c r="L238">
        <v>0</v>
      </c>
      <c r="M238" t="s">
        <v>36</v>
      </c>
      <c r="N238">
        <v>17</v>
      </c>
      <c r="O238">
        <v>2</v>
      </c>
      <c r="P238">
        <v>12</v>
      </c>
      <c r="Q238">
        <v>11</v>
      </c>
      <c r="R238">
        <v>3</v>
      </c>
      <c r="S238">
        <v>0</v>
      </c>
      <c r="AB238" t="str">
        <f t="shared" si="9"/>
        <v>Normal</v>
      </c>
      <c r="AC238" t="str">
        <f t="shared" si="10"/>
        <v>Normal</v>
      </c>
    </row>
    <row r="239" spans="1:29" x14ac:dyDescent="0.25">
      <c r="A239" t="s">
        <v>31</v>
      </c>
      <c r="B239" s="2">
        <v>45690</v>
      </c>
      <c r="C239" t="s">
        <v>56</v>
      </c>
      <c r="D239" t="s">
        <v>42</v>
      </c>
      <c r="E239">
        <v>1</v>
      </c>
      <c r="F239">
        <v>46</v>
      </c>
      <c r="G239">
        <v>430</v>
      </c>
      <c r="H239">
        <v>363</v>
      </c>
      <c r="I239" s="11">
        <f t="shared" si="11"/>
        <v>84.418604651162781</v>
      </c>
      <c r="J239">
        <v>5</v>
      </c>
      <c r="K239" t="s">
        <v>35</v>
      </c>
      <c r="L239">
        <v>1</v>
      </c>
      <c r="M239" t="s">
        <v>35</v>
      </c>
      <c r="N239">
        <v>12</v>
      </c>
      <c r="O239">
        <v>7</v>
      </c>
      <c r="P239">
        <v>6</v>
      </c>
      <c r="Q239">
        <v>5</v>
      </c>
      <c r="R239">
        <v>2</v>
      </c>
      <c r="S239">
        <v>0</v>
      </c>
      <c r="AB239" t="str">
        <f t="shared" si="9"/>
        <v>Normal</v>
      </c>
      <c r="AC239" t="str">
        <f t="shared" si="10"/>
        <v>Normal</v>
      </c>
    </row>
    <row r="240" spans="1:29" x14ac:dyDescent="0.25">
      <c r="A240" t="s">
        <v>31</v>
      </c>
      <c r="B240" s="2">
        <v>45691</v>
      </c>
      <c r="C240" t="s">
        <v>32</v>
      </c>
      <c r="D240" t="s">
        <v>57</v>
      </c>
      <c r="E240">
        <v>1.6</v>
      </c>
      <c r="F240">
        <v>68</v>
      </c>
      <c r="G240">
        <v>643</v>
      </c>
      <c r="H240">
        <v>545</v>
      </c>
      <c r="I240" s="11">
        <f t="shared" si="11"/>
        <v>84.758942457231726</v>
      </c>
      <c r="J240">
        <v>2</v>
      </c>
      <c r="K240" t="s">
        <v>35</v>
      </c>
      <c r="L240">
        <v>0</v>
      </c>
      <c r="M240" t="s">
        <v>40</v>
      </c>
      <c r="N240">
        <v>22</v>
      </c>
      <c r="O240">
        <v>3</v>
      </c>
      <c r="P240">
        <v>11</v>
      </c>
      <c r="Q240">
        <v>4</v>
      </c>
      <c r="R240">
        <v>3</v>
      </c>
      <c r="S240">
        <v>0</v>
      </c>
      <c r="AB240" t="str">
        <f t="shared" si="9"/>
        <v>Normal</v>
      </c>
      <c r="AC240" t="str">
        <f t="shared" si="10"/>
        <v>Normal</v>
      </c>
    </row>
    <row r="241" spans="1:29" x14ac:dyDescent="0.25">
      <c r="A241" t="s">
        <v>31</v>
      </c>
      <c r="B241" s="2">
        <v>45700</v>
      </c>
      <c r="C241" t="s">
        <v>63</v>
      </c>
      <c r="D241" t="s">
        <v>44</v>
      </c>
      <c r="E241">
        <v>1</v>
      </c>
      <c r="F241">
        <v>37</v>
      </c>
      <c r="G241">
        <v>348</v>
      </c>
      <c r="H241">
        <v>235</v>
      </c>
      <c r="I241" s="11">
        <f t="shared" si="11"/>
        <v>67.52873563218391</v>
      </c>
      <c r="J241">
        <v>2</v>
      </c>
      <c r="K241" t="s">
        <v>36</v>
      </c>
      <c r="L241">
        <v>1</v>
      </c>
      <c r="M241" t="s">
        <v>36</v>
      </c>
      <c r="N241">
        <v>10</v>
      </c>
      <c r="O241">
        <v>3</v>
      </c>
      <c r="P241">
        <v>9</v>
      </c>
      <c r="Q241">
        <v>2</v>
      </c>
      <c r="R241">
        <v>2</v>
      </c>
      <c r="S241">
        <v>1</v>
      </c>
      <c r="AB241" t="str">
        <f t="shared" si="9"/>
        <v>Normal</v>
      </c>
      <c r="AC241" t="str">
        <f t="shared" si="10"/>
        <v>Normal</v>
      </c>
    </row>
    <row r="242" spans="1:29" x14ac:dyDescent="0.25">
      <c r="A242" t="s">
        <v>31</v>
      </c>
      <c r="B242" s="2">
        <v>45702</v>
      </c>
      <c r="C242" t="s">
        <v>32</v>
      </c>
      <c r="D242" t="s">
        <v>45</v>
      </c>
      <c r="E242">
        <v>1.4</v>
      </c>
      <c r="F242">
        <v>31</v>
      </c>
      <c r="G242">
        <v>344</v>
      </c>
      <c r="H242">
        <v>265</v>
      </c>
      <c r="I242" s="11">
        <f t="shared" si="11"/>
        <v>77.034883720930239</v>
      </c>
      <c r="J242">
        <v>3</v>
      </c>
      <c r="K242" t="s">
        <v>35</v>
      </c>
      <c r="L242">
        <v>2</v>
      </c>
      <c r="M242" t="s">
        <v>35</v>
      </c>
      <c r="N242">
        <v>13</v>
      </c>
      <c r="O242">
        <v>5</v>
      </c>
      <c r="P242">
        <v>12</v>
      </c>
      <c r="Q242">
        <v>2</v>
      </c>
      <c r="R242">
        <v>1</v>
      </c>
      <c r="S242">
        <v>0</v>
      </c>
      <c r="AB242" t="str">
        <f t="shared" si="9"/>
        <v>Normal</v>
      </c>
      <c r="AC242" t="str">
        <f t="shared" si="10"/>
        <v>Normal</v>
      </c>
    </row>
    <row r="243" spans="1:29" x14ac:dyDescent="0.25">
      <c r="A243" t="s">
        <v>31</v>
      </c>
      <c r="B243" s="2">
        <v>45703</v>
      </c>
      <c r="C243" t="s">
        <v>37</v>
      </c>
      <c r="D243" t="s">
        <v>59</v>
      </c>
      <c r="E243">
        <v>0.2</v>
      </c>
      <c r="F243">
        <v>40</v>
      </c>
      <c r="G243">
        <v>362</v>
      </c>
      <c r="H243">
        <v>258</v>
      </c>
      <c r="I243" s="11">
        <f t="shared" si="11"/>
        <v>71.270718232044189</v>
      </c>
      <c r="J243">
        <v>0</v>
      </c>
      <c r="K243" t="s">
        <v>40</v>
      </c>
      <c r="L243">
        <v>0</v>
      </c>
      <c r="M243" t="s">
        <v>36</v>
      </c>
      <c r="N243">
        <v>6</v>
      </c>
      <c r="O243">
        <v>2</v>
      </c>
      <c r="P243">
        <v>9</v>
      </c>
      <c r="Q243">
        <v>3</v>
      </c>
      <c r="R243">
        <v>2</v>
      </c>
      <c r="S243">
        <v>0</v>
      </c>
      <c r="AB243" t="str">
        <f t="shared" si="9"/>
        <v>Normal</v>
      </c>
      <c r="AC243" t="str">
        <f t="shared" si="10"/>
        <v>Normal</v>
      </c>
    </row>
    <row r="244" spans="1:29" x14ac:dyDescent="0.25">
      <c r="A244" t="s">
        <v>31</v>
      </c>
      <c r="B244" s="2">
        <v>45703</v>
      </c>
      <c r="C244" t="s">
        <v>41</v>
      </c>
      <c r="D244" t="s">
        <v>52</v>
      </c>
      <c r="E244">
        <v>2.4</v>
      </c>
      <c r="F244">
        <v>75</v>
      </c>
      <c r="G244">
        <v>715</v>
      </c>
      <c r="H244">
        <v>622</v>
      </c>
      <c r="I244" s="11">
        <f t="shared" si="11"/>
        <v>86.993006993007</v>
      </c>
      <c r="J244">
        <v>1</v>
      </c>
      <c r="K244" t="s">
        <v>36</v>
      </c>
      <c r="L244">
        <v>0</v>
      </c>
      <c r="M244" t="s">
        <v>36</v>
      </c>
      <c r="N244">
        <v>25</v>
      </c>
      <c r="O244">
        <v>6</v>
      </c>
      <c r="P244">
        <v>7</v>
      </c>
      <c r="Q244">
        <v>16</v>
      </c>
      <c r="R244">
        <v>0</v>
      </c>
      <c r="S244">
        <v>0</v>
      </c>
      <c r="AB244" t="str">
        <f t="shared" si="9"/>
        <v>Normal</v>
      </c>
      <c r="AC244" t="str">
        <f t="shared" si="10"/>
        <v>Normal</v>
      </c>
    </row>
    <row r="245" spans="1:29" x14ac:dyDescent="0.25">
      <c r="A245" t="s">
        <v>31</v>
      </c>
      <c r="B245" s="2">
        <v>45703</v>
      </c>
      <c r="C245" t="s">
        <v>41</v>
      </c>
      <c r="D245" t="s">
        <v>34</v>
      </c>
      <c r="E245">
        <v>2.1</v>
      </c>
      <c r="F245">
        <v>55</v>
      </c>
      <c r="G245">
        <v>549</v>
      </c>
      <c r="H245">
        <v>464</v>
      </c>
      <c r="I245" s="11">
        <f t="shared" si="11"/>
        <v>84.517304189435336</v>
      </c>
      <c r="J245">
        <v>2</v>
      </c>
      <c r="K245" t="s">
        <v>35</v>
      </c>
      <c r="L245">
        <v>1</v>
      </c>
      <c r="M245" t="s">
        <v>36</v>
      </c>
      <c r="N245">
        <v>24</v>
      </c>
      <c r="O245">
        <v>10</v>
      </c>
      <c r="P245">
        <v>13</v>
      </c>
      <c r="Q245">
        <v>8</v>
      </c>
      <c r="R245">
        <v>0</v>
      </c>
      <c r="S245">
        <v>0</v>
      </c>
      <c r="AB245" t="str">
        <f t="shared" si="9"/>
        <v>Normal</v>
      </c>
      <c r="AC245" t="str">
        <f t="shared" si="10"/>
        <v>Normal</v>
      </c>
    </row>
    <row r="246" spans="1:29" x14ac:dyDescent="0.25">
      <c r="A246" t="s">
        <v>31</v>
      </c>
      <c r="B246" s="2">
        <v>45703</v>
      </c>
      <c r="C246" t="s">
        <v>41</v>
      </c>
      <c r="D246" t="s">
        <v>58</v>
      </c>
      <c r="E246">
        <v>1.9</v>
      </c>
      <c r="F246">
        <v>61</v>
      </c>
      <c r="G246">
        <v>618</v>
      </c>
      <c r="H246">
        <v>564</v>
      </c>
      <c r="I246" s="11">
        <f t="shared" si="11"/>
        <v>91.262135922330103</v>
      </c>
      <c r="J246">
        <v>4</v>
      </c>
      <c r="K246" t="s">
        <v>35</v>
      </c>
      <c r="L246">
        <v>3</v>
      </c>
      <c r="M246" t="s">
        <v>35</v>
      </c>
      <c r="N246">
        <v>11</v>
      </c>
      <c r="O246">
        <v>7</v>
      </c>
      <c r="P246">
        <v>5</v>
      </c>
      <c r="Q246">
        <v>7</v>
      </c>
      <c r="R246">
        <v>0</v>
      </c>
      <c r="S246">
        <v>0</v>
      </c>
      <c r="AB246" t="str">
        <f t="shared" si="9"/>
        <v>Normal</v>
      </c>
      <c r="AC246" t="str">
        <f t="shared" si="10"/>
        <v>Normal</v>
      </c>
    </row>
    <row r="247" spans="1:29" x14ac:dyDescent="0.25">
      <c r="A247" t="s">
        <v>31</v>
      </c>
      <c r="B247" s="2">
        <v>45703</v>
      </c>
      <c r="C247" t="s">
        <v>41</v>
      </c>
      <c r="D247" t="s">
        <v>47</v>
      </c>
      <c r="E247">
        <v>0.8</v>
      </c>
      <c r="F247">
        <v>44</v>
      </c>
      <c r="G247">
        <v>423</v>
      </c>
      <c r="H247">
        <v>325</v>
      </c>
      <c r="I247" s="11">
        <f t="shared" si="11"/>
        <v>76.832151300236404</v>
      </c>
      <c r="J247">
        <v>1</v>
      </c>
      <c r="K247" t="s">
        <v>40</v>
      </c>
      <c r="L247">
        <v>0</v>
      </c>
      <c r="M247" t="s">
        <v>40</v>
      </c>
      <c r="N247">
        <v>11</v>
      </c>
      <c r="O247">
        <v>4</v>
      </c>
      <c r="P247">
        <v>13</v>
      </c>
      <c r="Q247">
        <v>4</v>
      </c>
      <c r="R247">
        <v>1</v>
      </c>
      <c r="S247">
        <v>0</v>
      </c>
      <c r="AB247" t="str">
        <f t="shared" si="9"/>
        <v>Normal</v>
      </c>
      <c r="AC247" t="str">
        <f t="shared" si="10"/>
        <v>Normal</v>
      </c>
    </row>
    <row r="248" spans="1:29" x14ac:dyDescent="0.25">
      <c r="A248" t="s">
        <v>31</v>
      </c>
      <c r="B248" s="2">
        <v>45703</v>
      </c>
      <c r="C248" t="s">
        <v>41</v>
      </c>
      <c r="D248" t="s">
        <v>51</v>
      </c>
      <c r="E248">
        <v>0.8</v>
      </c>
      <c r="F248">
        <v>58</v>
      </c>
      <c r="G248">
        <v>559</v>
      </c>
      <c r="H248">
        <v>453</v>
      </c>
      <c r="I248" s="11">
        <f t="shared" si="11"/>
        <v>81.037567084078717</v>
      </c>
      <c r="J248">
        <v>0</v>
      </c>
      <c r="K248" t="s">
        <v>40</v>
      </c>
      <c r="L248">
        <v>0</v>
      </c>
      <c r="M248" t="s">
        <v>40</v>
      </c>
      <c r="N248">
        <v>13</v>
      </c>
      <c r="O248">
        <v>3</v>
      </c>
      <c r="P248">
        <v>10</v>
      </c>
      <c r="Q248">
        <v>9</v>
      </c>
      <c r="R248">
        <v>1</v>
      </c>
      <c r="S248">
        <v>0</v>
      </c>
      <c r="AB248" t="str">
        <f t="shared" si="9"/>
        <v>Normal</v>
      </c>
      <c r="AC248" t="str">
        <f t="shared" si="10"/>
        <v>Normal</v>
      </c>
    </row>
    <row r="249" spans="1:29" x14ac:dyDescent="0.25">
      <c r="A249" t="s">
        <v>31</v>
      </c>
      <c r="B249" s="2">
        <v>45703</v>
      </c>
      <c r="C249" t="s">
        <v>50</v>
      </c>
      <c r="D249" t="s">
        <v>55</v>
      </c>
      <c r="E249">
        <v>1.6</v>
      </c>
      <c r="F249">
        <v>58</v>
      </c>
      <c r="G249">
        <v>568</v>
      </c>
      <c r="H249">
        <v>427</v>
      </c>
      <c r="I249" s="11">
        <f t="shared" si="11"/>
        <v>75.176056338028175</v>
      </c>
      <c r="J249">
        <v>1</v>
      </c>
      <c r="K249" t="s">
        <v>40</v>
      </c>
      <c r="L249">
        <v>0</v>
      </c>
      <c r="M249" t="s">
        <v>40</v>
      </c>
      <c r="N249">
        <v>17</v>
      </c>
      <c r="O249">
        <v>6</v>
      </c>
      <c r="P249">
        <v>9</v>
      </c>
      <c r="Q249">
        <v>6</v>
      </c>
      <c r="R249">
        <v>0</v>
      </c>
      <c r="S249">
        <v>0</v>
      </c>
      <c r="AB249" t="str">
        <f t="shared" si="9"/>
        <v>Normal</v>
      </c>
      <c r="AC249" t="str">
        <f t="shared" si="10"/>
        <v>Normal</v>
      </c>
    </row>
    <row r="250" spans="1:29" x14ac:dyDescent="0.25">
      <c r="A250" t="s">
        <v>31</v>
      </c>
      <c r="B250" s="2">
        <v>45704</v>
      </c>
      <c r="C250" t="s">
        <v>53</v>
      </c>
      <c r="D250" t="s">
        <v>39</v>
      </c>
      <c r="E250">
        <v>1.7</v>
      </c>
      <c r="F250">
        <v>50</v>
      </c>
      <c r="G250">
        <v>489</v>
      </c>
      <c r="H250">
        <v>392</v>
      </c>
      <c r="I250" s="11">
        <f t="shared" si="11"/>
        <v>80.163599182004091</v>
      </c>
      <c r="J250">
        <v>2</v>
      </c>
      <c r="K250" t="s">
        <v>35</v>
      </c>
      <c r="L250">
        <v>2</v>
      </c>
      <c r="M250" t="s">
        <v>35</v>
      </c>
      <c r="N250">
        <v>10</v>
      </c>
      <c r="O250">
        <v>3</v>
      </c>
      <c r="P250">
        <v>15</v>
      </c>
      <c r="Q250">
        <v>4</v>
      </c>
      <c r="R250">
        <v>2</v>
      </c>
      <c r="S250">
        <v>0</v>
      </c>
      <c r="AB250" t="str">
        <f t="shared" si="9"/>
        <v>Normal</v>
      </c>
      <c r="AC250" t="str">
        <f t="shared" si="10"/>
        <v>Normal</v>
      </c>
    </row>
    <row r="251" spans="1:29" x14ac:dyDescent="0.25">
      <c r="A251" t="s">
        <v>31</v>
      </c>
      <c r="B251" s="2">
        <v>45704</v>
      </c>
      <c r="C251" t="s">
        <v>56</v>
      </c>
      <c r="D251" t="s">
        <v>60</v>
      </c>
      <c r="E251">
        <v>2.2000000000000002</v>
      </c>
      <c r="F251">
        <v>55</v>
      </c>
      <c r="G251">
        <v>566</v>
      </c>
      <c r="H251">
        <v>482</v>
      </c>
      <c r="I251" s="11">
        <f t="shared" si="11"/>
        <v>85.159010600706708</v>
      </c>
      <c r="J251">
        <v>1</v>
      </c>
      <c r="K251" t="s">
        <v>35</v>
      </c>
      <c r="L251">
        <v>1</v>
      </c>
      <c r="M251" t="s">
        <v>35</v>
      </c>
      <c r="N251">
        <v>22</v>
      </c>
      <c r="O251">
        <v>7</v>
      </c>
      <c r="P251">
        <v>13</v>
      </c>
      <c r="Q251">
        <v>10</v>
      </c>
      <c r="R251">
        <v>1</v>
      </c>
      <c r="S251">
        <v>0</v>
      </c>
      <c r="AB251" t="str">
        <f t="shared" si="9"/>
        <v>Normal</v>
      </c>
      <c r="AC251" t="str">
        <f t="shared" si="10"/>
        <v>Normal</v>
      </c>
    </row>
    <row r="252" spans="1:29" x14ac:dyDescent="0.25">
      <c r="A252" t="s">
        <v>31</v>
      </c>
      <c r="B252" s="2">
        <v>45707</v>
      </c>
      <c r="C252" t="s">
        <v>63</v>
      </c>
      <c r="D252" t="s">
        <v>52</v>
      </c>
      <c r="E252">
        <v>0.6</v>
      </c>
      <c r="F252">
        <v>52</v>
      </c>
      <c r="G252">
        <v>486</v>
      </c>
      <c r="H252">
        <v>394</v>
      </c>
      <c r="I252" s="11">
        <f t="shared" si="11"/>
        <v>81.069958847736629</v>
      </c>
      <c r="J252">
        <v>2</v>
      </c>
      <c r="K252" t="s">
        <v>36</v>
      </c>
      <c r="L252">
        <v>2</v>
      </c>
      <c r="M252" t="s">
        <v>35</v>
      </c>
      <c r="N252">
        <v>9</v>
      </c>
      <c r="O252">
        <v>4</v>
      </c>
      <c r="P252">
        <v>8</v>
      </c>
      <c r="Q252">
        <v>6</v>
      </c>
      <c r="R252">
        <v>1</v>
      </c>
      <c r="S252">
        <v>0</v>
      </c>
      <c r="AB252" t="str">
        <f t="shared" si="9"/>
        <v>Normal</v>
      </c>
      <c r="AC252" t="str">
        <f t="shared" si="10"/>
        <v>Normal</v>
      </c>
    </row>
    <row r="253" spans="1:29" x14ac:dyDescent="0.25">
      <c r="A253" t="s">
        <v>31</v>
      </c>
      <c r="B253" s="2">
        <v>45709</v>
      </c>
      <c r="C253" t="s">
        <v>32</v>
      </c>
      <c r="D253" t="s">
        <v>59</v>
      </c>
      <c r="E253">
        <v>0.5</v>
      </c>
      <c r="F253">
        <v>48</v>
      </c>
      <c r="G253">
        <v>429</v>
      </c>
      <c r="H253">
        <v>333</v>
      </c>
      <c r="I253" s="11">
        <f t="shared" si="11"/>
        <v>77.622377622377627</v>
      </c>
      <c r="J253">
        <v>0</v>
      </c>
      <c r="K253" t="s">
        <v>40</v>
      </c>
      <c r="L253">
        <v>0</v>
      </c>
      <c r="M253" t="s">
        <v>40</v>
      </c>
      <c r="N253">
        <v>8</v>
      </c>
      <c r="O253">
        <v>3</v>
      </c>
      <c r="P253">
        <v>10</v>
      </c>
      <c r="Q253">
        <v>5</v>
      </c>
      <c r="R253">
        <v>4</v>
      </c>
      <c r="S253">
        <v>0</v>
      </c>
      <c r="AB253" t="str">
        <f t="shared" si="9"/>
        <v>Normal</v>
      </c>
      <c r="AC253" t="str">
        <f t="shared" si="10"/>
        <v>Normal</v>
      </c>
    </row>
    <row r="254" spans="1:29" x14ac:dyDescent="0.25">
      <c r="A254" t="s">
        <v>31</v>
      </c>
      <c r="B254" s="2">
        <v>45710</v>
      </c>
      <c r="C254" t="s">
        <v>37</v>
      </c>
      <c r="D254" t="s">
        <v>44</v>
      </c>
      <c r="E254">
        <v>1.6</v>
      </c>
      <c r="F254">
        <v>38</v>
      </c>
      <c r="G254">
        <v>355</v>
      </c>
      <c r="H254">
        <v>256</v>
      </c>
      <c r="I254" s="11">
        <f t="shared" si="11"/>
        <v>72.112676056338032</v>
      </c>
      <c r="J254">
        <v>2</v>
      </c>
      <c r="K254" t="s">
        <v>36</v>
      </c>
      <c r="L254">
        <v>2</v>
      </c>
      <c r="M254" t="s">
        <v>35</v>
      </c>
      <c r="N254">
        <v>9</v>
      </c>
      <c r="O254">
        <v>8</v>
      </c>
      <c r="P254">
        <v>12</v>
      </c>
      <c r="Q254">
        <v>7</v>
      </c>
      <c r="R254">
        <v>4</v>
      </c>
      <c r="S254">
        <v>0</v>
      </c>
      <c r="AB254" t="str">
        <f t="shared" si="9"/>
        <v>Normal</v>
      </c>
      <c r="AC254" t="str">
        <f t="shared" si="10"/>
        <v>Normal</v>
      </c>
    </row>
    <row r="255" spans="1:29" x14ac:dyDescent="0.25">
      <c r="A255" t="s">
        <v>31</v>
      </c>
      <c r="B255" s="2">
        <v>45710</v>
      </c>
      <c r="C255" t="s">
        <v>41</v>
      </c>
      <c r="D255" t="s">
        <v>42</v>
      </c>
      <c r="E255">
        <v>1.2</v>
      </c>
      <c r="F255">
        <v>68</v>
      </c>
      <c r="G255">
        <v>694</v>
      </c>
      <c r="H255">
        <v>600</v>
      </c>
      <c r="I255" s="11">
        <f t="shared" si="11"/>
        <v>86.455331412103746</v>
      </c>
      <c r="J255">
        <v>0</v>
      </c>
      <c r="K255" t="s">
        <v>40</v>
      </c>
      <c r="L255">
        <v>0</v>
      </c>
      <c r="M255" t="s">
        <v>40</v>
      </c>
      <c r="N255">
        <v>20</v>
      </c>
      <c r="O255">
        <v>2</v>
      </c>
      <c r="P255">
        <v>16</v>
      </c>
      <c r="Q255">
        <v>2</v>
      </c>
      <c r="R255">
        <v>1</v>
      </c>
      <c r="S255">
        <v>1</v>
      </c>
      <c r="AB255" t="str">
        <f t="shared" si="9"/>
        <v>Normal</v>
      </c>
      <c r="AC255" t="str">
        <f t="shared" si="10"/>
        <v>Normal</v>
      </c>
    </row>
    <row r="256" spans="1:29" x14ac:dyDescent="0.25">
      <c r="A256" t="s">
        <v>31</v>
      </c>
      <c r="B256" s="2">
        <v>45710</v>
      </c>
      <c r="C256" t="s">
        <v>41</v>
      </c>
      <c r="D256" t="s">
        <v>49</v>
      </c>
      <c r="E256">
        <v>0.9</v>
      </c>
      <c r="F256">
        <v>46</v>
      </c>
      <c r="G256">
        <v>412</v>
      </c>
      <c r="H256">
        <v>298</v>
      </c>
      <c r="I256" s="11">
        <f t="shared" si="11"/>
        <v>72.330097087378647</v>
      </c>
      <c r="J256">
        <v>0</v>
      </c>
      <c r="K256" t="s">
        <v>40</v>
      </c>
      <c r="L256">
        <v>0</v>
      </c>
      <c r="M256" t="s">
        <v>40</v>
      </c>
      <c r="N256">
        <v>8</v>
      </c>
      <c r="O256">
        <v>3</v>
      </c>
      <c r="P256">
        <v>17</v>
      </c>
      <c r="Q256">
        <v>6</v>
      </c>
      <c r="R256">
        <v>3</v>
      </c>
      <c r="S256">
        <v>1</v>
      </c>
      <c r="AB256" t="str">
        <f t="shared" si="9"/>
        <v>Normal</v>
      </c>
      <c r="AC256" t="str">
        <f t="shared" si="10"/>
        <v>Normal</v>
      </c>
    </row>
    <row r="257" spans="1:29" x14ac:dyDescent="0.25">
      <c r="A257" t="s">
        <v>31</v>
      </c>
      <c r="B257" s="2">
        <v>45710</v>
      </c>
      <c r="C257" t="s">
        <v>41</v>
      </c>
      <c r="D257" t="s">
        <v>34</v>
      </c>
      <c r="E257">
        <v>0.2</v>
      </c>
      <c r="F257">
        <v>62</v>
      </c>
      <c r="G257">
        <v>588</v>
      </c>
      <c r="H257">
        <v>471</v>
      </c>
      <c r="I257" s="11">
        <f t="shared" si="11"/>
        <v>80.102040816326522</v>
      </c>
      <c r="J257">
        <v>0</v>
      </c>
      <c r="K257" t="s">
        <v>40</v>
      </c>
      <c r="L257">
        <v>0</v>
      </c>
      <c r="M257" t="s">
        <v>40</v>
      </c>
      <c r="N257">
        <v>10</v>
      </c>
      <c r="O257">
        <v>0</v>
      </c>
      <c r="P257">
        <v>10</v>
      </c>
      <c r="Q257">
        <v>7</v>
      </c>
      <c r="R257">
        <v>1</v>
      </c>
      <c r="S257">
        <v>0</v>
      </c>
      <c r="AB257" t="str">
        <f t="shared" si="9"/>
        <v>Normal</v>
      </c>
      <c r="AC257" t="str">
        <f t="shared" si="10"/>
        <v>Normal</v>
      </c>
    </row>
    <row r="258" spans="1:29" x14ac:dyDescent="0.25">
      <c r="A258" t="s">
        <v>31</v>
      </c>
      <c r="B258" s="2">
        <v>45710</v>
      </c>
      <c r="C258" t="s">
        <v>41</v>
      </c>
      <c r="D258" t="s">
        <v>38</v>
      </c>
      <c r="E258">
        <v>1.1000000000000001</v>
      </c>
      <c r="F258">
        <v>42</v>
      </c>
      <c r="G258">
        <v>391</v>
      </c>
      <c r="H258">
        <v>312</v>
      </c>
      <c r="I258" s="11">
        <f t="shared" si="11"/>
        <v>79.795396419437338</v>
      </c>
      <c r="J258">
        <v>1</v>
      </c>
      <c r="K258" t="s">
        <v>40</v>
      </c>
      <c r="L258">
        <v>1</v>
      </c>
      <c r="M258" t="s">
        <v>40</v>
      </c>
      <c r="N258">
        <v>17</v>
      </c>
      <c r="O258">
        <v>5</v>
      </c>
      <c r="P258">
        <v>15</v>
      </c>
      <c r="Q258">
        <v>4</v>
      </c>
      <c r="R258">
        <v>2</v>
      </c>
      <c r="S258">
        <v>0</v>
      </c>
      <c r="AB258" t="str">
        <f t="shared" ref="AB258:AB321" si="12">IF(E258 &lt; _xlfn.PERCENTILE.INC($E$2:$E$761,0),
    "Ekstrem Rendah",
    IF(E258 &gt; _xlfn.PERCENTILE.INC($E$2:$E$761,1),
        "Ekstrem Tinggi",
        "Normal"
    )
)</f>
        <v>Normal</v>
      </c>
      <c r="AC258" t="str">
        <f t="shared" ref="AC258:AC321" si="13">IF(F258 &lt; _xlfn.PERCENTILE.INC($F$2:$F$761,0.001),
    "Ekstrem Rendah",
    IF(F258 &gt; _xlfn.PERCENTILE.INC($F$2:$F$761,0.999),
        "Ekstrem Tinggi",
        "Normal"
    )
)</f>
        <v>Normal</v>
      </c>
    </row>
    <row r="259" spans="1:29" x14ac:dyDescent="0.25">
      <c r="A259" t="s">
        <v>31</v>
      </c>
      <c r="B259" s="2">
        <v>45710</v>
      </c>
      <c r="C259" t="s">
        <v>41</v>
      </c>
      <c r="D259" t="s">
        <v>47</v>
      </c>
      <c r="E259">
        <v>0.1</v>
      </c>
      <c r="F259">
        <v>50</v>
      </c>
      <c r="G259">
        <v>467</v>
      </c>
      <c r="H259">
        <v>369</v>
      </c>
      <c r="I259" s="11">
        <f t="shared" ref="I259:I322" si="14">H259/G259*100</f>
        <v>79.014989293361879</v>
      </c>
      <c r="J259">
        <v>0</v>
      </c>
      <c r="K259" t="s">
        <v>40</v>
      </c>
      <c r="L259">
        <v>0</v>
      </c>
      <c r="M259" t="s">
        <v>40</v>
      </c>
      <c r="N259">
        <v>6</v>
      </c>
      <c r="O259">
        <v>1</v>
      </c>
      <c r="P259">
        <v>11</v>
      </c>
      <c r="Q259">
        <v>5</v>
      </c>
      <c r="R259">
        <v>2</v>
      </c>
      <c r="S259">
        <v>0</v>
      </c>
      <c r="AB259" t="str">
        <f t="shared" si="12"/>
        <v>Normal</v>
      </c>
      <c r="AC259" t="str">
        <f t="shared" si="13"/>
        <v>Normal</v>
      </c>
    </row>
    <row r="260" spans="1:29" x14ac:dyDescent="0.25">
      <c r="A260" t="s">
        <v>31</v>
      </c>
      <c r="B260" s="2">
        <v>45710</v>
      </c>
      <c r="C260" t="s">
        <v>50</v>
      </c>
      <c r="D260" t="s">
        <v>52</v>
      </c>
      <c r="E260">
        <v>2.2999999999999998</v>
      </c>
      <c r="F260">
        <v>52</v>
      </c>
      <c r="G260">
        <v>518</v>
      </c>
      <c r="H260">
        <v>441</v>
      </c>
      <c r="I260" s="11">
        <f t="shared" si="14"/>
        <v>85.13513513513513</v>
      </c>
      <c r="J260">
        <v>2</v>
      </c>
      <c r="K260" t="s">
        <v>35</v>
      </c>
      <c r="L260">
        <v>0</v>
      </c>
      <c r="M260" t="s">
        <v>40</v>
      </c>
      <c r="N260">
        <v>12</v>
      </c>
      <c r="O260">
        <v>6</v>
      </c>
      <c r="P260">
        <v>15</v>
      </c>
      <c r="Q260">
        <v>2</v>
      </c>
      <c r="R260">
        <v>1</v>
      </c>
      <c r="S260">
        <v>0</v>
      </c>
      <c r="AB260" t="str">
        <f t="shared" si="12"/>
        <v>Normal</v>
      </c>
      <c r="AC260" t="str">
        <f t="shared" si="13"/>
        <v>Normal</v>
      </c>
    </row>
    <row r="261" spans="1:29" x14ac:dyDescent="0.25">
      <c r="A261" t="s">
        <v>31</v>
      </c>
      <c r="B261" s="2">
        <v>45711</v>
      </c>
      <c r="C261" t="s">
        <v>53</v>
      </c>
      <c r="D261" t="s">
        <v>46</v>
      </c>
      <c r="E261">
        <v>2.9</v>
      </c>
      <c r="F261">
        <v>57</v>
      </c>
      <c r="G261">
        <v>512</v>
      </c>
      <c r="H261">
        <v>407</v>
      </c>
      <c r="I261" s="11">
        <f t="shared" si="14"/>
        <v>79.4921875</v>
      </c>
      <c r="J261">
        <v>4</v>
      </c>
      <c r="K261" t="s">
        <v>35</v>
      </c>
      <c r="L261">
        <v>4</v>
      </c>
      <c r="M261" t="s">
        <v>35</v>
      </c>
      <c r="N261">
        <v>13</v>
      </c>
      <c r="O261">
        <v>5</v>
      </c>
      <c r="P261">
        <v>11</v>
      </c>
      <c r="Q261">
        <v>7</v>
      </c>
      <c r="R261">
        <v>1</v>
      </c>
      <c r="S261">
        <v>0</v>
      </c>
      <c r="AB261" t="str">
        <f t="shared" si="12"/>
        <v>Normal</v>
      </c>
      <c r="AC261" t="str">
        <f t="shared" si="13"/>
        <v>Normal</v>
      </c>
    </row>
    <row r="262" spans="1:29" x14ac:dyDescent="0.25">
      <c r="A262" t="s">
        <v>31</v>
      </c>
      <c r="B262" s="2">
        <v>45711</v>
      </c>
      <c r="C262" t="s">
        <v>56</v>
      </c>
      <c r="D262" t="s">
        <v>58</v>
      </c>
      <c r="E262">
        <v>0.6</v>
      </c>
      <c r="F262">
        <v>66</v>
      </c>
      <c r="G262">
        <v>704</v>
      </c>
      <c r="H262">
        <v>627</v>
      </c>
      <c r="I262" s="11">
        <f t="shared" si="14"/>
        <v>89.0625</v>
      </c>
      <c r="J262">
        <v>0</v>
      </c>
      <c r="K262" t="s">
        <v>40</v>
      </c>
      <c r="L262">
        <v>0</v>
      </c>
      <c r="M262" t="s">
        <v>40</v>
      </c>
      <c r="N262">
        <v>16</v>
      </c>
      <c r="O262">
        <v>5</v>
      </c>
      <c r="P262">
        <v>3</v>
      </c>
      <c r="Q262">
        <v>7</v>
      </c>
      <c r="R262">
        <v>0</v>
      </c>
      <c r="S262">
        <v>0</v>
      </c>
      <c r="AB262" t="str">
        <f t="shared" si="12"/>
        <v>Normal</v>
      </c>
      <c r="AC262" t="str">
        <f t="shared" si="13"/>
        <v>Normal</v>
      </c>
    </row>
    <row r="263" spans="1:29" x14ac:dyDescent="0.25">
      <c r="A263" t="s">
        <v>31</v>
      </c>
      <c r="B263" s="2">
        <v>45713</v>
      </c>
      <c r="C263" t="s">
        <v>63</v>
      </c>
      <c r="D263" t="s">
        <v>45</v>
      </c>
      <c r="E263">
        <v>2.4</v>
      </c>
      <c r="F263">
        <v>44</v>
      </c>
      <c r="G263">
        <v>404</v>
      </c>
      <c r="H263">
        <v>285</v>
      </c>
      <c r="I263" s="11">
        <f t="shared" si="14"/>
        <v>70.544554455445535</v>
      </c>
      <c r="J263">
        <v>2</v>
      </c>
      <c r="K263" t="s">
        <v>35</v>
      </c>
      <c r="L263">
        <v>1</v>
      </c>
      <c r="M263" t="s">
        <v>35</v>
      </c>
      <c r="N263">
        <v>11</v>
      </c>
      <c r="O263">
        <v>4</v>
      </c>
      <c r="P263">
        <v>12</v>
      </c>
      <c r="Q263">
        <v>1</v>
      </c>
      <c r="R263">
        <v>2</v>
      </c>
      <c r="S263">
        <v>0</v>
      </c>
      <c r="AB263" t="str">
        <f t="shared" si="12"/>
        <v>Normal</v>
      </c>
      <c r="AC263" t="str">
        <f t="shared" si="13"/>
        <v>Normal</v>
      </c>
    </row>
    <row r="264" spans="1:29" x14ac:dyDescent="0.25">
      <c r="A264" t="s">
        <v>31</v>
      </c>
      <c r="B264" s="2">
        <v>45713</v>
      </c>
      <c r="C264" t="s">
        <v>63</v>
      </c>
      <c r="D264" t="s">
        <v>55</v>
      </c>
      <c r="E264">
        <v>4.3</v>
      </c>
      <c r="F264">
        <v>36</v>
      </c>
      <c r="G264">
        <v>290</v>
      </c>
      <c r="H264">
        <v>202</v>
      </c>
      <c r="I264" s="11">
        <f t="shared" si="14"/>
        <v>69.655172413793096</v>
      </c>
      <c r="J264">
        <v>4</v>
      </c>
      <c r="K264" t="s">
        <v>35</v>
      </c>
      <c r="L264">
        <v>1</v>
      </c>
      <c r="M264" t="s">
        <v>35</v>
      </c>
      <c r="N264">
        <v>19</v>
      </c>
      <c r="O264">
        <v>6</v>
      </c>
      <c r="P264">
        <v>19</v>
      </c>
      <c r="Q264">
        <v>3</v>
      </c>
      <c r="R264">
        <v>3</v>
      </c>
      <c r="S264">
        <v>0</v>
      </c>
      <c r="AB264" t="str">
        <f t="shared" si="12"/>
        <v>Normal</v>
      </c>
      <c r="AC264" t="str">
        <f t="shared" si="13"/>
        <v>Normal</v>
      </c>
    </row>
    <row r="265" spans="1:29" x14ac:dyDescent="0.25">
      <c r="A265" t="s">
        <v>31</v>
      </c>
      <c r="B265" s="2">
        <v>45713</v>
      </c>
      <c r="C265" t="s">
        <v>63</v>
      </c>
      <c r="D265" t="s">
        <v>43</v>
      </c>
      <c r="E265">
        <v>1.3</v>
      </c>
      <c r="F265">
        <v>60</v>
      </c>
      <c r="G265">
        <v>625</v>
      </c>
      <c r="H265">
        <v>535</v>
      </c>
      <c r="I265" s="11">
        <f t="shared" si="14"/>
        <v>85.6</v>
      </c>
      <c r="J265">
        <v>1</v>
      </c>
      <c r="K265" t="s">
        <v>40</v>
      </c>
      <c r="L265">
        <v>1</v>
      </c>
      <c r="M265" t="s">
        <v>36</v>
      </c>
      <c r="N265">
        <v>18</v>
      </c>
      <c r="O265">
        <v>5</v>
      </c>
      <c r="P265">
        <v>8</v>
      </c>
      <c r="Q265">
        <v>7</v>
      </c>
      <c r="R265">
        <v>1</v>
      </c>
      <c r="S265">
        <v>0</v>
      </c>
      <c r="AB265" t="str">
        <f t="shared" si="12"/>
        <v>Normal</v>
      </c>
      <c r="AC265" t="str">
        <f t="shared" si="13"/>
        <v>Normal</v>
      </c>
    </row>
    <row r="266" spans="1:29" x14ac:dyDescent="0.25">
      <c r="A266" t="s">
        <v>31</v>
      </c>
      <c r="B266" s="2">
        <v>45713</v>
      </c>
      <c r="C266" t="s">
        <v>64</v>
      </c>
      <c r="D266" t="s">
        <v>57</v>
      </c>
      <c r="E266">
        <v>2.4</v>
      </c>
      <c r="F266">
        <v>60</v>
      </c>
      <c r="G266">
        <v>648</v>
      </c>
      <c r="H266">
        <v>585</v>
      </c>
      <c r="I266" s="11">
        <f t="shared" si="14"/>
        <v>90.277777777777786</v>
      </c>
      <c r="J266">
        <v>4</v>
      </c>
      <c r="K266" t="s">
        <v>35</v>
      </c>
      <c r="L266">
        <v>3</v>
      </c>
      <c r="M266" t="s">
        <v>35</v>
      </c>
      <c r="N266">
        <v>19</v>
      </c>
      <c r="O266">
        <v>10</v>
      </c>
      <c r="P266">
        <v>6</v>
      </c>
      <c r="Q266">
        <v>4</v>
      </c>
      <c r="R266">
        <v>1</v>
      </c>
      <c r="S266">
        <v>0</v>
      </c>
      <c r="AB266" t="str">
        <f t="shared" si="12"/>
        <v>Normal</v>
      </c>
      <c r="AC266" t="str">
        <f t="shared" si="13"/>
        <v>Normal</v>
      </c>
    </row>
    <row r="267" spans="1:29" x14ac:dyDescent="0.25">
      <c r="A267" t="s">
        <v>31</v>
      </c>
      <c r="B267" s="2">
        <v>45714</v>
      </c>
      <c r="C267" t="s">
        <v>63</v>
      </c>
      <c r="D267" t="s">
        <v>54</v>
      </c>
      <c r="E267">
        <v>1.4</v>
      </c>
      <c r="F267">
        <v>52</v>
      </c>
      <c r="G267">
        <v>507</v>
      </c>
      <c r="H267">
        <v>411</v>
      </c>
      <c r="I267" s="11">
        <f t="shared" si="14"/>
        <v>81.065088757396452</v>
      </c>
      <c r="J267">
        <v>1</v>
      </c>
      <c r="K267" t="s">
        <v>36</v>
      </c>
      <c r="L267">
        <v>1</v>
      </c>
      <c r="M267" t="s">
        <v>35</v>
      </c>
      <c r="N267">
        <v>12</v>
      </c>
      <c r="O267">
        <v>3</v>
      </c>
      <c r="P267">
        <v>3</v>
      </c>
      <c r="Q267">
        <v>2</v>
      </c>
      <c r="R267">
        <v>2</v>
      </c>
      <c r="S267">
        <v>0</v>
      </c>
      <c r="AB267" t="str">
        <f t="shared" si="12"/>
        <v>Normal</v>
      </c>
      <c r="AC267" t="str">
        <f t="shared" si="13"/>
        <v>Normal</v>
      </c>
    </row>
    <row r="268" spans="1:29" x14ac:dyDescent="0.25">
      <c r="A268" t="s">
        <v>31</v>
      </c>
      <c r="B268" s="2">
        <v>45714</v>
      </c>
      <c r="C268" t="s">
        <v>63</v>
      </c>
      <c r="D268" t="s">
        <v>33</v>
      </c>
      <c r="E268">
        <v>0.7</v>
      </c>
      <c r="F268">
        <v>45</v>
      </c>
      <c r="G268">
        <v>397</v>
      </c>
      <c r="H268">
        <v>313</v>
      </c>
      <c r="I268" s="11">
        <f t="shared" si="14"/>
        <v>78.841309823677591</v>
      </c>
      <c r="J268">
        <v>3</v>
      </c>
      <c r="K268" t="s">
        <v>35</v>
      </c>
      <c r="L268">
        <v>2</v>
      </c>
      <c r="M268" t="s">
        <v>36</v>
      </c>
      <c r="N268">
        <v>10</v>
      </c>
      <c r="O268">
        <v>6</v>
      </c>
      <c r="P268">
        <v>9</v>
      </c>
      <c r="Q268">
        <v>5</v>
      </c>
      <c r="R268">
        <v>4</v>
      </c>
      <c r="S268">
        <v>1</v>
      </c>
      <c r="AB268" t="str">
        <f t="shared" si="12"/>
        <v>Normal</v>
      </c>
      <c r="AC268" t="str">
        <f t="shared" si="13"/>
        <v>Normal</v>
      </c>
    </row>
    <row r="269" spans="1:29" x14ac:dyDescent="0.25">
      <c r="A269" t="s">
        <v>31</v>
      </c>
      <c r="B269" s="2">
        <v>45714</v>
      </c>
      <c r="C269" t="s">
        <v>63</v>
      </c>
      <c r="D269" t="s">
        <v>48</v>
      </c>
      <c r="E269">
        <v>0.4</v>
      </c>
      <c r="F269">
        <v>36</v>
      </c>
      <c r="G269">
        <v>303</v>
      </c>
      <c r="H269">
        <v>213</v>
      </c>
      <c r="I269" s="11">
        <f t="shared" si="14"/>
        <v>70.297029702970292</v>
      </c>
      <c r="J269">
        <v>0</v>
      </c>
      <c r="K269" t="s">
        <v>36</v>
      </c>
      <c r="L269">
        <v>0</v>
      </c>
      <c r="M269" t="s">
        <v>36</v>
      </c>
      <c r="N269">
        <v>6</v>
      </c>
      <c r="O269">
        <v>2</v>
      </c>
      <c r="P269">
        <v>10</v>
      </c>
      <c r="Q269">
        <v>3</v>
      </c>
      <c r="R269">
        <v>1</v>
      </c>
      <c r="S269">
        <v>0</v>
      </c>
      <c r="AB269" t="str">
        <f t="shared" si="12"/>
        <v>Normal</v>
      </c>
      <c r="AC269" t="str">
        <f t="shared" si="13"/>
        <v>Normal</v>
      </c>
    </row>
    <row r="270" spans="1:29" x14ac:dyDescent="0.25">
      <c r="A270" t="s">
        <v>31</v>
      </c>
      <c r="B270" s="2">
        <v>45714</v>
      </c>
      <c r="C270" t="s">
        <v>63</v>
      </c>
      <c r="D270" t="s">
        <v>60</v>
      </c>
      <c r="E270">
        <v>1.3</v>
      </c>
      <c r="F270">
        <v>55</v>
      </c>
      <c r="G270">
        <v>569</v>
      </c>
      <c r="H270">
        <v>497</v>
      </c>
      <c r="I270" s="11">
        <f t="shared" si="14"/>
        <v>87.346221441124783</v>
      </c>
      <c r="J270">
        <v>0</v>
      </c>
      <c r="K270" t="s">
        <v>40</v>
      </c>
      <c r="L270">
        <v>0</v>
      </c>
      <c r="M270" t="s">
        <v>40</v>
      </c>
      <c r="N270">
        <v>11</v>
      </c>
      <c r="O270">
        <v>6</v>
      </c>
      <c r="P270">
        <v>12</v>
      </c>
      <c r="Q270">
        <v>8</v>
      </c>
      <c r="R270">
        <v>3</v>
      </c>
      <c r="S270">
        <v>0</v>
      </c>
      <c r="AB270" t="str">
        <f t="shared" si="12"/>
        <v>Normal</v>
      </c>
      <c r="AC270" t="str">
        <f t="shared" si="13"/>
        <v>Normal</v>
      </c>
    </row>
    <row r="271" spans="1:29" x14ac:dyDescent="0.25">
      <c r="A271" t="s">
        <v>31</v>
      </c>
      <c r="B271" s="2">
        <v>45714</v>
      </c>
      <c r="C271" t="s">
        <v>64</v>
      </c>
      <c r="D271" t="s">
        <v>39</v>
      </c>
      <c r="E271">
        <v>1.7</v>
      </c>
      <c r="F271">
        <v>61</v>
      </c>
      <c r="G271">
        <v>623</v>
      </c>
      <c r="H271">
        <v>555</v>
      </c>
      <c r="I271" s="11">
        <f t="shared" si="14"/>
        <v>89.085072231139648</v>
      </c>
      <c r="J271">
        <v>2</v>
      </c>
      <c r="K271" t="s">
        <v>35</v>
      </c>
      <c r="L271">
        <v>1</v>
      </c>
      <c r="M271" t="s">
        <v>35</v>
      </c>
      <c r="N271">
        <v>12</v>
      </c>
      <c r="O271">
        <v>3</v>
      </c>
      <c r="P271">
        <v>12</v>
      </c>
      <c r="Q271">
        <v>4</v>
      </c>
      <c r="R271">
        <v>0</v>
      </c>
      <c r="S271">
        <v>0</v>
      </c>
      <c r="AB271" t="str">
        <f t="shared" si="12"/>
        <v>Normal</v>
      </c>
      <c r="AC271" t="str">
        <f t="shared" si="13"/>
        <v>Normal</v>
      </c>
    </row>
    <row r="272" spans="1:29" x14ac:dyDescent="0.25">
      <c r="A272" t="s">
        <v>31</v>
      </c>
      <c r="B272" s="2">
        <v>45715</v>
      </c>
      <c r="C272" t="s">
        <v>32</v>
      </c>
      <c r="D272" t="s">
        <v>51</v>
      </c>
      <c r="E272">
        <v>1.3</v>
      </c>
      <c r="F272">
        <v>58</v>
      </c>
      <c r="G272">
        <v>686</v>
      </c>
      <c r="H272">
        <v>602</v>
      </c>
      <c r="I272" s="11">
        <f t="shared" si="14"/>
        <v>87.755102040816325</v>
      </c>
      <c r="J272">
        <v>2</v>
      </c>
      <c r="K272" t="s">
        <v>35</v>
      </c>
      <c r="L272">
        <v>2</v>
      </c>
      <c r="M272" t="s">
        <v>35</v>
      </c>
      <c r="N272">
        <v>8</v>
      </c>
      <c r="O272">
        <v>2</v>
      </c>
      <c r="P272">
        <v>12</v>
      </c>
      <c r="Q272">
        <v>3</v>
      </c>
      <c r="R272">
        <v>0</v>
      </c>
      <c r="S272">
        <v>0</v>
      </c>
      <c r="AB272" t="str">
        <f t="shared" si="12"/>
        <v>Normal</v>
      </c>
      <c r="AC272" t="str">
        <f t="shared" si="13"/>
        <v>Normal</v>
      </c>
    </row>
    <row r="273" spans="1:29" x14ac:dyDescent="0.25">
      <c r="A273" t="s">
        <v>31</v>
      </c>
      <c r="B273" s="2">
        <v>45724</v>
      </c>
      <c r="C273" t="s">
        <v>37</v>
      </c>
      <c r="D273" t="s">
        <v>48</v>
      </c>
      <c r="E273">
        <v>0.7</v>
      </c>
      <c r="F273">
        <v>31</v>
      </c>
      <c r="G273">
        <v>299</v>
      </c>
      <c r="H273">
        <v>230</v>
      </c>
      <c r="I273" s="11">
        <f t="shared" si="14"/>
        <v>76.923076923076934</v>
      </c>
      <c r="J273">
        <v>1</v>
      </c>
      <c r="K273" t="s">
        <v>35</v>
      </c>
      <c r="L273">
        <v>0</v>
      </c>
      <c r="M273" t="s">
        <v>36</v>
      </c>
      <c r="N273">
        <v>9</v>
      </c>
      <c r="O273">
        <v>4</v>
      </c>
      <c r="P273">
        <v>9</v>
      </c>
      <c r="Q273">
        <v>3</v>
      </c>
      <c r="R273">
        <v>3</v>
      </c>
      <c r="S273">
        <v>0</v>
      </c>
      <c r="AB273" t="str">
        <f t="shared" si="12"/>
        <v>Normal</v>
      </c>
      <c r="AC273" t="str">
        <f t="shared" si="13"/>
        <v>Normal</v>
      </c>
    </row>
    <row r="274" spans="1:29" x14ac:dyDescent="0.25">
      <c r="A274" t="s">
        <v>31</v>
      </c>
      <c r="B274" s="2">
        <v>45724</v>
      </c>
      <c r="C274" t="s">
        <v>41</v>
      </c>
      <c r="D274" t="s">
        <v>45</v>
      </c>
      <c r="E274">
        <v>1.5</v>
      </c>
      <c r="F274">
        <v>53</v>
      </c>
      <c r="G274">
        <v>550</v>
      </c>
      <c r="H274">
        <v>463</v>
      </c>
      <c r="I274" s="11">
        <f t="shared" si="14"/>
        <v>84.181818181818187</v>
      </c>
      <c r="J274">
        <v>2</v>
      </c>
      <c r="K274" t="s">
        <v>35</v>
      </c>
      <c r="L274">
        <v>1</v>
      </c>
      <c r="M274" t="s">
        <v>36</v>
      </c>
      <c r="N274">
        <v>9</v>
      </c>
      <c r="O274">
        <v>4</v>
      </c>
      <c r="P274">
        <v>6</v>
      </c>
      <c r="Q274">
        <v>3</v>
      </c>
      <c r="R274">
        <v>0</v>
      </c>
      <c r="S274">
        <v>0</v>
      </c>
      <c r="AB274" t="str">
        <f t="shared" si="12"/>
        <v>Normal</v>
      </c>
      <c r="AC274" t="str">
        <f t="shared" si="13"/>
        <v>Normal</v>
      </c>
    </row>
    <row r="275" spans="1:29" x14ac:dyDescent="0.25">
      <c r="A275" t="s">
        <v>31</v>
      </c>
      <c r="B275" s="2">
        <v>45724</v>
      </c>
      <c r="C275" t="s">
        <v>41</v>
      </c>
      <c r="D275" t="s">
        <v>55</v>
      </c>
      <c r="E275">
        <v>3.2</v>
      </c>
      <c r="F275">
        <v>55</v>
      </c>
      <c r="G275">
        <v>459</v>
      </c>
      <c r="H275">
        <v>336</v>
      </c>
      <c r="I275" s="11">
        <f t="shared" si="14"/>
        <v>73.202614379084963</v>
      </c>
      <c r="J275">
        <v>1</v>
      </c>
      <c r="K275" t="s">
        <v>35</v>
      </c>
      <c r="L275">
        <v>0</v>
      </c>
      <c r="M275" t="s">
        <v>36</v>
      </c>
      <c r="N275">
        <v>19</v>
      </c>
      <c r="O275">
        <v>4</v>
      </c>
      <c r="P275">
        <v>8</v>
      </c>
      <c r="Q275">
        <v>5</v>
      </c>
      <c r="R275">
        <v>4</v>
      </c>
      <c r="S275">
        <v>0</v>
      </c>
      <c r="AB275" t="str">
        <f t="shared" si="12"/>
        <v>Normal</v>
      </c>
      <c r="AC275" t="str">
        <f t="shared" si="13"/>
        <v>Normal</v>
      </c>
    </row>
    <row r="276" spans="1:29" x14ac:dyDescent="0.25">
      <c r="A276" t="s">
        <v>31</v>
      </c>
      <c r="B276" s="2">
        <v>45724</v>
      </c>
      <c r="C276" t="s">
        <v>41</v>
      </c>
      <c r="D276" t="s">
        <v>39</v>
      </c>
      <c r="E276">
        <v>3.9</v>
      </c>
      <c r="F276">
        <v>71</v>
      </c>
      <c r="G276">
        <v>700</v>
      </c>
      <c r="H276">
        <v>623</v>
      </c>
      <c r="I276" s="11">
        <f t="shared" si="14"/>
        <v>89</v>
      </c>
      <c r="J276">
        <v>3</v>
      </c>
      <c r="K276" t="s">
        <v>35</v>
      </c>
      <c r="L276">
        <v>0</v>
      </c>
      <c r="M276" t="s">
        <v>40</v>
      </c>
      <c r="N276">
        <v>28</v>
      </c>
      <c r="O276">
        <v>7</v>
      </c>
      <c r="P276">
        <v>10</v>
      </c>
      <c r="Q276">
        <v>6</v>
      </c>
      <c r="R276">
        <v>2</v>
      </c>
      <c r="S276">
        <v>0</v>
      </c>
      <c r="AB276" t="str">
        <f t="shared" si="12"/>
        <v>Normal</v>
      </c>
      <c r="AC276" t="str">
        <f t="shared" si="13"/>
        <v>Normal</v>
      </c>
    </row>
    <row r="277" spans="1:29" x14ac:dyDescent="0.25">
      <c r="A277" t="s">
        <v>31</v>
      </c>
      <c r="B277" s="2">
        <v>45724</v>
      </c>
      <c r="C277" t="s">
        <v>50</v>
      </c>
      <c r="D277" t="s">
        <v>54</v>
      </c>
      <c r="E277">
        <v>0.8</v>
      </c>
      <c r="F277">
        <v>59</v>
      </c>
      <c r="G277">
        <v>505</v>
      </c>
      <c r="H277">
        <v>415</v>
      </c>
      <c r="I277" s="11">
        <f t="shared" si="14"/>
        <v>82.178217821782169</v>
      </c>
      <c r="J277">
        <v>0</v>
      </c>
      <c r="K277" t="s">
        <v>40</v>
      </c>
      <c r="L277">
        <v>0</v>
      </c>
      <c r="M277" t="s">
        <v>36</v>
      </c>
      <c r="N277">
        <v>13</v>
      </c>
      <c r="O277">
        <v>3</v>
      </c>
      <c r="P277">
        <v>10</v>
      </c>
      <c r="Q277">
        <v>6</v>
      </c>
      <c r="R277">
        <v>2</v>
      </c>
      <c r="S277">
        <v>0</v>
      </c>
      <c r="AB277" t="str">
        <f t="shared" si="12"/>
        <v>Normal</v>
      </c>
      <c r="AC277" t="str">
        <f t="shared" si="13"/>
        <v>Normal</v>
      </c>
    </row>
    <row r="278" spans="1:29" x14ac:dyDescent="0.25">
      <c r="A278" t="s">
        <v>31</v>
      </c>
      <c r="B278" s="2">
        <v>45724</v>
      </c>
      <c r="C278" t="s">
        <v>32</v>
      </c>
      <c r="D278" t="s">
        <v>43</v>
      </c>
      <c r="E278">
        <v>0.8</v>
      </c>
      <c r="F278">
        <v>66</v>
      </c>
      <c r="G278">
        <v>643</v>
      </c>
      <c r="H278">
        <v>554</v>
      </c>
      <c r="I278" s="11">
        <f t="shared" si="14"/>
        <v>86.158631415241061</v>
      </c>
      <c r="J278">
        <v>1</v>
      </c>
      <c r="K278" t="s">
        <v>36</v>
      </c>
      <c r="L278">
        <v>1</v>
      </c>
      <c r="M278" t="s">
        <v>36</v>
      </c>
      <c r="N278">
        <v>11</v>
      </c>
      <c r="O278">
        <v>3</v>
      </c>
      <c r="P278">
        <v>11</v>
      </c>
      <c r="Q278">
        <v>5</v>
      </c>
      <c r="R278">
        <v>2</v>
      </c>
      <c r="S278">
        <v>0</v>
      </c>
      <c r="AB278" t="str">
        <f t="shared" si="12"/>
        <v>Normal</v>
      </c>
      <c r="AC278" t="str">
        <f t="shared" si="13"/>
        <v>Normal</v>
      </c>
    </row>
    <row r="279" spans="1:29" x14ac:dyDescent="0.25">
      <c r="A279" t="s">
        <v>31</v>
      </c>
      <c r="B279" s="2">
        <v>45725</v>
      </c>
      <c r="C279" t="s">
        <v>53</v>
      </c>
      <c r="D279" t="s">
        <v>57</v>
      </c>
      <c r="E279">
        <v>1.7</v>
      </c>
      <c r="F279">
        <v>56</v>
      </c>
      <c r="G279">
        <v>584</v>
      </c>
      <c r="H279">
        <v>488</v>
      </c>
      <c r="I279" s="11">
        <f t="shared" si="14"/>
        <v>83.561643835616437</v>
      </c>
      <c r="J279">
        <v>1</v>
      </c>
      <c r="K279" t="s">
        <v>35</v>
      </c>
      <c r="L279">
        <v>0</v>
      </c>
      <c r="M279" t="s">
        <v>36</v>
      </c>
      <c r="N279">
        <v>20</v>
      </c>
      <c r="O279">
        <v>7</v>
      </c>
      <c r="P279">
        <v>12</v>
      </c>
      <c r="Q279">
        <v>12</v>
      </c>
      <c r="R279">
        <v>1</v>
      </c>
      <c r="S279">
        <v>0</v>
      </c>
      <c r="AB279" t="str">
        <f t="shared" si="12"/>
        <v>Normal</v>
      </c>
      <c r="AC279" t="str">
        <f t="shared" si="13"/>
        <v>Normal</v>
      </c>
    </row>
    <row r="280" spans="1:29" x14ac:dyDescent="0.25">
      <c r="A280" t="s">
        <v>31</v>
      </c>
      <c r="B280" s="2">
        <v>45725</v>
      </c>
      <c r="C280" t="s">
        <v>53</v>
      </c>
      <c r="D280" t="s">
        <v>60</v>
      </c>
      <c r="E280">
        <v>1.5</v>
      </c>
      <c r="F280">
        <v>61</v>
      </c>
      <c r="G280">
        <v>587</v>
      </c>
      <c r="H280">
        <v>475</v>
      </c>
      <c r="I280" s="11">
        <f t="shared" si="14"/>
        <v>80.919931856899481</v>
      </c>
      <c r="J280">
        <v>2</v>
      </c>
      <c r="K280" t="s">
        <v>36</v>
      </c>
      <c r="L280">
        <v>0</v>
      </c>
      <c r="M280" t="s">
        <v>40</v>
      </c>
      <c r="N280">
        <v>12</v>
      </c>
      <c r="O280">
        <v>4</v>
      </c>
      <c r="P280">
        <v>15</v>
      </c>
      <c r="Q280">
        <v>3</v>
      </c>
      <c r="R280">
        <v>3</v>
      </c>
      <c r="S280">
        <v>0</v>
      </c>
      <c r="AB280" t="str">
        <f t="shared" si="12"/>
        <v>Normal</v>
      </c>
      <c r="AC280" t="str">
        <f t="shared" si="13"/>
        <v>Normal</v>
      </c>
    </row>
    <row r="281" spans="1:29" x14ac:dyDescent="0.25">
      <c r="A281" t="s">
        <v>31</v>
      </c>
      <c r="B281" s="2">
        <v>45725</v>
      </c>
      <c r="C281" t="s">
        <v>56</v>
      </c>
      <c r="D281" t="s">
        <v>33</v>
      </c>
      <c r="E281">
        <v>1.5</v>
      </c>
      <c r="F281">
        <v>32</v>
      </c>
      <c r="G281">
        <v>298</v>
      </c>
      <c r="H281">
        <v>219</v>
      </c>
      <c r="I281" s="11">
        <f t="shared" si="14"/>
        <v>73.489932885906043</v>
      </c>
      <c r="J281">
        <v>1</v>
      </c>
      <c r="K281" t="s">
        <v>36</v>
      </c>
      <c r="L281">
        <v>1</v>
      </c>
      <c r="M281" t="s">
        <v>35</v>
      </c>
      <c r="N281">
        <v>10</v>
      </c>
      <c r="O281">
        <v>6</v>
      </c>
      <c r="P281">
        <v>8</v>
      </c>
      <c r="Q281">
        <v>2</v>
      </c>
      <c r="R281">
        <v>0</v>
      </c>
      <c r="S281">
        <v>0</v>
      </c>
      <c r="AB281" t="str">
        <f t="shared" si="12"/>
        <v>Normal</v>
      </c>
      <c r="AC281" t="str">
        <f t="shared" si="13"/>
        <v>Normal</v>
      </c>
    </row>
    <row r="282" spans="1:29" x14ac:dyDescent="0.25">
      <c r="A282" t="s">
        <v>31</v>
      </c>
      <c r="B282" s="2">
        <v>45726</v>
      </c>
      <c r="C282" t="s">
        <v>32</v>
      </c>
      <c r="D282" t="s">
        <v>51</v>
      </c>
      <c r="E282">
        <v>0.7</v>
      </c>
      <c r="F282">
        <v>51</v>
      </c>
      <c r="G282">
        <v>505</v>
      </c>
      <c r="H282">
        <v>393</v>
      </c>
      <c r="I282" s="11">
        <f t="shared" si="14"/>
        <v>77.821782178217831</v>
      </c>
      <c r="J282">
        <v>0</v>
      </c>
      <c r="K282" t="s">
        <v>40</v>
      </c>
      <c r="L282">
        <v>0</v>
      </c>
      <c r="M282" t="s">
        <v>36</v>
      </c>
      <c r="N282">
        <v>9</v>
      </c>
      <c r="O282">
        <v>2</v>
      </c>
      <c r="P282">
        <v>7</v>
      </c>
      <c r="Q282">
        <v>3</v>
      </c>
      <c r="R282">
        <v>0</v>
      </c>
      <c r="S282">
        <v>0</v>
      </c>
      <c r="AB282" t="str">
        <f t="shared" si="12"/>
        <v>Normal</v>
      </c>
      <c r="AC282" t="str">
        <f t="shared" si="13"/>
        <v>Normal</v>
      </c>
    </row>
    <row r="283" spans="1:29" x14ac:dyDescent="0.25">
      <c r="A283" t="s">
        <v>31</v>
      </c>
      <c r="B283" s="2">
        <v>45731</v>
      </c>
      <c r="C283" t="s">
        <v>41</v>
      </c>
      <c r="D283" t="s">
        <v>44</v>
      </c>
      <c r="E283">
        <v>1</v>
      </c>
      <c r="F283">
        <v>54</v>
      </c>
      <c r="G283">
        <v>550</v>
      </c>
      <c r="H283">
        <v>446</v>
      </c>
      <c r="I283" s="11">
        <f t="shared" si="14"/>
        <v>81.090909090909093</v>
      </c>
      <c r="J283">
        <v>1</v>
      </c>
      <c r="K283" t="s">
        <v>36</v>
      </c>
      <c r="L283">
        <v>0</v>
      </c>
      <c r="M283" t="s">
        <v>36</v>
      </c>
      <c r="N283">
        <v>13</v>
      </c>
      <c r="O283">
        <v>5</v>
      </c>
      <c r="P283">
        <v>12</v>
      </c>
      <c r="Q283">
        <v>6</v>
      </c>
      <c r="R283">
        <v>1</v>
      </c>
      <c r="S283">
        <v>0</v>
      </c>
      <c r="AB283" t="str">
        <f t="shared" si="12"/>
        <v>Normal</v>
      </c>
      <c r="AC283" t="str">
        <f t="shared" si="13"/>
        <v>Normal</v>
      </c>
    </row>
    <row r="284" spans="1:29" x14ac:dyDescent="0.25">
      <c r="A284" t="s">
        <v>31</v>
      </c>
      <c r="B284" s="2">
        <v>45731</v>
      </c>
      <c r="C284" t="s">
        <v>41</v>
      </c>
      <c r="D284" t="s">
        <v>38</v>
      </c>
      <c r="E284">
        <v>0.4</v>
      </c>
      <c r="F284">
        <v>55</v>
      </c>
      <c r="G284">
        <v>480</v>
      </c>
      <c r="H284">
        <v>391</v>
      </c>
      <c r="I284" s="11">
        <f t="shared" si="14"/>
        <v>81.458333333333329</v>
      </c>
      <c r="J284">
        <v>2</v>
      </c>
      <c r="K284" t="s">
        <v>40</v>
      </c>
      <c r="L284">
        <v>0</v>
      </c>
      <c r="M284" t="s">
        <v>40</v>
      </c>
      <c r="N284">
        <v>11</v>
      </c>
      <c r="O284">
        <v>4</v>
      </c>
      <c r="P284">
        <v>4</v>
      </c>
      <c r="Q284">
        <v>6</v>
      </c>
      <c r="R284">
        <v>1</v>
      </c>
      <c r="S284">
        <v>0</v>
      </c>
      <c r="AB284" t="str">
        <f t="shared" si="12"/>
        <v>Normal</v>
      </c>
      <c r="AC284" t="str">
        <f t="shared" si="13"/>
        <v>Normal</v>
      </c>
    </row>
    <row r="285" spans="1:29" x14ac:dyDescent="0.25">
      <c r="A285" t="s">
        <v>31</v>
      </c>
      <c r="B285" s="2">
        <v>45731</v>
      </c>
      <c r="C285" t="s">
        <v>41</v>
      </c>
      <c r="D285" t="s">
        <v>58</v>
      </c>
      <c r="E285">
        <v>1.7</v>
      </c>
      <c r="F285">
        <v>60</v>
      </c>
      <c r="G285">
        <v>535</v>
      </c>
      <c r="H285">
        <v>443</v>
      </c>
      <c r="I285" s="11">
        <f t="shared" si="14"/>
        <v>82.803738317757009</v>
      </c>
      <c r="J285">
        <v>2</v>
      </c>
      <c r="K285" t="s">
        <v>36</v>
      </c>
      <c r="L285">
        <v>2</v>
      </c>
      <c r="M285" t="s">
        <v>35</v>
      </c>
      <c r="N285">
        <v>11</v>
      </c>
      <c r="O285">
        <v>3</v>
      </c>
      <c r="P285">
        <v>10</v>
      </c>
      <c r="Q285">
        <v>4</v>
      </c>
      <c r="R285">
        <v>2</v>
      </c>
      <c r="S285">
        <v>0</v>
      </c>
      <c r="AB285" t="str">
        <f t="shared" si="12"/>
        <v>Normal</v>
      </c>
      <c r="AC285" t="str">
        <f t="shared" si="13"/>
        <v>Normal</v>
      </c>
    </row>
    <row r="286" spans="1:29" x14ac:dyDescent="0.25">
      <c r="A286" t="s">
        <v>31</v>
      </c>
      <c r="B286" s="2">
        <v>45731</v>
      </c>
      <c r="C286" t="s">
        <v>41</v>
      </c>
      <c r="D286" t="s">
        <v>47</v>
      </c>
      <c r="E286">
        <v>1.3</v>
      </c>
      <c r="F286">
        <v>60</v>
      </c>
      <c r="G286">
        <v>645</v>
      </c>
      <c r="H286">
        <v>564</v>
      </c>
      <c r="I286" s="11">
        <f t="shared" si="14"/>
        <v>87.441860465116278</v>
      </c>
      <c r="J286">
        <v>1</v>
      </c>
      <c r="K286" t="s">
        <v>40</v>
      </c>
      <c r="L286">
        <v>0</v>
      </c>
      <c r="M286" t="s">
        <v>40</v>
      </c>
      <c r="N286">
        <v>10</v>
      </c>
      <c r="O286">
        <v>3</v>
      </c>
      <c r="P286">
        <v>12</v>
      </c>
      <c r="Q286">
        <v>5</v>
      </c>
      <c r="R286">
        <v>0</v>
      </c>
      <c r="S286">
        <v>0</v>
      </c>
      <c r="AB286" t="str">
        <f t="shared" si="12"/>
        <v>Normal</v>
      </c>
      <c r="AC286" t="str">
        <f t="shared" si="13"/>
        <v>Normal</v>
      </c>
    </row>
    <row r="287" spans="1:29" x14ac:dyDescent="0.25">
      <c r="A287" t="s">
        <v>31</v>
      </c>
      <c r="B287" s="2">
        <v>45731</v>
      </c>
      <c r="C287" t="s">
        <v>50</v>
      </c>
      <c r="D287" t="s">
        <v>49</v>
      </c>
      <c r="E287">
        <v>1.6</v>
      </c>
      <c r="F287">
        <v>58</v>
      </c>
      <c r="G287">
        <v>539</v>
      </c>
      <c r="H287">
        <v>422</v>
      </c>
      <c r="I287" s="11">
        <f t="shared" si="14"/>
        <v>78.293135435992582</v>
      </c>
      <c r="J287">
        <v>1</v>
      </c>
      <c r="K287" t="s">
        <v>40</v>
      </c>
      <c r="L287">
        <v>1</v>
      </c>
      <c r="M287" t="s">
        <v>36</v>
      </c>
      <c r="N287">
        <v>17</v>
      </c>
      <c r="O287">
        <v>5</v>
      </c>
      <c r="P287">
        <v>13</v>
      </c>
      <c r="Q287">
        <v>4</v>
      </c>
      <c r="R287">
        <v>3</v>
      </c>
      <c r="S287">
        <v>0</v>
      </c>
      <c r="AB287" t="str">
        <f t="shared" si="12"/>
        <v>Normal</v>
      </c>
      <c r="AC287" t="str">
        <f t="shared" si="13"/>
        <v>Normal</v>
      </c>
    </row>
    <row r="288" spans="1:29" x14ac:dyDescent="0.25">
      <c r="A288" t="s">
        <v>31</v>
      </c>
      <c r="B288" s="2">
        <v>45732</v>
      </c>
      <c r="C288" t="s">
        <v>61</v>
      </c>
      <c r="D288" t="s">
        <v>42</v>
      </c>
      <c r="E288">
        <v>0.7</v>
      </c>
      <c r="F288">
        <v>42</v>
      </c>
      <c r="G288">
        <v>390</v>
      </c>
      <c r="H288">
        <v>322</v>
      </c>
      <c r="I288" s="11">
        <f t="shared" si="14"/>
        <v>82.564102564102555</v>
      </c>
      <c r="J288">
        <v>1</v>
      </c>
      <c r="K288" t="s">
        <v>35</v>
      </c>
      <c r="L288">
        <v>1</v>
      </c>
      <c r="M288" t="s">
        <v>35</v>
      </c>
      <c r="N288">
        <v>12</v>
      </c>
      <c r="O288">
        <v>4</v>
      </c>
      <c r="P288">
        <v>10</v>
      </c>
      <c r="Q288">
        <v>5</v>
      </c>
      <c r="R288">
        <v>3</v>
      </c>
      <c r="S288">
        <v>0</v>
      </c>
      <c r="AB288" t="str">
        <f t="shared" si="12"/>
        <v>Normal</v>
      </c>
      <c r="AC288" t="str">
        <f t="shared" si="13"/>
        <v>Normal</v>
      </c>
    </row>
    <row r="289" spans="1:29" x14ac:dyDescent="0.25">
      <c r="A289" t="s">
        <v>31</v>
      </c>
      <c r="B289" s="2">
        <v>45732</v>
      </c>
      <c r="C289" t="s">
        <v>61</v>
      </c>
      <c r="D289" t="s">
        <v>34</v>
      </c>
      <c r="E289">
        <v>1</v>
      </c>
      <c r="F289">
        <v>57</v>
      </c>
      <c r="G289">
        <v>590</v>
      </c>
      <c r="H289">
        <v>481</v>
      </c>
      <c r="I289" s="11">
        <f t="shared" si="14"/>
        <v>81.525423728813564</v>
      </c>
      <c r="J289">
        <v>2</v>
      </c>
      <c r="K289" t="s">
        <v>35</v>
      </c>
      <c r="L289">
        <v>0</v>
      </c>
      <c r="M289" t="s">
        <v>36</v>
      </c>
      <c r="N289">
        <v>13</v>
      </c>
      <c r="O289">
        <v>4</v>
      </c>
      <c r="P289">
        <v>13</v>
      </c>
      <c r="Q289">
        <v>6</v>
      </c>
      <c r="R289">
        <v>0</v>
      </c>
      <c r="S289">
        <v>0</v>
      </c>
      <c r="AB289" t="str">
        <f t="shared" si="12"/>
        <v>Normal</v>
      </c>
      <c r="AC289" t="str">
        <f t="shared" si="13"/>
        <v>Normal</v>
      </c>
    </row>
    <row r="290" spans="1:29" x14ac:dyDescent="0.25">
      <c r="A290" t="s">
        <v>31</v>
      </c>
      <c r="B290" s="2">
        <v>45732</v>
      </c>
      <c r="C290" t="s">
        <v>65</v>
      </c>
      <c r="D290" t="s">
        <v>59</v>
      </c>
      <c r="E290">
        <v>1</v>
      </c>
      <c r="F290">
        <v>53</v>
      </c>
      <c r="G290">
        <v>575</v>
      </c>
      <c r="H290">
        <v>455</v>
      </c>
      <c r="I290" s="11">
        <f t="shared" si="14"/>
        <v>79.130434782608688</v>
      </c>
      <c r="J290">
        <v>0</v>
      </c>
      <c r="K290" t="s">
        <v>40</v>
      </c>
      <c r="L290">
        <v>0</v>
      </c>
      <c r="M290" t="s">
        <v>40</v>
      </c>
      <c r="N290">
        <v>11</v>
      </c>
      <c r="O290">
        <v>3</v>
      </c>
      <c r="P290">
        <v>6</v>
      </c>
      <c r="Q290">
        <v>6</v>
      </c>
      <c r="R290">
        <v>2</v>
      </c>
      <c r="S290">
        <v>0</v>
      </c>
      <c r="AB290" t="str">
        <f t="shared" si="12"/>
        <v>Normal</v>
      </c>
      <c r="AC290" t="str">
        <f t="shared" si="13"/>
        <v>Normal</v>
      </c>
    </row>
    <row r="291" spans="1:29" x14ac:dyDescent="0.25">
      <c r="A291" t="s">
        <v>31</v>
      </c>
      <c r="B291" s="2">
        <v>45748</v>
      </c>
      <c r="C291" t="s">
        <v>68</v>
      </c>
      <c r="D291" t="s">
        <v>42</v>
      </c>
      <c r="E291">
        <v>2.2000000000000002</v>
      </c>
      <c r="F291">
        <v>51</v>
      </c>
      <c r="G291">
        <v>528</v>
      </c>
      <c r="H291">
        <v>454</v>
      </c>
      <c r="I291" s="11">
        <f t="shared" si="14"/>
        <v>85.984848484848484</v>
      </c>
      <c r="J291">
        <v>2</v>
      </c>
      <c r="K291" t="s">
        <v>35</v>
      </c>
      <c r="L291">
        <v>1</v>
      </c>
      <c r="M291" t="s">
        <v>35</v>
      </c>
      <c r="N291">
        <v>17</v>
      </c>
      <c r="O291">
        <v>4</v>
      </c>
      <c r="P291">
        <v>2</v>
      </c>
      <c r="Q291">
        <v>5</v>
      </c>
      <c r="R291">
        <v>1</v>
      </c>
      <c r="S291">
        <v>0</v>
      </c>
      <c r="AB291" t="str">
        <f t="shared" si="12"/>
        <v>Normal</v>
      </c>
      <c r="AC291" t="str">
        <f t="shared" si="13"/>
        <v>Normal</v>
      </c>
    </row>
    <row r="292" spans="1:29" x14ac:dyDescent="0.25">
      <c r="A292" t="s">
        <v>31</v>
      </c>
      <c r="B292" s="2">
        <v>45748</v>
      </c>
      <c r="C292" t="s">
        <v>68</v>
      </c>
      <c r="D292" t="s">
        <v>43</v>
      </c>
      <c r="E292">
        <v>1.2</v>
      </c>
      <c r="F292">
        <v>42</v>
      </c>
      <c r="G292">
        <v>447</v>
      </c>
      <c r="H292">
        <v>359</v>
      </c>
      <c r="I292" s="11">
        <f t="shared" si="14"/>
        <v>80.313199105145415</v>
      </c>
      <c r="J292">
        <v>1</v>
      </c>
      <c r="K292" t="s">
        <v>35</v>
      </c>
      <c r="L292">
        <v>1</v>
      </c>
      <c r="M292" t="s">
        <v>35</v>
      </c>
      <c r="N292">
        <v>9</v>
      </c>
      <c r="O292">
        <v>2</v>
      </c>
      <c r="P292">
        <v>16</v>
      </c>
      <c r="Q292">
        <v>1</v>
      </c>
      <c r="R292">
        <v>4</v>
      </c>
      <c r="S292">
        <v>0</v>
      </c>
      <c r="AB292" t="str">
        <f t="shared" si="12"/>
        <v>Normal</v>
      </c>
      <c r="AC292" t="str">
        <f t="shared" si="13"/>
        <v>Normal</v>
      </c>
    </row>
    <row r="293" spans="1:29" x14ac:dyDescent="0.25">
      <c r="A293" t="s">
        <v>31</v>
      </c>
      <c r="B293" s="2">
        <v>45748</v>
      </c>
      <c r="C293" t="s">
        <v>32</v>
      </c>
      <c r="D293" t="s">
        <v>48</v>
      </c>
      <c r="E293">
        <v>0.5</v>
      </c>
      <c r="F293">
        <v>32</v>
      </c>
      <c r="G293">
        <v>336</v>
      </c>
      <c r="H293">
        <v>241</v>
      </c>
      <c r="I293" s="11">
        <f t="shared" si="14"/>
        <v>71.726190476190482</v>
      </c>
      <c r="J293">
        <v>1</v>
      </c>
      <c r="K293" t="s">
        <v>35</v>
      </c>
      <c r="L293">
        <v>1</v>
      </c>
      <c r="M293" t="s">
        <v>35</v>
      </c>
      <c r="N293">
        <v>8</v>
      </c>
      <c r="O293">
        <v>2</v>
      </c>
      <c r="P293">
        <v>5</v>
      </c>
      <c r="Q293">
        <v>3</v>
      </c>
      <c r="R293">
        <v>1</v>
      </c>
      <c r="S293">
        <v>0</v>
      </c>
      <c r="AB293" t="str">
        <f t="shared" si="12"/>
        <v>Normal</v>
      </c>
      <c r="AC293" t="str">
        <f t="shared" si="13"/>
        <v>Normal</v>
      </c>
    </row>
    <row r="294" spans="1:29" x14ac:dyDescent="0.25">
      <c r="A294" t="s">
        <v>31</v>
      </c>
      <c r="B294" s="2">
        <v>45749</v>
      </c>
      <c r="C294" t="s">
        <v>68</v>
      </c>
      <c r="D294" t="s">
        <v>49</v>
      </c>
      <c r="E294">
        <v>1.8</v>
      </c>
      <c r="F294">
        <v>63</v>
      </c>
      <c r="G294">
        <v>581</v>
      </c>
      <c r="H294">
        <v>453</v>
      </c>
      <c r="I294" s="11">
        <f t="shared" si="14"/>
        <v>77.969018932874363</v>
      </c>
      <c r="J294">
        <v>1</v>
      </c>
      <c r="K294" t="s">
        <v>40</v>
      </c>
      <c r="L294">
        <v>0</v>
      </c>
      <c r="M294" t="s">
        <v>40</v>
      </c>
      <c r="N294">
        <v>24</v>
      </c>
      <c r="O294">
        <v>7</v>
      </c>
      <c r="P294">
        <v>14</v>
      </c>
      <c r="Q294">
        <v>8</v>
      </c>
      <c r="R294">
        <v>1</v>
      </c>
      <c r="S294">
        <v>0</v>
      </c>
      <c r="AB294" t="str">
        <f t="shared" si="12"/>
        <v>Normal</v>
      </c>
      <c r="AC294" t="str">
        <f t="shared" si="13"/>
        <v>Normal</v>
      </c>
    </row>
    <row r="295" spans="1:29" x14ac:dyDescent="0.25">
      <c r="A295" t="s">
        <v>31</v>
      </c>
      <c r="B295" s="2">
        <v>45749</v>
      </c>
      <c r="C295" t="s">
        <v>68</v>
      </c>
      <c r="D295" t="s">
        <v>45</v>
      </c>
      <c r="E295">
        <v>0.9</v>
      </c>
      <c r="F295">
        <v>56</v>
      </c>
      <c r="G295">
        <v>517</v>
      </c>
      <c r="H295">
        <v>429</v>
      </c>
      <c r="I295" s="11">
        <f t="shared" si="14"/>
        <v>82.978723404255319</v>
      </c>
      <c r="J295">
        <v>0</v>
      </c>
      <c r="K295" t="s">
        <v>40</v>
      </c>
      <c r="L295">
        <v>0</v>
      </c>
      <c r="M295" t="s">
        <v>36</v>
      </c>
      <c r="N295">
        <v>11</v>
      </c>
      <c r="O295">
        <v>4</v>
      </c>
      <c r="P295">
        <v>16</v>
      </c>
      <c r="Q295">
        <v>4</v>
      </c>
      <c r="R295">
        <v>1</v>
      </c>
      <c r="S295">
        <v>0</v>
      </c>
      <c r="AB295" t="str">
        <f t="shared" si="12"/>
        <v>Normal</v>
      </c>
      <c r="AC295" t="str">
        <f t="shared" si="13"/>
        <v>Normal</v>
      </c>
    </row>
    <row r="296" spans="1:29" x14ac:dyDescent="0.25">
      <c r="A296" t="s">
        <v>31</v>
      </c>
      <c r="B296" s="2">
        <v>45749</v>
      </c>
      <c r="C296" t="s">
        <v>68</v>
      </c>
      <c r="D296" t="s">
        <v>58</v>
      </c>
      <c r="E296">
        <v>2.2000000000000002</v>
      </c>
      <c r="F296">
        <v>72</v>
      </c>
      <c r="G296">
        <v>810</v>
      </c>
      <c r="H296">
        <v>749</v>
      </c>
      <c r="I296" s="11">
        <f t="shared" si="14"/>
        <v>92.46913580246914</v>
      </c>
      <c r="J296">
        <v>2</v>
      </c>
      <c r="K296" t="s">
        <v>35</v>
      </c>
      <c r="L296">
        <v>2</v>
      </c>
      <c r="M296" t="s">
        <v>35</v>
      </c>
      <c r="N296">
        <v>18</v>
      </c>
      <c r="O296">
        <v>5</v>
      </c>
      <c r="P296">
        <v>11</v>
      </c>
      <c r="Q296">
        <v>5</v>
      </c>
      <c r="R296">
        <v>1</v>
      </c>
      <c r="S296">
        <v>0</v>
      </c>
      <c r="AB296" t="str">
        <f t="shared" si="12"/>
        <v>Normal</v>
      </c>
      <c r="AC296" t="str">
        <f t="shared" si="13"/>
        <v>Normal</v>
      </c>
    </row>
    <row r="297" spans="1:29" x14ac:dyDescent="0.25">
      <c r="A297" t="s">
        <v>31</v>
      </c>
      <c r="B297" s="2">
        <v>45749</v>
      </c>
      <c r="C297" t="s">
        <v>68</v>
      </c>
      <c r="D297" t="s">
        <v>46</v>
      </c>
      <c r="E297">
        <v>1.3</v>
      </c>
      <c r="F297">
        <v>49</v>
      </c>
      <c r="G297">
        <v>444</v>
      </c>
      <c r="H297">
        <v>336</v>
      </c>
      <c r="I297" s="11">
        <f t="shared" si="14"/>
        <v>75.675675675675677</v>
      </c>
      <c r="J297">
        <v>2</v>
      </c>
      <c r="K297" t="s">
        <v>35</v>
      </c>
      <c r="L297">
        <v>1</v>
      </c>
      <c r="M297" t="s">
        <v>35</v>
      </c>
      <c r="N297">
        <v>21</v>
      </c>
      <c r="O297">
        <v>4</v>
      </c>
      <c r="P297">
        <v>12</v>
      </c>
      <c r="Q297">
        <v>4</v>
      </c>
      <c r="R297">
        <v>1</v>
      </c>
      <c r="S297">
        <v>0</v>
      </c>
      <c r="AB297" t="str">
        <f t="shared" si="12"/>
        <v>Normal</v>
      </c>
      <c r="AC297" t="str">
        <f t="shared" si="13"/>
        <v>Normal</v>
      </c>
    </row>
    <row r="298" spans="1:29" x14ac:dyDescent="0.25">
      <c r="A298" t="s">
        <v>31</v>
      </c>
      <c r="B298" s="2">
        <v>45749</v>
      </c>
      <c r="C298" t="s">
        <v>68</v>
      </c>
      <c r="D298" t="s">
        <v>47</v>
      </c>
      <c r="E298">
        <v>0.7</v>
      </c>
      <c r="F298">
        <v>43</v>
      </c>
      <c r="G298">
        <v>424</v>
      </c>
      <c r="H298">
        <v>327</v>
      </c>
      <c r="I298" s="11">
        <f t="shared" si="14"/>
        <v>77.122641509433961</v>
      </c>
      <c r="J298">
        <v>1</v>
      </c>
      <c r="K298" t="s">
        <v>36</v>
      </c>
      <c r="L298">
        <v>1</v>
      </c>
      <c r="M298" t="s">
        <v>35</v>
      </c>
      <c r="N298">
        <v>8</v>
      </c>
      <c r="O298">
        <v>2</v>
      </c>
      <c r="P298">
        <v>14</v>
      </c>
      <c r="Q298">
        <v>2</v>
      </c>
      <c r="R298">
        <v>2</v>
      </c>
      <c r="S298">
        <v>0</v>
      </c>
      <c r="AB298" t="str">
        <f t="shared" si="12"/>
        <v>Normal</v>
      </c>
      <c r="AC298" t="str">
        <f t="shared" si="13"/>
        <v>Normal</v>
      </c>
    </row>
    <row r="299" spans="1:29" x14ac:dyDescent="0.25">
      <c r="A299" t="s">
        <v>31</v>
      </c>
      <c r="B299" s="2">
        <v>45749</v>
      </c>
      <c r="C299" t="s">
        <v>32</v>
      </c>
      <c r="D299" t="s">
        <v>39</v>
      </c>
      <c r="E299">
        <v>1.5</v>
      </c>
      <c r="F299">
        <v>73</v>
      </c>
      <c r="G299">
        <v>670</v>
      </c>
      <c r="H299">
        <v>563</v>
      </c>
      <c r="I299" s="11">
        <f t="shared" si="14"/>
        <v>84.02985074626865</v>
      </c>
      <c r="J299">
        <v>1</v>
      </c>
      <c r="K299" t="s">
        <v>35</v>
      </c>
      <c r="L299">
        <v>0</v>
      </c>
      <c r="M299" t="s">
        <v>36</v>
      </c>
      <c r="N299">
        <v>17</v>
      </c>
      <c r="O299">
        <v>3</v>
      </c>
      <c r="P299">
        <v>7</v>
      </c>
      <c r="Q299">
        <v>11</v>
      </c>
      <c r="R299">
        <v>2</v>
      </c>
      <c r="S299">
        <v>0</v>
      </c>
      <c r="AB299" t="str">
        <f t="shared" si="12"/>
        <v>Normal</v>
      </c>
      <c r="AC299" t="str">
        <f t="shared" si="13"/>
        <v>Normal</v>
      </c>
    </row>
    <row r="300" spans="1:29" x14ac:dyDescent="0.25">
      <c r="A300" t="s">
        <v>31</v>
      </c>
      <c r="B300" s="2">
        <v>45750</v>
      </c>
      <c r="C300" t="s">
        <v>32</v>
      </c>
      <c r="D300" t="s">
        <v>57</v>
      </c>
      <c r="E300">
        <v>1</v>
      </c>
      <c r="F300">
        <v>51</v>
      </c>
      <c r="G300">
        <v>486</v>
      </c>
      <c r="H300">
        <v>396</v>
      </c>
      <c r="I300" s="11">
        <f t="shared" si="14"/>
        <v>81.481481481481481</v>
      </c>
      <c r="J300">
        <v>1</v>
      </c>
      <c r="K300" t="s">
        <v>35</v>
      </c>
      <c r="L300">
        <v>0</v>
      </c>
      <c r="M300" t="s">
        <v>36</v>
      </c>
      <c r="N300">
        <v>11</v>
      </c>
      <c r="O300">
        <v>5</v>
      </c>
      <c r="P300">
        <v>7</v>
      </c>
      <c r="Q300">
        <v>4</v>
      </c>
      <c r="R300">
        <v>5</v>
      </c>
      <c r="S300">
        <v>0</v>
      </c>
      <c r="AB300" t="str">
        <f t="shared" si="12"/>
        <v>Normal</v>
      </c>
      <c r="AC300" t="str">
        <f t="shared" si="13"/>
        <v>Normal</v>
      </c>
    </row>
    <row r="301" spans="1:29" x14ac:dyDescent="0.25">
      <c r="A301" t="s">
        <v>31</v>
      </c>
      <c r="B301" s="2">
        <v>45752</v>
      </c>
      <c r="C301" t="s">
        <v>37</v>
      </c>
      <c r="D301" t="s">
        <v>44</v>
      </c>
      <c r="E301">
        <v>1.1000000000000001</v>
      </c>
      <c r="F301">
        <v>31</v>
      </c>
      <c r="G301">
        <v>220</v>
      </c>
      <c r="H301">
        <v>144</v>
      </c>
      <c r="I301" s="11">
        <f t="shared" si="14"/>
        <v>65.454545454545453</v>
      </c>
      <c r="J301">
        <v>1</v>
      </c>
      <c r="K301" t="s">
        <v>36</v>
      </c>
      <c r="L301">
        <v>0</v>
      </c>
      <c r="M301" t="s">
        <v>40</v>
      </c>
      <c r="N301">
        <v>5</v>
      </c>
      <c r="O301">
        <v>2</v>
      </c>
      <c r="P301">
        <v>17</v>
      </c>
      <c r="Q301">
        <v>3</v>
      </c>
      <c r="R301">
        <v>3</v>
      </c>
      <c r="S301">
        <v>0</v>
      </c>
      <c r="AB301" t="str">
        <f t="shared" si="12"/>
        <v>Normal</v>
      </c>
      <c r="AC301" t="str">
        <f t="shared" si="13"/>
        <v>Normal</v>
      </c>
    </row>
    <row r="302" spans="1:29" x14ac:dyDescent="0.25">
      <c r="A302" t="s">
        <v>31</v>
      </c>
      <c r="B302" s="2">
        <v>45752</v>
      </c>
      <c r="C302" t="s">
        <v>41</v>
      </c>
      <c r="D302" t="s">
        <v>55</v>
      </c>
      <c r="E302">
        <v>0.6</v>
      </c>
      <c r="F302">
        <v>38</v>
      </c>
      <c r="G302">
        <v>359</v>
      </c>
      <c r="H302">
        <v>266</v>
      </c>
      <c r="I302" s="11">
        <f t="shared" si="14"/>
        <v>74.094707520891362</v>
      </c>
      <c r="J302">
        <v>2</v>
      </c>
      <c r="K302" t="s">
        <v>35</v>
      </c>
      <c r="L302">
        <v>1</v>
      </c>
      <c r="M302" t="s">
        <v>36</v>
      </c>
      <c r="N302">
        <v>8</v>
      </c>
      <c r="O302">
        <v>3</v>
      </c>
      <c r="P302">
        <v>12</v>
      </c>
      <c r="Q302">
        <v>2</v>
      </c>
      <c r="R302">
        <v>0</v>
      </c>
      <c r="S302">
        <v>2</v>
      </c>
      <c r="AB302" t="str">
        <f t="shared" si="12"/>
        <v>Normal</v>
      </c>
      <c r="AC302" t="str">
        <f t="shared" si="13"/>
        <v>Normal</v>
      </c>
    </row>
    <row r="303" spans="1:29" x14ac:dyDescent="0.25">
      <c r="A303" t="s">
        <v>31</v>
      </c>
      <c r="B303" s="2">
        <v>45752</v>
      </c>
      <c r="C303" t="s">
        <v>41</v>
      </c>
      <c r="D303" t="s">
        <v>38</v>
      </c>
      <c r="E303">
        <v>0.8</v>
      </c>
      <c r="F303">
        <v>45</v>
      </c>
      <c r="G303">
        <v>367</v>
      </c>
      <c r="H303">
        <v>266</v>
      </c>
      <c r="I303" s="11">
        <f t="shared" si="14"/>
        <v>72.479564032697553</v>
      </c>
      <c r="J303">
        <v>1</v>
      </c>
      <c r="K303" t="s">
        <v>40</v>
      </c>
      <c r="L303">
        <v>1</v>
      </c>
      <c r="M303" t="s">
        <v>35</v>
      </c>
      <c r="N303">
        <v>6</v>
      </c>
      <c r="O303">
        <v>2</v>
      </c>
      <c r="P303">
        <v>12</v>
      </c>
      <c r="Q303">
        <v>4</v>
      </c>
      <c r="R303">
        <v>2</v>
      </c>
      <c r="S303">
        <v>0</v>
      </c>
      <c r="AB303" t="str">
        <f t="shared" si="12"/>
        <v>Normal</v>
      </c>
      <c r="AC303" t="str">
        <f t="shared" si="13"/>
        <v>Normal</v>
      </c>
    </row>
    <row r="304" spans="1:29" x14ac:dyDescent="0.25">
      <c r="A304" t="s">
        <v>31</v>
      </c>
      <c r="B304" s="2">
        <v>45752</v>
      </c>
      <c r="C304" t="s">
        <v>41</v>
      </c>
      <c r="D304" t="s">
        <v>51</v>
      </c>
      <c r="E304">
        <v>0.7</v>
      </c>
      <c r="F304">
        <v>56</v>
      </c>
      <c r="G304">
        <v>526</v>
      </c>
      <c r="H304">
        <v>409</v>
      </c>
      <c r="I304" s="11">
        <f t="shared" si="14"/>
        <v>77.756653992395442</v>
      </c>
      <c r="J304">
        <v>2</v>
      </c>
      <c r="K304" t="s">
        <v>36</v>
      </c>
      <c r="L304">
        <v>0</v>
      </c>
      <c r="M304" t="s">
        <v>40</v>
      </c>
      <c r="N304">
        <v>9</v>
      </c>
      <c r="O304">
        <v>3</v>
      </c>
      <c r="P304">
        <v>13</v>
      </c>
      <c r="Q304">
        <v>4</v>
      </c>
      <c r="R304">
        <v>2</v>
      </c>
      <c r="S304">
        <v>0</v>
      </c>
      <c r="AB304" t="str">
        <f t="shared" si="12"/>
        <v>Normal</v>
      </c>
      <c r="AC304" t="str">
        <f t="shared" si="13"/>
        <v>Normal</v>
      </c>
    </row>
    <row r="305" spans="1:29" x14ac:dyDescent="0.25">
      <c r="A305" t="s">
        <v>31</v>
      </c>
      <c r="B305" s="2">
        <v>45752</v>
      </c>
      <c r="C305" t="s">
        <v>50</v>
      </c>
      <c r="D305" t="s">
        <v>52</v>
      </c>
      <c r="E305">
        <v>3</v>
      </c>
      <c r="F305">
        <v>52</v>
      </c>
      <c r="G305">
        <v>462</v>
      </c>
      <c r="H305">
        <v>385</v>
      </c>
      <c r="I305" s="11">
        <f t="shared" si="14"/>
        <v>83.333333333333343</v>
      </c>
      <c r="J305">
        <v>2</v>
      </c>
      <c r="K305" t="s">
        <v>35</v>
      </c>
      <c r="L305">
        <v>2</v>
      </c>
      <c r="M305" t="s">
        <v>35</v>
      </c>
      <c r="N305">
        <v>17</v>
      </c>
      <c r="O305">
        <v>8</v>
      </c>
      <c r="P305">
        <v>7</v>
      </c>
      <c r="Q305">
        <v>4</v>
      </c>
      <c r="R305">
        <v>2</v>
      </c>
      <c r="S305">
        <v>0</v>
      </c>
      <c r="AB305" t="str">
        <f t="shared" si="12"/>
        <v>Normal</v>
      </c>
      <c r="AC305" t="str">
        <f t="shared" si="13"/>
        <v>Normal</v>
      </c>
    </row>
    <row r="306" spans="1:29" x14ac:dyDescent="0.25">
      <c r="A306" t="s">
        <v>31</v>
      </c>
      <c r="B306" s="2">
        <v>45753</v>
      </c>
      <c r="C306" t="s">
        <v>53</v>
      </c>
      <c r="D306" t="s">
        <v>54</v>
      </c>
      <c r="E306">
        <v>1.1000000000000001</v>
      </c>
      <c r="F306">
        <v>42</v>
      </c>
      <c r="G306">
        <v>375</v>
      </c>
      <c r="H306">
        <v>273</v>
      </c>
      <c r="I306" s="11">
        <f t="shared" si="14"/>
        <v>72.8</v>
      </c>
      <c r="J306">
        <v>0</v>
      </c>
      <c r="K306" t="s">
        <v>36</v>
      </c>
      <c r="L306">
        <v>0</v>
      </c>
      <c r="M306" t="s">
        <v>36</v>
      </c>
      <c r="N306">
        <v>9</v>
      </c>
      <c r="O306">
        <v>2</v>
      </c>
      <c r="P306">
        <v>12</v>
      </c>
      <c r="Q306">
        <v>3</v>
      </c>
      <c r="R306">
        <v>1</v>
      </c>
      <c r="S306">
        <v>0</v>
      </c>
      <c r="AB306" t="str">
        <f t="shared" si="12"/>
        <v>Normal</v>
      </c>
      <c r="AC306" t="str">
        <f t="shared" si="13"/>
        <v>Normal</v>
      </c>
    </row>
    <row r="307" spans="1:29" x14ac:dyDescent="0.25">
      <c r="A307" t="s">
        <v>31</v>
      </c>
      <c r="B307" s="2">
        <v>45753</v>
      </c>
      <c r="C307" t="s">
        <v>53</v>
      </c>
      <c r="D307" t="s">
        <v>34</v>
      </c>
      <c r="E307">
        <v>0.7</v>
      </c>
      <c r="F307">
        <v>37</v>
      </c>
      <c r="G307">
        <v>367</v>
      </c>
      <c r="H307">
        <v>274</v>
      </c>
      <c r="I307" s="11">
        <f t="shared" si="14"/>
        <v>74.659400544959126</v>
      </c>
      <c r="J307">
        <v>3</v>
      </c>
      <c r="K307" t="s">
        <v>35</v>
      </c>
      <c r="L307">
        <v>3</v>
      </c>
      <c r="M307" t="s">
        <v>35</v>
      </c>
      <c r="N307">
        <v>12</v>
      </c>
      <c r="O307">
        <v>6</v>
      </c>
      <c r="P307">
        <v>10</v>
      </c>
      <c r="Q307">
        <v>4</v>
      </c>
      <c r="R307">
        <v>3</v>
      </c>
      <c r="S307">
        <v>0</v>
      </c>
      <c r="AB307" t="str">
        <f t="shared" si="12"/>
        <v>Normal</v>
      </c>
      <c r="AC307" t="str">
        <f t="shared" si="13"/>
        <v>Normal</v>
      </c>
    </row>
    <row r="308" spans="1:29" x14ac:dyDescent="0.25">
      <c r="A308" t="s">
        <v>31</v>
      </c>
      <c r="B308" s="2">
        <v>45753</v>
      </c>
      <c r="C308" t="s">
        <v>53</v>
      </c>
      <c r="D308" t="s">
        <v>60</v>
      </c>
      <c r="E308">
        <v>2.1</v>
      </c>
      <c r="F308">
        <v>51</v>
      </c>
      <c r="G308">
        <v>520</v>
      </c>
      <c r="H308">
        <v>451</v>
      </c>
      <c r="I308" s="11">
        <f t="shared" si="14"/>
        <v>86.730769230769226</v>
      </c>
      <c r="J308">
        <v>3</v>
      </c>
      <c r="K308" t="s">
        <v>35</v>
      </c>
      <c r="L308">
        <v>2</v>
      </c>
      <c r="M308" t="s">
        <v>35</v>
      </c>
      <c r="N308">
        <v>13</v>
      </c>
      <c r="O308">
        <v>8</v>
      </c>
      <c r="P308">
        <v>16</v>
      </c>
      <c r="Q308">
        <v>4</v>
      </c>
      <c r="R308">
        <v>1</v>
      </c>
      <c r="S308">
        <v>0</v>
      </c>
      <c r="AB308" t="str">
        <f t="shared" si="12"/>
        <v>Normal</v>
      </c>
      <c r="AC308" t="str">
        <f t="shared" si="13"/>
        <v>Normal</v>
      </c>
    </row>
    <row r="309" spans="1:29" x14ac:dyDescent="0.25">
      <c r="A309" t="s">
        <v>31</v>
      </c>
      <c r="B309" s="2">
        <v>45753</v>
      </c>
      <c r="C309" t="s">
        <v>56</v>
      </c>
      <c r="D309" t="s">
        <v>33</v>
      </c>
      <c r="E309">
        <v>0.9</v>
      </c>
      <c r="F309">
        <v>42</v>
      </c>
      <c r="G309">
        <v>423</v>
      </c>
      <c r="H309">
        <v>347</v>
      </c>
      <c r="I309" s="11">
        <f t="shared" si="14"/>
        <v>82.033096926713938</v>
      </c>
      <c r="J309">
        <v>0</v>
      </c>
      <c r="K309" t="s">
        <v>36</v>
      </c>
      <c r="L309">
        <v>0</v>
      </c>
      <c r="M309" t="s">
        <v>36</v>
      </c>
      <c r="N309">
        <v>13</v>
      </c>
      <c r="O309">
        <v>2</v>
      </c>
      <c r="P309">
        <v>13</v>
      </c>
      <c r="Q309">
        <v>5</v>
      </c>
      <c r="R309">
        <v>3</v>
      </c>
      <c r="S309">
        <v>0</v>
      </c>
      <c r="AB309" t="str">
        <f t="shared" si="12"/>
        <v>Normal</v>
      </c>
      <c r="AC309" t="str">
        <f t="shared" si="13"/>
        <v>Normal</v>
      </c>
    </row>
    <row r="310" spans="1:29" x14ac:dyDescent="0.25">
      <c r="A310" t="s">
        <v>31</v>
      </c>
      <c r="B310" s="2">
        <v>45754</v>
      </c>
      <c r="C310" t="s">
        <v>32</v>
      </c>
      <c r="D310" t="s">
        <v>59</v>
      </c>
      <c r="E310">
        <v>0.5</v>
      </c>
      <c r="F310">
        <v>58</v>
      </c>
      <c r="G310">
        <v>602</v>
      </c>
      <c r="H310">
        <v>482</v>
      </c>
      <c r="I310" s="11">
        <f t="shared" si="14"/>
        <v>80.066445182724252</v>
      </c>
      <c r="J310">
        <v>0</v>
      </c>
      <c r="K310" t="s">
        <v>40</v>
      </c>
      <c r="L310">
        <v>0</v>
      </c>
      <c r="M310" t="s">
        <v>40</v>
      </c>
      <c r="N310">
        <v>7</v>
      </c>
      <c r="O310">
        <v>2</v>
      </c>
      <c r="P310">
        <v>8</v>
      </c>
      <c r="Q310">
        <v>12</v>
      </c>
      <c r="R310">
        <v>2</v>
      </c>
      <c r="S310">
        <v>0</v>
      </c>
      <c r="AB310" t="str">
        <f t="shared" si="12"/>
        <v>Normal</v>
      </c>
      <c r="AC310" t="str">
        <f t="shared" si="13"/>
        <v>Normal</v>
      </c>
    </row>
    <row r="311" spans="1:29" x14ac:dyDescent="0.25">
      <c r="A311" t="s">
        <v>31</v>
      </c>
      <c r="B311" s="2">
        <v>45759</v>
      </c>
      <c r="C311" t="s">
        <v>37</v>
      </c>
      <c r="D311" t="s">
        <v>58</v>
      </c>
      <c r="E311">
        <v>3.7</v>
      </c>
      <c r="F311">
        <v>67</v>
      </c>
      <c r="G311">
        <v>768</v>
      </c>
      <c r="H311">
        <v>689</v>
      </c>
      <c r="I311" s="11">
        <f t="shared" si="14"/>
        <v>89.713541666666657</v>
      </c>
      <c r="J311">
        <v>5</v>
      </c>
      <c r="K311" t="s">
        <v>35</v>
      </c>
      <c r="L311">
        <v>2</v>
      </c>
      <c r="M311" t="s">
        <v>36</v>
      </c>
      <c r="N311">
        <v>21</v>
      </c>
      <c r="O311">
        <v>9</v>
      </c>
      <c r="P311">
        <v>10</v>
      </c>
      <c r="Q311">
        <v>1</v>
      </c>
      <c r="R311">
        <v>2</v>
      </c>
      <c r="S311">
        <v>0</v>
      </c>
      <c r="AB311" t="str">
        <f t="shared" si="12"/>
        <v>Normal</v>
      </c>
      <c r="AC311" t="str">
        <f t="shared" si="13"/>
        <v>Normal</v>
      </c>
    </row>
    <row r="312" spans="1:29" x14ac:dyDescent="0.25">
      <c r="A312" t="s">
        <v>31</v>
      </c>
      <c r="B312" s="2">
        <v>45759</v>
      </c>
      <c r="C312" t="s">
        <v>41</v>
      </c>
      <c r="D312" t="s">
        <v>45</v>
      </c>
      <c r="E312">
        <v>3.8</v>
      </c>
      <c r="F312">
        <v>59</v>
      </c>
      <c r="G312">
        <v>562</v>
      </c>
      <c r="H312">
        <v>480</v>
      </c>
      <c r="I312" s="11">
        <f t="shared" si="14"/>
        <v>85.409252669039148</v>
      </c>
      <c r="J312">
        <v>2</v>
      </c>
      <c r="K312" t="s">
        <v>36</v>
      </c>
      <c r="L312">
        <v>1</v>
      </c>
      <c r="M312" t="s">
        <v>36</v>
      </c>
      <c r="N312">
        <v>21</v>
      </c>
      <c r="O312">
        <v>7</v>
      </c>
      <c r="P312">
        <v>9</v>
      </c>
      <c r="Q312">
        <v>3</v>
      </c>
      <c r="R312">
        <v>2</v>
      </c>
      <c r="S312">
        <v>0</v>
      </c>
      <c r="AB312" t="str">
        <f t="shared" si="12"/>
        <v>Normal</v>
      </c>
      <c r="AC312" t="str">
        <f t="shared" si="13"/>
        <v>Normal</v>
      </c>
    </row>
    <row r="313" spans="1:29" x14ac:dyDescent="0.25">
      <c r="A313" t="s">
        <v>31</v>
      </c>
      <c r="B313" s="2">
        <v>45759</v>
      </c>
      <c r="C313" t="s">
        <v>41</v>
      </c>
      <c r="D313" t="s">
        <v>48</v>
      </c>
      <c r="E313">
        <v>0.5</v>
      </c>
      <c r="F313">
        <v>43</v>
      </c>
      <c r="G313">
        <v>368</v>
      </c>
      <c r="H313">
        <v>265</v>
      </c>
      <c r="I313" s="11">
        <f t="shared" si="14"/>
        <v>72.010869565217391</v>
      </c>
      <c r="J313">
        <v>0</v>
      </c>
      <c r="K313" t="s">
        <v>40</v>
      </c>
      <c r="L313">
        <v>0</v>
      </c>
      <c r="M313" t="s">
        <v>36</v>
      </c>
      <c r="N313">
        <v>10</v>
      </c>
      <c r="O313">
        <v>5</v>
      </c>
      <c r="P313">
        <v>9</v>
      </c>
      <c r="Q313">
        <v>1</v>
      </c>
      <c r="R313">
        <v>0</v>
      </c>
      <c r="S313">
        <v>0</v>
      </c>
      <c r="AB313" t="str">
        <f t="shared" si="12"/>
        <v>Normal</v>
      </c>
      <c r="AC313" t="str">
        <f t="shared" si="13"/>
        <v>Normal</v>
      </c>
    </row>
    <row r="314" spans="1:29" x14ac:dyDescent="0.25">
      <c r="A314" t="s">
        <v>31</v>
      </c>
      <c r="B314" s="2">
        <v>45759</v>
      </c>
      <c r="C314" t="s">
        <v>41</v>
      </c>
      <c r="D314" t="s">
        <v>47</v>
      </c>
      <c r="E314">
        <v>0.3</v>
      </c>
      <c r="F314">
        <v>40</v>
      </c>
      <c r="G314">
        <v>383</v>
      </c>
      <c r="H314">
        <v>322</v>
      </c>
      <c r="I314" s="11">
        <f t="shared" si="14"/>
        <v>84.073107049608353</v>
      </c>
      <c r="J314">
        <v>0</v>
      </c>
      <c r="K314" t="s">
        <v>40</v>
      </c>
      <c r="L314">
        <v>0</v>
      </c>
      <c r="M314" t="s">
        <v>36</v>
      </c>
      <c r="N314">
        <v>7</v>
      </c>
      <c r="O314">
        <v>2</v>
      </c>
      <c r="P314">
        <v>11</v>
      </c>
      <c r="Q314">
        <v>2</v>
      </c>
      <c r="R314">
        <v>3</v>
      </c>
      <c r="S314">
        <v>0</v>
      </c>
      <c r="AB314" t="str">
        <f t="shared" si="12"/>
        <v>Normal</v>
      </c>
      <c r="AC314" t="str">
        <f t="shared" si="13"/>
        <v>Normal</v>
      </c>
    </row>
    <row r="315" spans="1:29" x14ac:dyDescent="0.25">
      <c r="A315" t="s">
        <v>31</v>
      </c>
      <c r="B315" s="2">
        <v>45759</v>
      </c>
      <c r="C315" t="s">
        <v>50</v>
      </c>
      <c r="D315" t="s">
        <v>42</v>
      </c>
      <c r="E315">
        <v>1</v>
      </c>
      <c r="F315">
        <v>63</v>
      </c>
      <c r="G315">
        <v>526</v>
      </c>
      <c r="H315">
        <v>444</v>
      </c>
      <c r="I315" s="11">
        <f t="shared" si="14"/>
        <v>84.410646387832699</v>
      </c>
      <c r="J315">
        <v>1</v>
      </c>
      <c r="K315" t="s">
        <v>36</v>
      </c>
      <c r="L315">
        <v>0</v>
      </c>
      <c r="M315" t="s">
        <v>36</v>
      </c>
      <c r="N315">
        <v>14</v>
      </c>
      <c r="O315">
        <v>3</v>
      </c>
      <c r="P315">
        <v>7</v>
      </c>
      <c r="Q315">
        <v>13</v>
      </c>
      <c r="R315">
        <v>1</v>
      </c>
      <c r="S315">
        <v>0</v>
      </c>
      <c r="AB315" t="str">
        <f t="shared" si="12"/>
        <v>Normal</v>
      </c>
      <c r="AC315" t="str">
        <f t="shared" si="13"/>
        <v>Normal</v>
      </c>
    </row>
    <row r="316" spans="1:29" x14ac:dyDescent="0.25">
      <c r="A316" t="s">
        <v>31</v>
      </c>
      <c r="B316" s="2">
        <v>45760</v>
      </c>
      <c r="C316" t="s">
        <v>53</v>
      </c>
      <c r="D316" t="s">
        <v>57</v>
      </c>
      <c r="E316">
        <v>2.2000000000000002</v>
      </c>
      <c r="F316">
        <v>73</v>
      </c>
      <c r="G316">
        <v>656</v>
      </c>
      <c r="H316">
        <v>550</v>
      </c>
      <c r="I316" s="11">
        <f t="shared" si="14"/>
        <v>83.841463414634148</v>
      </c>
      <c r="J316">
        <v>2</v>
      </c>
      <c r="K316" t="s">
        <v>36</v>
      </c>
      <c r="L316">
        <v>0</v>
      </c>
      <c r="M316" t="s">
        <v>40</v>
      </c>
      <c r="N316">
        <v>34</v>
      </c>
      <c r="O316">
        <v>9</v>
      </c>
      <c r="P316">
        <v>11</v>
      </c>
      <c r="Q316">
        <v>15</v>
      </c>
      <c r="R316">
        <v>2</v>
      </c>
      <c r="S316">
        <v>0</v>
      </c>
      <c r="AB316" t="str">
        <f t="shared" si="12"/>
        <v>Normal</v>
      </c>
      <c r="AC316" t="str">
        <f t="shared" si="13"/>
        <v>Normal</v>
      </c>
    </row>
    <row r="317" spans="1:29" x14ac:dyDescent="0.25">
      <c r="A317" t="s">
        <v>31</v>
      </c>
      <c r="B317" s="2">
        <v>45760</v>
      </c>
      <c r="C317" t="s">
        <v>53</v>
      </c>
      <c r="D317" t="s">
        <v>39</v>
      </c>
      <c r="E317">
        <v>1.8</v>
      </c>
      <c r="F317">
        <v>55</v>
      </c>
      <c r="G317">
        <v>539</v>
      </c>
      <c r="H317">
        <v>443</v>
      </c>
      <c r="I317" s="11">
        <f t="shared" si="14"/>
        <v>82.189239332096477</v>
      </c>
      <c r="J317">
        <v>2</v>
      </c>
      <c r="K317" t="s">
        <v>35</v>
      </c>
      <c r="L317">
        <v>1</v>
      </c>
      <c r="M317" t="s">
        <v>35</v>
      </c>
      <c r="N317">
        <v>15</v>
      </c>
      <c r="O317">
        <v>6</v>
      </c>
      <c r="P317">
        <v>15</v>
      </c>
      <c r="Q317">
        <v>10</v>
      </c>
      <c r="R317">
        <v>0</v>
      </c>
      <c r="S317">
        <v>0</v>
      </c>
      <c r="AB317" t="str">
        <f t="shared" si="12"/>
        <v>Normal</v>
      </c>
      <c r="AC317" t="str">
        <f t="shared" si="13"/>
        <v>Normal</v>
      </c>
    </row>
    <row r="318" spans="1:29" x14ac:dyDescent="0.25">
      <c r="A318" t="s">
        <v>31</v>
      </c>
      <c r="B318" s="2">
        <v>45760</v>
      </c>
      <c r="C318" t="s">
        <v>53</v>
      </c>
      <c r="D318" t="s">
        <v>43</v>
      </c>
      <c r="E318">
        <v>2.4</v>
      </c>
      <c r="F318">
        <v>37</v>
      </c>
      <c r="G318">
        <v>370</v>
      </c>
      <c r="H318">
        <v>295</v>
      </c>
      <c r="I318" s="11">
        <f t="shared" si="14"/>
        <v>79.729729729729726</v>
      </c>
      <c r="J318">
        <v>4</v>
      </c>
      <c r="K318" t="s">
        <v>35</v>
      </c>
      <c r="L318">
        <v>2</v>
      </c>
      <c r="M318" t="s">
        <v>35</v>
      </c>
      <c r="N318">
        <v>13</v>
      </c>
      <c r="O318">
        <v>5</v>
      </c>
      <c r="P318">
        <v>12</v>
      </c>
      <c r="Q318">
        <v>1</v>
      </c>
      <c r="R318">
        <v>1</v>
      </c>
      <c r="S318">
        <v>0</v>
      </c>
      <c r="AB318" t="str">
        <f t="shared" si="12"/>
        <v>Normal</v>
      </c>
      <c r="AC318" t="str">
        <f t="shared" si="13"/>
        <v>Normal</v>
      </c>
    </row>
    <row r="319" spans="1:29" x14ac:dyDescent="0.25">
      <c r="A319" t="s">
        <v>31</v>
      </c>
      <c r="B319" s="2">
        <v>45760</v>
      </c>
      <c r="C319" t="s">
        <v>56</v>
      </c>
      <c r="D319" t="s">
        <v>46</v>
      </c>
      <c r="E319">
        <v>2.2000000000000002</v>
      </c>
      <c r="F319">
        <v>48</v>
      </c>
      <c r="G319">
        <v>467</v>
      </c>
      <c r="H319">
        <v>367</v>
      </c>
      <c r="I319" s="11">
        <f t="shared" si="14"/>
        <v>78.586723768736618</v>
      </c>
      <c r="J319">
        <v>4</v>
      </c>
      <c r="K319" t="s">
        <v>35</v>
      </c>
      <c r="L319">
        <v>1</v>
      </c>
      <c r="M319" t="s">
        <v>36</v>
      </c>
      <c r="N319">
        <v>13</v>
      </c>
      <c r="O319">
        <v>6</v>
      </c>
      <c r="P319">
        <v>7</v>
      </c>
      <c r="Q319">
        <v>7</v>
      </c>
      <c r="R319">
        <v>0</v>
      </c>
      <c r="S319">
        <v>0</v>
      </c>
      <c r="AB319" t="str">
        <f t="shared" si="12"/>
        <v>Normal</v>
      </c>
      <c r="AC319" t="str">
        <f t="shared" si="13"/>
        <v>Normal</v>
      </c>
    </row>
    <row r="320" spans="1:29" x14ac:dyDescent="0.25">
      <c r="A320" t="s">
        <v>31</v>
      </c>
      <c r="B320" s="2">
        <v>45761</v>
      </c>
      <c r="C320" t="s">
        <v>32</v>
      </c>
      <c r="D320" t="s">
        <v>49</v>
      </c>
      <c r="E320">
        <v>1.4</v>
      </c>
      <c r="F320">
        <v>41</v>
      </c>
      <c r="G320">
        <v>373</v>
      </c>
      <c r="H320">
        <v>261</v>
      </c>
      <c r="I320" s="11">
        <f t="shared" si="14"/>
        <v>69.973190348525478</v>
      </c>
      <c r="J320">
        <v>1</v>
      </c>
      <c r="K320" t="s">
        <v>35</v>
      </c>
      <c r="L320">
        <v>1</v>
      </c>
      <c r="M320" t="s">
        <v>35</v>
      </c>
      <c r="N320">
        <v>12</v>
      </c>
      <c r="O320">
        <v>3</v>
      </c>
      <c r="P320">
        <v>11</v>
      </c>
      <c r="Q320">
        <v>6</v>
      </c>
      <c r="R320">
        <v>3</v>
      </c>
      <c r="S320">
        <v>0</v>
      </c>
      <c r="AB320" t="str">
        <f t="shared" si="12"/>
        <v>Normal</v>
      </c>
      <c r="AC320" t="str">
        <f t="shared" si="13"/>
        <v>Normal</v>
      </c>
    </row>
    <row r="321" spans="1:29" x14ac:dyDescent="0.25">
      <c r="A321" t="s">
        <v>31</v>
      </c>
      <c r="B321" s="2">
        <v>45763</v>
      </c>
      <c r="C321" t="s">
        <v>63</v>
      </c>
      <c r="D321" t="s">
        <v>46</v>
      </c>
      <c r="E321">
        <v>1.5</v>
      </c>
      <c r="F321">
        <v>59</v>
      </c>
      <c r="G321">
        <v>575</v>
      </c>
      <c r="H321">
        <v>481</v>
      </c>
      <c r="I321" s="11">
        <f t="shared" si="14"/>
        <v>83.652173913043484</v>
      </c>
      <c r="J321">
        <v>5</v>
      </c>
      <c r="K321" t="s">
        <v>35</v>
      </c>
      <c r="L321">
        <v>4</v>
      </c>
      <c r="M321" t="s">
        <v>35</v>
      </c>
      <c r="N321">
        <v>14</v>
      </c>
      <c r="O321">
        <v>7</v>
      </c>
      <c r="P321">
        <v>9</v>
      </c>
      <c r="Q321">
        <v>5</v>
      </c>
      <c r="R321">
        <v>2</v>
      </c>
      <c r="S321">
        <v>0</v>
      </c>
      <c r="AB321" t="str">
        <f t="shared" si="12"/>
        <v>Normal</v>
      </c>
      <c r="AC321" t="str">
        <f t="shared" si="13"/>
        <v>Normal</v>
      </c>
    </row>
    <row r="322" spans="1:29" x14ac:dyDescent="0.25">
      <c r="A322" t="s">
        <v>31</v>
      </c>
      <c r="B322" s="2">
        <v>45766</v>
      </c>
      <c r="C322" t="s">
        <v>41</v>
      </c>
      <c r="D322" t="s">
        <v>54</v>
      </c>
      <c r="E322">
        <v>2.1</v>
      </c>
      <c r="F322">
        <v>47</v>
      </c>
      <c r="G322">
        <v>462</v>
      </c>
      <c r="H322">
        <v>367</v>
      </c>
      <c r="I322" s="11">
        <f t="shared" si="14"/>
        <v>79.437229437229433</v>
      </c>
      <c r="J322">
        <v>4</v>
      </c>
      <c r="K322" t="s">
        <v>35</v>
      </c>
      <c r="L322">
        <v>1</v>
      </c>
      <c r="M322" t="s">
        <v>36</v>
      </c>
      <c r="N322">
        <v>16</v>
      </c>
      <c r="O322">
        <v>8</v>
      </c>
      <c r="P322">
        <v>7</v>
      </c>
      <c r="Q322">
        <v>4</v>
      </c>
      <c r="R322">
        <v>3</v>
      </c>
      <c r="S322">
        <v>0</v>
      </c>
      <c r="AB322" t="str">
        <f t="shared" ref="AB322:AB385" si="15">IF(E322 &lt; _xlfn.PERCENTILE.INC($E$2:$E$761,0),
    "Ekstrem Rendah",
    IF(E322 &gt; _xlfn.PERCENTILE.INC($E$2:$E$761,1),
        "Ekstrem Tinggi",
        "Normal"
    )
)</f>
        <v>Normal</v>
      </c>
      <c r="AC322" t="str">
        <f t="shared" ref="AC322:AC385" si="16">IF(F322 &lt; _xlfn.PERCENTILE.INC($F$2:$F$761,0.001),
    "Ekstrem Rendah",
    IF(F322 &gt; _xlfn.PERCENTILE.INC($F$2:$F$761,0.999),
        "Ekstrem Tinggi",
        "Normal"
    )
)</f>
        <v>Normal</v>
      </c>
    </row>
    <row r="323" spans="1:29" x14ac:dyDescent="0.25">
      <c r="A323" t="s">
        <v>31</v>
      </c>
      <c r="B323" s="2">
        <v>45766</v>
      </c>
      <c r="C323" t="s">
        <v>41</v>
      </c>
      <c r="D323" t="s">
        <v>55</v>
      </c>
      <c r="E323">
        <v>0.4</v>
      </c>
      <c r="F323">
        <v>29</v>
      </c>
      <c r="G323">
        <v>249</v>
      </c>
      <c r="H323">
        <v>151</v>
      </c>
      <c r="I323" s="11">
        <f t="shared" ref="I323:I386" si="17">H323/G323*100</f>
        <v>60.642570281124499</v>
      </c>
      <c r="J323">
        <v>0</v>
      </c>
      <c r="K323" t="s">
        <v>36</v>
      </c>
      <c r="L323">
        <v>0</v>
      </c>
      <c r="M323" t="s">
        <v>36</v>
      </c>
      <c r="N323">
        <v>5</v>
      </c>
      <c r="O323">
        <v>0</v>
      </c>
      <c r="P323">
        <v>13</v>
      </c>
      <c r="Q323">
        <v>5</v>
      </c>
      <c r="R323">
        <v>3</v>
      </c>
      <c r="S323">
        <v>1</v>
      </c>
      <c r="AB323" t="str">
        <f t="shared" si="15"/>
        <v>Normal</v>
      </c>
      <c r="AC323" t="str">
        <f t="shared" si="16"/>
        <v>Normal</v>
      </c>
    </row>
    <row r="324" spans="1:29" x14ac:dyDescent="0.25">
      <c r="A324" t="s">
        <v>31</v>
      </c>
      <c r="B324" s="2">
        <v>45766</v>
      </c>
      <c r="C324" t="s">
        <v>41</v>
      </c>
      <c r="D324" t="s">
        <v>44</v>
      </c>
      <c r="E324">
        <v>0.9</v>
      </c>
      <c r="F324">
        <v>33</v>
      </c>
      <c r="G324">
        <v>354</v>
      </c>
      <c r="H324">
        <v>271</v>
      </c>
      <c r="I324" s="11">
        <f t="shared" si="17"/>
        <v>76.55367231638418</v>
      </c>
      <c r="J324">
        <v>0</v>
      </c>
      <c r="K324" t="s">
        <v>40</v>
      </c>
      <c r="L324">
        <v>0</v>
      </c>
      <c r="M324" t="s">
        <v>36</v>
      </c>
      <c r="N324">
        <v>8</v>
      </c>
      <c r="O324">
        <v>3</v>
      </c>
      <c r="P324">
        <v>7</v>
      </c>
      <c r="Q324">
        <v>2</v>
      </c>
      <c r="R324">
        <v>4</v>
      </c>
      <c r="S324">
        <v>0</v>
      </c>
      <c r="AB324" t="str">
        <f t="shared" si="15"/>
        <v>Normal</v>
      </c>
      <c r="AC324" t="str">
        <f t="shared" si="16"/>
        <v>Normal</v>
      </c>
    </row>
    <row r="325" spans="1:29" x14ac:dyDescent="0.25">
      <c r="A325" t="s">
        <v>31</v>
      </c>
      <c r="B325" s="2">
        <v>45766</v>
      </c>
      <c r="C325" t="s">
        <v>41</v>
      </c>
      <c r="D325" t="s">
        <v>51</v>
      </c>
      <c r="E325">
        <v>0.9</v>
      </c>
      <c r="F325">
        <v>52</v>
      </c>
      <c r="G325">
        <v>523</v>
      </c>
      <c r="H325">
        <v>462</v>
      </c>
      <c r="I325" s="11">
        <f t="shared" si="17"/>
        <v>88.336520076481833</v>
      </c>
      <c r="J325">
        <v>1</v>
      </c>
      <c r="K325" t="s">
        <v>36</v>
      </c>
      <c r="L325">
        <v>0</v>
      </c>
      <c r="M325" t="s">
        <v>36</v>
      </c>
      <c r="N325">
        <v>12</v>
      </c>
      <c r="O325">
        <v>4</v>
      </c>
      <c r="P325">
        <v>14</v>
      </c>
      <c r="Q325">
        <v>2</v>
      </c>
      <c r="R325">
        <v>2</v>
      </c>
      <c r="S325">
        <v>0</v>
      </c>
      <c r="AB325" t="str">
        <f t="shared" si="15"/>
        <v>Normal</v>
      </c>
      <c r="AC325" t="str">
        <f t="shared" si="16"/>
        <v>Normal</v>
      </c>
    </row>
    <row r="326" spans="1:29" x14ac:dyDescent="0.25">
      <c r="A326" t="s">
        <v>31</v>
      </c>
      <c r="B326" s="2">
        <v>45766</v>
      </c>
      <c r="C326" t="s">
        <v>50</v>
      </c>
      <c r="D326" t="s">
        <v>52</v>
      </c>
      <c r="E326">
        <v>2.2000000000000002</v>
      </c>
      <c r="F326">
        <v>48</v>
      </c>
      <c r="G326">
        <v>434</v>
      </c>
      <c r="H326">
        <v>358</v>
      </c>
      <c r="I326" s="11">
        <f t="shared" si="17"/>
        <v>82.488479262672811</v>
      </c>
      <c r="J326">
        <v>4</v>
      </c>
      <c r="K326" t="s">
        <v>35</v>
      </c>
      <c r="L326">
        <v>1</v>
      </c>
      <c r="M326" t="s">
        <v>36</v>
      </c>
      <c r="N326">
        <v>23</v>
      </c>
      <c r="O326">
        <v>9</v>
      </c>
      <c r="P326">
        <v>9</v>
      </c>
      <c r="Q326">
        <v>7</v>
      </c>
      <c r="R326">
        <v>1</v>
      </c>
      <c r="S326">
        <v>0</v>
      </c>
      <c r="AB326" t="str">
        <f t="shared" si="15"/>
        <v>Normal</v>
      </c>
      <c r="AC326" t="str">
        <f t="shared" si="16"/>
        <v>Normal</v>
      </c>
    </row>
    <row r="327" spans="1:29" x14ac:dyDescent="0.25">
      <c r="A327" t="s">
        <v>31</v>
      </c>
      <c r="B327" s="2">
        <v>45767</v>
      </c>
      <c r="C327" t="s">
        <v>53</v>
      </c>
      <c r="D327" t="s">
        <v>34</v>
      </c>
      <c r="E327">
        <v>0.3</v>
      </c>
      <c r="F327">
        <v>41</v>
      </c>
      <c r="G327">
        <v>397</v>
      </c>
      <c r="H327">
        <v>310</v>
      </c>
      <c r="I327" s="11">
        <f t="shared" si="17"/>
        <v>78.085642317380348</v>
      </c>
      <c r="J327">
        <v>1</v>
      </c>
      <c r="K327" t="s">
        <v>40</v>
      </c>
      <c r="L327">
        <v>1</v>
      </c>
      <c r="M327" t="s">
        <v>35</v>
      </c>
      <c r="N327">
        <v>6</v>
      </c>
      <c r="O327">
        <v>1</v>
      </c>
      <c r="P327">
        <v>13</v>
      </c>
      <c r="Q327">
        <v>6</v>
      </c>
      <c r="R327">
        <v>1</v>
      </c>
      <c r="S327">
        <v>0</v>
      </c>
      <c r="AB327" t="str">
        <f t="shared" si="15"/>
        <v>Normal</v>
      </c>
      <c r="AC327" t="str">
        <f t="shared" si="16"/>
        <v>Normal</v>
      </c>
    </row>
    <row r="328" spans="1:29" x14ac:dyDescent="0.25">
      <c r="A328" t="s">
        <v>31</v>
      </c>
      <c r="B328" s="2">
        <v>45767</v>
      </c>
      <c r="C328" t="s">
        <v>53</v>
      </c>
      <c r="D328" t="s">
        <v>38</v>
      </c>
      <c r="E328">
        <v>0.2</v>
      </c>
      <c r="F328">
        <v>25</v>
      </c>
      <c r="G328">
        <v>268</v>
      </c>
      <c r="H328">
        <v>211</v>
      </c>
      <c r="I328" s="11">
        <f t="shared" si="17"/>
        <v>78.731343283582092</v>
      </c>
      <c r="J328">
        <v>0</v>
      </c>
      <c r="K328" t="s">
        <v>40</v>
      </c>
      <c r="L328">
        <v>0</v>
      </c>
      <c r="M328" t="s">
        <v>40</v>
      </c>
      <c r="N328">
        <v>4</v>
      </c>
      <c r="O328">
        <v>0</v>
      </c>
      <c r="P328">
        <v>10</v>
      </c>
      <c r="Q328">
        <v>0</v>
      </c>
      <c r="R328">
        <v>0</v>
      </c>
      <c r="S328">
        <v>1</v>
      </c>
      <c r="AB328" t="str">
        <f t="shared" si="15"/>
        <v>Normal</v>
      </c>
      <c r="AC328" t="str">
        <f t="shared" si="16"/>
        <v>Normal</v>
      </c>
    </row>
    <row r="329" spans="1:29" x14ac:dyDescent="0.25">
      <c r="A329" t="s">
        <v>31</v>
      </c>
      <c r="B329" s="2">
        <v>45767</v>
      </c>
      <c r="C329" t="s">
        <v>53</v>
      </c>
      <c r="D329" t="s">
        <v>33</v>
      </c>
      <c r="E329">
        <v>1.3</v>
      </c>
      <c r="F329">
        <v>59</v>
      </c>
      <c r="G329">
        <v>603</v>
      </c>
      <c r="H329">
        <v>512</v>
      </c>
      <c r="I329" s="11">
        <f t="shared" si="17"/>
        <v>84.908789386401324</v>
      </c>
      <c r="J329">
        <v>0</v>
      </c>
      <c r="K329" t="s">
        <v>40</v>
      </c>
      <c r="L329">
        <v>0</v>
      </c>
      <c r="M329" t="s">
        <v>36</v>
      </c>
      <c r="N329">
        <v>12</v>
      </c>
      <c r="O329">
        <v>2</v>
      </c>
      <c r="P329">
        <v>11</v>
      </c>
      <c r="Q329">
        <v>9</v>
      </c>
      <c r="R329">
        <v>2</v>
      </c>
      <c r="S329">
        <v>0</v>
      </c>
      <c r="AB329" t="str">
        <f t="shared" si="15"/>
        <v>Normal</v>
      </c>
      <c r="AC329" t="str">
        <f t="shared" si="16"/>
        <v>Normal</v>
      </c>
    </row>
    <row r="330" spans="1:29" x14ac:dyDescent="0.25">
      <c r="A330" t="s">
        <v>31</v>
      </c>
      <c r="B330" s="2">
        <v>45767</v>
      </c>
      <c r="C330" t="s">
        <v>56</v>
      </c>
      <c r="D330" t="s">
        <v>59</v>
      </c>
      <c r="E330">
        <v>0.3</v>
      </c>
      <c r="F330">
        <v>42</v>
      </c>
      <c r="G330">
        <v>413</v>
      </c>
      <c r="H330">
        <v>313</v>
      </c>
      <c r="I330" s="11">
        <f t="shared" si="17"/>
        <v>75.786924939467312</v>
      </c>
      <c r="J330">
        <v>0</v>
      </c>
      <c r="K330" t="s">
        <v>40</v>
      </c>
      <c r="L330">
        <v>0</v>
      </c>
      <c r="M330" t="s">
        <v>36</v>
      </c>
      <c r="N330">
        <v>5</v>
      </c>
      <c r="O330">
        <v>0</v>
      </c>
      <c r="P330">
        <v>11</v>
      </c>
      <c r="Q330">
        <v>1</v>
      </c>
      <c r="R330">
        <v>1</v>
      </c>
      <c r="S330">
        <v>0</v>
      </c>
      <c r="AB330" t="str">
        <f t="shared" si="15"/>
        <v>Normal</v>
      </c>
      <c r="AC330" t="str">
        <f t="shared" si="16"/>
        <v>Normal</v>
      </c>
    </row>
    <row r="331" spans="1:29" x14ac:dyDescent="0.25">
      <c r="A331" t="s">
        <v>31</v>
      </c>
      <c r="B331" s="2">
        <v>45768</v>
      </c>
      <c r="C331" t="s">
        <v>32</v>
      </c>
      <c r="D331" t="s">
        <v>60</v>
      </c>
      <c r="E331">
        <v>2.1</v>
      </c>
      <c r="F331">
        <v>69</v>
      </c>
      <c r="G331">
        <v>607</v>
      </c>
      <c r="H331">
        <v>508</v>
      </c>
      <c r="I331" s="11">
        <f t="shared" si="17"/>
        <v>83.690280065897866</v>
      </c>
      <c r="J331">
        <v>1</v>
      </c>
      <c r="K331" t="s">
        <v>40</v>
      </c>
      <c r="L331">
        <v>0</v>
      </c>
      <c r="M331" t="s">
        <v>40</v>
      </c>
      <c r="N331">
        <v>22</v>
      </c>
      <c r="O331">
        <v>6</v>
      </c>
      <c r="P331">
        <v>11</v>
      </c>
      <c r="Q331">
        <v>7</v>
      </c>
      <c r="R331">
        <v>1</v>
      </c>
      <c r="S331">
        <v>0</v>
      </c>
      <c r="AB331" t="str">
        <f t="shared" si="15"/>
        <v>Normal</v>
      </c>
      <c r="AC331" t="str">
        <f t="shared" si="16"/>
        <v>Normal</v>
      </c>
    </row>
    <row r="332" spans="1:29" x14ac:dyDescent="0.25">
      <c r="A332" t="s">
        <v>31</v>
      </c>
      <c r="B332" s="2">
        <v>45769</v>
      </c>
      <c r="C332" t="s">
        <v>32</v>
      </c>
      <c r="D332" t="s">
        <v>58</v>
      </c>
      <c r="E332">
        <v>1.3</v>
      </c>
      <c r="F332">
        <v>61</v>
      </c>
      <c r="G332">
        <v>536</v>
      </c>
      <c r="H332">
        <v>466</v>
      </c>
      <c r="I332" s="11">
        <f t="shared" si="17"/>
        <v>86.940298507462686</v>
      </c>
      <c r="J332">
        <v>2</v>
      </c>
      <c r="K332" t="s">
        <v>35</v>
      </c>
      <c r="L332">
        <v>1</v>
      </c>
      <c r="M332" t="s">
        <v>36</v>
      </c>
      <c r="N332">
        <v>14</v>
      </c>
      <c r="O332">
        <v>6</v>
      </c>
      <c r="P332">
        <v>9</v>
      </c>
      <c r="Q332">
        <v>10</v>
      </c>
      <c r="R332">
        <v>3</v>
      </c>
      <c r="S332">
        <v>0</v>
      </c>
      <c r="AB332" t="str">
        <f t="shared" si="15"/>
        <v>Normal</v>
      </c>
      <c r="AC332" t="str">
        <f t="shared" si="16"/>
        <v>Normal</v>
      </c>
    </row>
    <row r="333" spans="1:29" x14ac:dyDescent="0.25">
      <c r="A333" t="s">
        <v>31</v>
      </c>
      <c r="B333" s="2">
        <v>45770</v>
      </c>
      <c r="C333" t="s">
        <v>32</v>
      </c>
      <c r="D333" t="s">
        <v>42</v>
      </c>
      <c r="E333">
        <v>1.2</v>
      </c>
      <c r="F333">
        <v>67</v>
      </c>
      <c r="G333">
        <v>745</v>
      </c>
      <c r="H333">
        <v>678</v>
      </c>
      <c r="I333" s="11">
        <f t="shared" si="17"/>
        <v>91.006711409395962</v>
      </c>
      <c r="J333">
        <v>2</v>
      </c>
      <c r="K333" t="s">
        <v>36</v>
      </c>
      <c r="L333">
        <v>2</v>
      </c>
      <c r="M333" t="s">
        <v>35</v>
      </c>
      <c r="N333">
        <v>12</v>
      </c>
      <c r="O333">
        <v>6</v>
      </c>
      <c r="P333">
        <v>4</v>
      </c>
      <c r="Q333">
        <v>3</v>
      </c>
      <c r="R333">
        <v>1</v>
      </c>
      <c r="S333">
        <v>0</v>
      </c>
      <c r="AB333" t="str">
        <f t="shared" si="15"/>
        <v>Normal</v>
      </c>
      <c r="AC333" t="str">
        <f t="shared" si="16"/>
        <v>Normal</v>
      </c>
    </row>
    <row r="334" spans="1:29" x14ac:dyDescent="0.25">
      <c r="A334" t="s">
        <v>31</v>
      </c>
      <c r="B334" s="2">
        <v>45773</v>
      </c>
      <c r="C334" t="s">
        <v>37</v>
      </c>
      <c r="D334" t="s">
        <v>57</v>
      </c>
      <c r="E334">
        <v>0.8</v>
      </c>
      <c r="F334">
        <v>55</v>
      </c>
      <c r="G334">
        <v>554</v>
      </c>
      <c r="H334">
        <v>464</v>
      </c>
      <c r="I334" s="11">
        <f t="shared" si="17"/>
        <v>83.754512635379058</v>
      </c>
      <c r="J334">
        <v>1</v>
      </c>
      <c r="K334" t="s">
        <v>35</v>
      </c>
      <c r="L334">
        <v>1</v>
      </c>
      <c r="M334" t="s">
        <v>35</v>
      </c>
      <c r="N334">
        <v>10</v>
      </c>
      <c r="O334">
        <v>7</v>
      </c>
      <c r="P334">
        <v>11</v>
      </c>
      <c r="Q334">
        <v>10</v>
      </c>
      <c r="R334">
        <v>0</v>
      </c>
      <c r="S334">
        <v>0</v>
      </c>
      <c r="AB334" t="str">
        <f t="shared" si="15"/>
        <v>Normal</v>
      </c>
      <c r="AC334" t="str">
        <f t="shared" si="16"/>
        <v>Normal</v>
      </c>
    </row>
    <row r="335" spans="1:29" x14ac:dyDescent="0.25">
      <c r="A335" t="s">
        <v>31</v>
      </c>
      <c r="B335" s="2">
        <v>45773</v>
      </c>
      <c r="C335" t="s">
        <v>41</v>
      </c>
      <c r="D335" t="s">
        <v>45</v>
      </c>
      <c r="E335">
        <v>1.3</v>
      </c>
      <c r="F335">
        <v>53</v>
      </c>
      <c r="G335">
        <v>565</v>
      </c>
      <c r="H335">
        <v>466</v>
      </c>
      <c r="I335" s="11">
        <f t="shared" si="17"/>
        <v>82.477876106194685</v>
      </c>
      <c r="J335">
        <v>3</v>
      </c>
      <c r="K335" t="s">
        <v>35</v>
      </c>
      <c r="L335">
        <v>1</v>
      </c>
      <c r="M335" t="s">
        <v>35</v>
      </c>
      <c r="N335">
        <v>16</v>
      </c>
      <c r="O335">
        <v>9</v>
      </c>
      <c r="P335">
        <v>7</v>
      </c>
      <c r="Q335">
        <v>8</v>
      </c>
      <c r="R335">
        <v>1</v>
      </c>
      <c r="S335">
        <v>0</v>
      </c>
      <c r="AB335" t="str">
        <f t="shared" si="15"/>
        <v>Normal</v>
      </c>
      <c r="AC335" t="str">
        <f t="shared" si="16"/>
        <v>Normal</v>
      </c>
    </row>
    <row r="336" spans="1:29" x14ac:dyDescent="0.25">
      <c r="A336" t="s">
        <v>31</v>
      </c>
      <c r="B336" s="2">
        <v>45773</v>
      </c>
      <c r="C336" t="s">
        <v>41</v>
      </c>
      <c r="D336" t="s">
        <v>46</v>
      </c>
      <c r="E336">
        <v>2.4</v>
      </c>
      <c r="F336">
        <v>77</v>
      </c>
      <c r="G336">
        <v>698</v>
      </c>
      <c r="H336">
        <v>609</v>
      </c>
      <c r="I336" s="11">
        <f t="shared" si="17"/>
        <v>87.249283667621782</v>
      </c>
      <c r="J336">
        <v>3</v>
      </c>
      <c r="K336" t="s">
        <v>35</v>
      </c>
      <c r="L336">
        <v>1</v>
      </c>
      <c r="M336" t="s">
        <v>35</v>
      </c>
      <c r="N336">
        <v>25</v>
      </c>
      <c r="O336">
        <v>5</v>
      </c>
      <c r="P336">
        <v>9</v>
      </c>
      <c r="Q336">
        <v>11</v>
      </c>
      <c r="R336">
        <v>1</v>
      </c>
      <c r="S336">
        <v>0</v>
      </c>
      <c r="AB336" t="str">
        <f t="shared" si="15"/>
        <v>Normal</v>
      </c>
      <c r="AC336" t="str">
        <f t="shared" si="16"/>
        <v>Normal</v>
      </c>
    </row>
    <row r="337" spans="1:29" x14ac:dyDescent="0.25">
      <c r="A337" t="s">
        <v>31</v>
      </c>
      <c r="B337" s="2">
        <v>45773</v>
      </c>
      <c r="C337" t="s">
        <v>41</v>
      </c>
      <c r="D337" t="s">
        <v>47</v>
      </c>
      <c r="E337">
        <v>0.6</v>
      </c>
      <c r="F337">
        <v>35</v>
      </c>
      <c r="G337">
        <v>338</v>
      </c>
      <c r="H337">
        <v>255</v>
      </c>
      <c r="I337" s="11">
        <f t="shared" si="17"/>
        <v>75.443786982248511</v>
      </c>
      <c r="J337">
        <v>1</v>
      </c>
      <c r="K337" t="s">
        <v>40</v>
      </c>
      <c r="L337">
        <v>1</v>
      </c>
      <c r="M337" t="s">
        <v>35</v>
      </c>
      <c r="N337">
        <v>7</v>
      </c>
      <c r="O337">
        <v>3</v>
      </c>
      <c r="P337">
        <v>10</v>
      </c>
      <c r="Q337">
        <v>0</v>
      </c>
      <c r="R337">
        <v>1</v>
      </c>
      <c r="S337">
        <v>0</v>
      </c>
      <c r="AB337" t="str">
        <f t="shared" si="15"/>
        <v>Normal</v>
      </c>
      <c r="AC337" t="str">
        <f t="shared" si="16"/>
        <v>Normal</v>
      </c>
    </row>
    <row r="338" spans="1:29" x14ac:dyDescent="0.25">
      <c r="A338" t="s">
        <v>31</v>
      </c>
      <c r="B338" s="2">
        <v>45773</v>
      </c>
      <c r="C338" t="s">
        <v>41</v>
      </c>
      <c r="D338" t="s">
        <v>43</v>
      </c>
      <c r="E338">
        <v>2</v>
      </c>
      <c r="F338">
        <v>56</v>
      </c>
      <c r="G338">
        <v>651</v>
      </c>
      <c r="H338">
        <v>567</v>
      </c>
      <c r="I338" s="11">
        <f t="shared" si="17"/>
        <v>87.096774193548384</v>
      </c>
      <c r="J338">
        <v>3</v>
      </c>
      <c r="K338" t="s">
        <v>35</v>
      </c>
      <c r="L338">
        <v>1</v>
      </c>
      <c r="M338" t="s">
        <v>35</v>
      </c>
      <c r="N338">
        <v>20</v>
      </c>
      <c r="O338">
        <v>6</v>
      </c>
      <c r="P338">
        <v>7</v>
      </c>
      <c r="Q338">
        <v>4</v>
      </c>
      <c r="R338">
        <v>1</v>
      </c>
      <c r="S338">
        <v>0</v>
      </c>
      <c r="AB338" t="str">
        <f t="shared" si="15"/>
        <v>Normal</v>
      </c>
      <c r="AC338" t="str">
        <f t="shared" si="16"/>
        <v>Normal</v>
      </c>
    </row>
    <row r="339" spans="1:29" x14ac:dyDescent="0.25">
      <c r="A339" t="s">
        <v>31</v>
      </c>
      <c r="B339" s="2">
        <v>45774</v>
      </c>
      <c r="C339" t="s">
        <v>53</v>
      </c>
      <c r="D339" t="s">
        <v>49</v>
      </c>
      <c r="E339">
        <v>0.5</v>
      </c>
      <c r="F339">
        <v>39</v>
      </c>
      <c r="G339">
        <v>335</v>
      </c>
      <c r="H339">
        <v>235</v>
      </c>
      <c r="I339" s="11">
        <f t="shared" si="17"/>
        <v>70.149253731343293</v>
      </c>
      <c r="J339">
        <v>1</v>
      </c>
      <c r="K339" t="s">
        <v>36</v>
      </c>
      <c r="L339">
        <v>1</v>
      </c>
      <c r="M339" t="s">
        <v>35</v>
      </c>
      <c r="N339">
        <v>8</v>
      </c>
      <c r="O339">
        <v>1</v>
      </c>
      <c r="P339">
        <v>11</v>
      </c>
      <c r="Q339">
        <v>5</v>
      </c>
      <c r="R339">
        <v>4</v>
      </c>
      <c r="S339">
        <v>1</v>
      </c>
      <c r="AB339" t="str">
        <f t="shared" si="15"/>
        <v>Normal</v>
      </c>
      <c r="AC339" t="str">
        <f t="shared" si="16"/>
        <v>Normal</v>
      </c>
    </row>
    <row r="340" spans="1:29" x14ac:dyDescent="0.25">
      <c r="A340" t="s">
        <v>31</v>
      </c>
      <c r="B340" s="2">
        <v>45774</v>
      </c>
      <c r="C340" t="s">
        <v>56</v>
      </c>
      <c r="D340" t="s">
        <v>39</v>
      </c>
      <c r="E340">
        <v>2.2000000000000002</v>
      </c>
      <c r="F340">
        <v>61</v>
      </c>
      <c r="G340">
        <v>551</v>
      </c>
      <c r="H340">
        <v>462</v>
      </c>
      <c r="I340" s="11">
        <f t="shared" si="17"/>
        <v>83.847549909255903</v>
      </c>
      <c r="J340">
        <v>5</v>
      </c>
      <c r="K340" t="s">
        <v>35</v>
      </c>
      <c r="L340">
        <v>3</v>
      </c>
      <c r="M340" t="s">
        <v>35</v>
      </c>
      <c r="N340">
        <v>25</v>
      </c>
      <c r="O340">
        <v>8</v>
      </c>
      <c r="P340">
        <v>16</v>
      </c>
      <c r="Q340">
        <v>8</v>
      </c>
      <c r="R340">
        <v>2</v>
      </c>
      <c r="S340">
        <v>0</v>
      </c>
      <c r="AB340" t="str">
        <f t="shared" si="15"/>
        <v>Normal</v>
      </c>
      <c r="AC340" t="str">
        <f t="shared" si="16"/>
        <v>Normal</v>
      </c>
    </row>
    <row r="341" spans="1:29" x14ac:dyDescent="0.25">
      <c r="A341" t="s">
        <v>31</v>
      </c>
      <c r="B341" s="2">
        <v>45778</v>
      </c>
      <c r="C341" t="s">
        <v>63</v>
      </c>
      <c r="D341" t="s">
        <v>48</v>
      </c>
      <c r="E341">
        <v>0.9</v>
      </c>
      <c r="F341">
        <v>55</v>
      </c>
      <c r="G341">
        <v>437</v>
      </c>
      <c r="H341">
        <v>331</v>
      </c>
      <c r="I341" s="11">
        <f t="shared" si="17"/>
        <v>75.743707093821513</v>
      </c>
      <c r="J341">
        <v>0</v>
      </c>
      <c r="K341" t="s">
        <v>40</v>
      </c>
      <c r="L341">
        <v>0</v>
      </c>
      <c r="M341" t="s">
        <v>40</v>
      </c>
      <c r="N341">
        <v>14</v>
      </c>
      <c r="O341">
        <v>5</v>
      </c>
      <c r="P341">
        <v>10</v>
      </c>
      <c r="Q341">
        <v>4</v>
      </c>
      <c r="R341">
        <v>3</v>
      </c>
      <c r="S341">
        <v>0</v>
      </c>
      <c r="AB341" t="str">
        <f t="shared" si="15"/>
        <v>Normal</v>
      </c>
      <c r="AC341" t="str">
        <f t="shared" si="16"/>
        <v>Normal</v>
      </c>
    </row>
    <row r="342" spans="1:29" x14ac:dyDescent="0.25">
      <c r="A342" t="s">
        <v>31</v>
      </c>
      <c r="B342" s="2">
        <v>45779</v>
      </c>
      <c r="C342" t="s">
        <v>32</v>
      </c>
      <c r="D342" t="s">
        <v>58</v>
      </c>
      <c r="E342">
        <v>0.7</v>
      </c>
      <c r="F342">
        <v>63</v>
      </c>
      <c r="G342">
        <v>724</v>
      </c>
      <c r="H342">
        <v>645</v>
      </c>
      <c r="I342" s="11">
        <f t="shared" si="17"/>
        <v>89.088397790055254</v>
      </c>
      <c r="J342">
        <v>1</v>
      </c>
      <c r="K342" t="s">
        <v>35</v>
      </c>
      <c r="L342">
        <v>1</v>
      </c>
      <c r="M342" t="s">
        <v>35</v>
      </c>
      <c r="N342">
        <v>9</v>
      </c>
      <c r="O342">
        <v>2</v>
      </c>
      <c r="P342">
        <v>7</v>
      </c>
      <c r="Q342">
        <v>4</v>
      </c>
      <c r="R342">
        <v>0</v>
      </c>
      <c r="S342">
        <v>0</v>
      </c>
      <c r="AB342" t="str">
        <f t="shared" si="15"/>
        <v>Normal</v>
      </c>
      <c r="AC342" t="str">
        <f t="shared" si="16"/>
        <v>Normal</v>
      </c>
    </row>
    <row r="343" spans="1:29" x14ac:dyDescent="0.25">
      <c r="A343" t="s">
        <v>31</v>
      </c>
      <c r="B343" s="2">
        <v>45780</v>
      </c>
      <c r="C343" t="s">
        <v>37</v>
      </c>
      <c r="D343" t="s">
        <v>52</v>
      </c>
      <c r="E343">
        <v>1</v>
      </c>
      <c r="F343">
        <v>52</v>
      </c>
      <c r="G343">
        <v>470</v>
      </c>
      <c r="H343">
        <v>402</v>
      </c>
      <c r="I343" s="11">
        <f t="shared" si="17"/>
        <v>85.531914893617028</v>
      </c>
      <c r="J343">
        <v>1</v>
      </c>
      <c r="K343" t="s">
        <v>35</v>
      </c>
      <c r="L343">
        <v>1</v>
      </c>
      <c r="M343" t="s">
        <v>35</v>
      </c>
      <c r="N343">
        <v>10</v>
      </c>
      <c r="O343">
        <v>3</v>
      </c>
      <c r="P343">
        <v>6</v>
      </c>
      <c r="Q343">
        <v>5</v>
      </c>
      <c r="R343">
        <v>0</v>
      </c>
      <c r="S343">
        <v>0</v>
      </c>
      <c r="AB343" t="str">
        <f t="shared" si="15"/>
        <v>Normal</v>
      </c>
      <c r="AC343" t="str">
        <f t="shared" si="16"/>
        <v>Normal</v>
      </c>
    </row>
    <row r="344" spans="1:29" x14ac:dyDescent="0.25">
      <c r="A344" t="s">
        <v>31</v>
      </c>
      <c r="B344" s="2">
        <v>45780</v>
      </c>
      <c r="C344" t="s">
        <v>41</v>
      </c>
      <c r="D344" t="s">
        <v>44</v>
      </c>
      <c r="E344">
        <v>0.6</v>
      </c>
      <c r="F344">
        <v>58</v>
      </c>
      <c r="G344">
        <v>536</v>
      </c>
      <c r="H344">
        <v>448</v>
      </c>
      <c r="I344" s="11">
        <f t="shared" si="17"/>
        <v>83.582089552238799</v>
      </c>
      <c r="J344">
        <v>2</v>
      </c>
      <c r="K344" t="s">
        <v>36</v>
      </c>
      <c r="L344">
        <v>2</v>
      </c>
      <c r="M344" t="s">
        <v>35</v>
      </c>
      <c r="N344">
        <v>8</v>
      </c>
      <c r="O344">
        <v>3</v>
      </c>
      <c r="P344">
        <v>12</v>
      </c>
      <c r="Q344">
        <v>3</v>
      </c>
      <c r="R344">
        <v>4</v>
      </c>
      <c r="S344">
        <v>0</v>
      </c>
      <c r="AB344" t="str">
        <f t="shared" si="15"/>
        <v>Normal</v>
      </c>
      <c r="AC344" t="str">
        <f t="shared" si="16"/>
        <v>Normal</v>
      </c>
    </row>
    <row r="345" spans="1:29" x14ac:dyDescent="0.25">
      <c r="A345" t="s">
        <v>31</v>
      </c>
      <c r="B345" s="2">
        <v>45780</v>
      </c>
      <c r="C345" t="s">
        <v>41</v>
      </c>
      <c r="D345" t="s">
        <v>59</v>
      </c>
      <c r="E345">
        <v>1.4</v>
      </c>
      <c r="F345">
        <v>49</v>
      </c>
      <c r="G345">
        <v>480</v>
      </c>
      <c r="H345">
        <v>417</v>
      </c>
      <c r="I345" s="11">
        <f t="shared" si="17"/>
        <v>86.875</v>
      </c>
      <c r="J345">
        <v>2</v>
      </c>
      <c r="K345" t="s">
        <v>35</v>
      </c>
      <c r="L345">
        <v>2</v>
      </c>
      <c r="M345" t="s">
        <v>35</v>
      </c>
      <c r="N345">
        <v>14</v>
      </c>
      <c r="O345">
        <v>4</v>
      </c>
      <c r="P345">
        <v>12</v>
      </c>
      <c r="Q345">
        <v>7</v>
      </c>
      <c r="R345">
        <v>1</v>
      </c>
      <c r="S345">
        <v>0</v>
      </c>
      <c r="AB345" t="str">
        <f t="shared" si="15"/>
        <v>Normal</v>
      </c>
      <c r="AC345" t="str">
        <f t="shared" si="16"/>
        <v>Normal</v>
      </c>
    </row>
    <row r="346" spans="1:29" x14ac:dyDescent="0.25">
      <c r="A346" t="s">
        <v>31</v>
      </c>
      <c r="B346" s="2">
        <v>45780</v>
      </c>
      <c r="C346" t="s">
        <v>50</v>
      </c>
      <c r="D346" t="s">
        <v>42</v>
      </c>
      <c r="E346">
        <v>1.4</v>
      </c>
      <c r="F346">
        <v>51</v>
      </c>
      <c r="G346">
        <v>457</v>
      </c>
      <c r="H346">
        <v>380</v>
      </c>
      <c r="I346" s="11">
        <f t="shared" si="17"/>
        <v>83.150984682713343</v>
      </c>
      <c r="J346">
        <v>1</v>
      </c>
      <c r="K346" t="s">
        <v>40</v>
      </c>
      <c r="L346">
        <v>1</v>
      </c>
      <c r="M346" t="s">
        <v>35</v>
      </c>
      <c r="N346">
        <v>13</v>
      </c>
      <c r="O346">
        <v>4</v>
      </c>
      <c r="P346">
        <v>7</v>
      </c>
      <c r="Q346">
        <v>2</v>
      </c>
      <c r="R346">
        <v>0</v>
      </c>
      <c r="S346">
        <v>0</v>
      </c>
      <c r="AB346" t="str">
        <f t="shared" si="15"/>
        <v>Normal</v>
      </c>
      <c r="AC346" t="str">
        <f t="shared" si="16"/>
        <v>Normal</v>
      </c>
    </row>
    <row r="347" spans="1:29" x14ac:dyDescent="0.25">
      <c r="A347" t="s">
        <v>31</v>
      </c>
      <c r="B347" s="2">
        <v>45781</v>
      </c>
      <c r="C347" t="s">
        <v>53</v>
      </c>
      <c r="D347" t="s">
        <v>54</v>
      </c>
      <c r="E347">
        <v>2.8</v>
      </c>
      <c r="F347">
        <v>47</v>
      </c>
      <c r="G347">
        <v>455</v>
      </c>
      <c r="H347">
        <v>349</v>
      </c>
      <c r="I347" s="11">
        <f t="shared" si="17"/>
        <v>76.703296703296715</v>
      </c>
      <c r="J347">
        <v>4</v>
      </c>
      <c r="K347" t="s">
        <v>35</v>
      </c>
      <c r="L347">
        <v>2</v>
      </c>
      <c r="M347" t="s">
        <v>35</v>
      </c>
      <c r="N347">
        <v>12</v>
      </c>
      <c r="O347">
        <v>6</v>
      </c>
      <c r="P347">
        <v>8</v>
      </c>
      <c r="Q347">
        <v>7</v>
      </c>
      <c r="R347">
        <v>0</v>
      </c>
      <c r="S347">
        <v>0</v>
      </c>
      <c r="AB347" t="str">
        <f t="shared" si="15"/>
        <v>Normal</v>
      </c>
      <c r="AC347" t="str">
        <f t="shared" si="16"/>
        <v>Normal</v>
      </c>
    </row>
    <row r="348" spans="1:29" x14ac:dyDescent="0.25">
      <c r="A348" t="s">
        <v>31</v>
      </c>
      <c r="B348" s="2">
        <v>45781</v>
      </c>
      <c r="C348" t="s">
        <v>53</v>
      </c>
      <c r="D348" t="s">
        <v>45</v>
      </c>
      <c r="E348">
        <v>0.7</v>
      </c>
      <c r="F348">
        <v>45</v>
      </c>
      <c r="G348">
        <v>408</v>
      </c>
      <c r="H348">
        <v>313</v>
      </c>
      <c r="I348" s="11">
        <f t="shared" si="17"/>
        <v>76.715686274509807</v>
      </c>
      <c r="J348">
        <v>1</v>
      </c>
      <c r="K348" t="s">
        <v>36</v>
      </c>
      <c r="L348">
        <v>1</v>
      </c>
      <c r="M348" t="s">
        <v>35</v>
      </c>
      <c r="N348">
        <v>5</v>
      </c>
      <c r="O348">
        <v>2</v>
      </c>
      <c r="P348">
        <v>15</v>
      </c>
      <c r="Q348">
        <v>1</v>
      </c>
      <c r="R348">
        <v>2</v>
      </c>
      <c r="S348">
        <v>0</v>
      </c>
      <c r="AB348" t="str">
        <f t="shared" si="15"/>
        <v>Normal</v>
      </c>
      <c r="AC348" t="str">
        <f t="shared" si="16"/>
        <v>Normal</v>
      </c>
    </row>
    <row r="349" spans="1:29" x14ac:dyDescent="0.25">
      <c r="A349" t="s">
        <v>31</v>
      </c>
      <c r="B349" s="2">
        <v>45781</v>
      </c>
      <c r="C349" t="s">
        <v>53</v>
      </c>
      <c r="D349" t="s">
        <v>51</v>
      </c>
      <c r="E349">
        <v>0.8</v>
      </c>
      <c r="F349">
        <v>55</v>
      </c>
      <c r="G349">
        <v>497</v>
      </c>
      <c r="H349">
        <v>361</v>
      </c>
      <c r="I349" s="11">
        <f t="shared" si="17"/>
        <v>72.635814889336018</v>
      </c>
      <c r="J349">
        <v>1</v>
      </c>
      <c r="K349" t="s">
        <v>36</v>
      </c>
      <c r="L349">
        <v>1</v>
      </c>
      <c r="M349" t="s">
        <v>36</v>
      </c>
      <c r="N349">
        <v>11</v>
      </c>
      <c r="O349">
        <v>2</v>
      </c>
      <c r="P349">
        <v>18</v>
      </c>
      <c r="Q349">
        <v>1</v>
      </c>
      <c r="R349">
        <v>2</v>
      </c>
      <c r="S349">
        <v>0</v>
      </c>
      <c r="AB349" t="str">
        <f t="shared" si="15"/>
        <v>Normal</v>
      </c>
      <c r="AC349" t="str">
        <f t="shared" si="16"/>
        <v>Normal</v>
      </c>
    </row>
    <row r="350" spans="1:29" x14ac:dyDescent="0.25">
      <c r="A350" t="s">
        <v>31</v>
      </c>
      <c r="B350" s="2">
        <v>45781</v>
      </c>
      <c r="C350" t="s">
        <v>56</v>
      </c>
      <c r="D350" t="s">
        <v>57</v>
      </c>
      <c r="E350">
        <v>3.1</v>
      </c>
      <c r="F350">
        <v>36</v>
      </c>
      <c r="G350">
        <v>386</v>
      </c>
      <c r="H350">
        <v>319</v>
      </c>
      <c r="I350" s="11">
        <f t="shared" si="17"/>
        <v>82.642487046632127</v>
      </c>
      <c r="J350">
        <v>3</v>
      </c>
      <c r="K350" t="s">
        <v>35</v>
      </c>
      <c r="L350">
        <v>1</v>
      </c>
      <c r="M350" t="s">
        <v>35</v>
      </c>
      <c r="N350">
        <v>17</v>
      </c>
      <c r="O350">
        <v>7</v>
      </c>
      <c r="P350">
        <v>10</v>
      </c>
      <c r="Q350">
        <v>3</v>
      </c>
      <c r="R350">
        <v>2</v>
      </c>
      <c r="S350">
        <v>0</v>
      </c>
      <c r="AB350" t="str">
        <f t="shared" si="15"/>
        <v>Normal</v>
      </c>
      <c r="AC350" t="str">
        <f t="shared" si="16"/>
        <v>Normal</v>
      </c>
    </row>
    <row r="351" spans="1:29" x14ac:dyDescent="0.25">
      <c r="A351" t="s">
        <v>31</v>
      </c>
      <c r="B351" s="2">
        <v>45782</v>
      </c>
      <c r="C351" t="s">
        <v>32</v>
      </c>
      <c r="D351" t="s">
        <v>55</v>
      </c>
      <c r="E351">
        <v>2.2999999999999998</v>
      </c>
      <c r="F351">
        <v>50</v>
      </c>
      <c r="G351">
        <v>441</v>
      </c>
      <c r="H351">
        <v>311</v>
      </c>
      <c r="I351" s="11">
        <f t="shared" si="17"/>
        <v>70.521541950113374</v>
      </c>
      <c r="J351">
        <v>1</v>
      </c>
      <c r="K351" t="s">
        <v>36</v>
      </c>
      <c r="L351">
        <v>0</v>
      </c>
      <c r="M351" t="s">
        <v>36</v>
      </c>
      <c r="N351">
        <v>20</v>
      </c>
      <c r="O351">
        <v>3</v>
      </c>
      <c r="P351">
        <v>9</v>
      </c>
      <c r="Q351">
        <v>7</v>
      </c>
      <c r="R351">
        <v>3</v>
      </c>
      <c r="S351">
        <v>0</v>
      </c>
      <c r="AB351" t="str">
        <f t="shared" si="15"/>
        <v>Normal</v>
      </c>
      <c r="AC351" t="str">
        <f t="shared" si="16"/>
        <v>Normal</v>
      </c>
    </row>
    <row r="352" spans="1:29" x14ac:dyDescent="0.25">
      <c r="A352" t="s">
        <v>31</v>
      </c>
      <c r="B352" s="2">
        <v>45787</v>
      </c>
      <c r="C352" t="s">
        <v>41</v>
      </c>
      <c r="D352" t="s">
        <v>34</v>
      </c>
      <c r="E352">
        <v>0.8</v>
      </c>
      <c r="F352">
        <v>64</v>
      </c>
      <c r="G352">
        <v>607</v>
      </c>
      <c r="H352">
        <v>508</v>
      </c>
      <c r="I352" s="11">
        <f t="shared" si="17"/>
        <v>83.690280065897866</v>
      </c>
      <c r="J352">
        <v>1</v>
      </c>
      <c r="K352" t="s">
        <v>40</v>
      </c>
      <c r="L352">
        <v>1</v>
      </c>
      <c r="M352" t="s">
        <v>36</v>
      </c>
      <c r="N352">
        <v>18</v>
      </c>
      <c r="O352">
        <v>6</v>
      </c>
      <c r="P352">
        <v>15</v>
      </c>
      <c r="Q352">
        <v>5</v>
      </c>
      <c r="R352">
        <v>1</v>
      </c>
      <c r="S352">
        <v>0</v>
      </c>
      <c r="AB352" t="str">
        <f t="shared" si="15"/>
        <v>Normal</v>
      </c>
      <c r="AC352" t="str">
        <f t="shared" si="16"/>
        <v>Normal</v>
      </c>
    </row>
    <row r="353" spans="1:29" x14ac:dyDescent="0.25">
      <c r="A353" t="s">
        <v>31</v>
      </c>
      <c r="B353" s="2">
        <v>45787</v>
      </c>
      <c r="C353" t="s">
        <v>41</v>
      </c>
      <c r="D353" t="s">
        <v>38</v>
      </c>
      <c r="E353">
        <v>0.9</v>
      </c>
      <c r="F353">
        <v>49</v>
      </c>
      <c r="G353">
        <v>404</v>
      </c>
      <c r="H353">
        <v>323</v>
      </c>
      <c r="I353" s="11">
        <f t="shared" si="17"/>
        <v>79.950495049504951</v>
      </c>
      <c r="J353">
        <v>0</v>
      </c>
      <c r="K353" t="s">
        <v>40</v>
      </c>
      <c r="L353">
        <v>0</v>
      </c>
      <c r="M353" t="s">
        <v>40</v>
      </c>
      <c r="N353">
        <v>11</v>
      </c>
      <c r="O353">
        <v>4</v>
      </c>
      <c r="P353">
        <v>6</v>
      </c>
      <c r="Q353">
        <v>5</v>
      </c>
      <c r="R353">
        <v>2</v>
      </c>
      <c r="S353">
        <v>0</v>
      </c>
      <c r="AB353" t="str">
        <f t="shared" si="15"/>
        <v>Normal</v>
      </c>
      <c r="AC353" t="str">
        <f t="shared" si="16"/>
        <v>Normal</v>
      </c>
    </row>
    <row r="354" spans="1:29" x14ac:dyDescent="0.25">
      <c r="A354" t="s">
        <v>31</v>
      </c>
      <c r="B354" s="2">
        <v>45787</v>
      </c>
      <c r="C354" t="s">
        <v>41</v>
      </c>
      <c r="D354" t="s">
        <v>47</v>
      </c>
      <c r="E354">
        <v>0.1</v>
      </c>
      <c r="F354">
        <v>28</v>
      </c>
      <c r="G354">
        <v>279</v>
      </c>
      <c r="H354">
        <v>208</v>
      </c>
      <c r="I354" s="11">
        <f t="shared" si="17"/>
        <v>74.551971326164875</v>
      </c>
      <c r="J354">
        <v>0</v>
      </c>
      <c r="K354" t="s">
        <v>36</v>
      </c>
      <c r="L354">
        <v>0</v>
      </c>
      <c r="M354" t="s">
        <v>36</v>
      </c>
      <c r="N354">
        <v>2</v>
      </c>
      <c r="O354">
        <v>0</v>
      </c>
      <c r="P354">
        <v>9</v>
      </c>
      <c r="Q354">
        <v>1</v>
      </c>
      <c r="R354">
        <v>2</v>
      </c>
      <c r="S354">
        <v>0</v>
      </c>
      <c r="AB354" t="str">
        <f t="shared" si="15"/>
        <v>Normal</v>
      </c>
      <c r="AC354" t="str">
        <f t="shared" si="16"/>
        <v>Normal</v>
      </c>
    </row>
    <row r="355" spans="1:29" x14ac:dyDescent="0.25">
      <c r="A355" t="s">
        <v>31</v>
      </c>
      <c r="B355" s="2">
        <v>45787</v>
      </c>
      <c r="C355" t="s">
        <v>41</v>
      </c>
      <c r="D355" t="s">
        <v>43</v>
      </c>
      <c r="E355">
        <v>0.9</v>
      </c>
      <c r="F355">
        <v>56</v>
      </c>
      <c r="G355">
        <v>580</v>
      </c>
      <c r="H355">
        <v>488</v>
      </c>
      <c r="I355" s="11">
        <f t="shared" si="17"/>
        <v>84.137931034482762</v>
      </c>
      <c r="J355">
        <v>0</v>
      </c>
      <c r="K355" t="s">
        <v>40</v>
      </c>
      <c r="L355">
        <v>0</v>
      </c>
      <c r="M355" t="s">
        <v>40</v>
      </c>
      <c r="N355">
        <v>10</v>
      </c>
      <c r="O355">
        <v>3</v>
      </c>
      <c r="P355">
        <v>8</v>
      </c>
      <c r="Q355">
        <v>7</v>
      </c>
      <c r="R355">
        <v>1</v>
      </c>
      <c r="S355">
        <v>0</v>
      </c>
      <c r="AB355" t="str">
        <f t="shared" si="15"/>
        <v>Normal</v>
      </c>
      <c r="AC355" t="str">
        <f t="shared" si="16"/>
        <v>Normal</v>
      </c>
    </row>
    <row r="356" spans="1:29" x14ac:dyDescent="0.25">
      <c r="A356" t="s">
        <v>31</v>
      </c>
      <c r="B356" s="2">
        <v>45787</v>
      </c>
      <c r="C356" t="s">
        <v>50</v>
      </c>
      <c r="D356" t="s">
        <v>49</v>
      </c>
      <c r="E356">
        <v>0.8</v>
      </c>
      <c r="F356">
        <v>66</v>
      </c>
      <c r="G356">
        <v>541</v>
      </c>
      <c r="H356">
        <v>444</v>
      </c>
      <c r="I356" s="11">
        <f t="shared" si="17"/>
        <v>82.070240295748604</v>
      </c>
      <c r="J356">
        <v>0</v>
      </c>
      <c r="K356" t="s">
        <v>40</v>
      </c>
      <c r="L356">
        <v>0</v>
      </c>
      <c r="M356" t="s">
        <v>40</v>
      </c>
      <c r="N356">
        <v>10</v>
      </c>
      <c r="O356">
        <v>4</v>
      </c>
      <c r="P356">
        <v>19</v>
      </c>
      <c r="Q356">
        <v>10</v>
      </c>
      <c r="R356">
        <v>4</v>
      </c>
      <c r="S356">
        <v>0</v>
      </c>
      <c r="AB356" t="str">
        <f t="shared" si="15"/>
        <v>Normal</v>
      </c>
      <c r="AC356" t="str">
        <f t="shared" si="16"/>
        <v>Normal</v>
      </c>
    </row>
    <row r="357" spans="1:29" x14ac:dyDescent="0.25">
      <c r="A357" t="s">
        <v>31</v>
      </c>
      <c r="B357" s="2">
        <v>45788</v>
      </c>
      <c r="C357" t="s">
        <v>69</v>
      </c>
      <c r="D357" t="s">
        <v>46</v>
      </c>
      <c r="E357">
        <v>1.6</v>
      </c>
      <c r="F357">
        <v>45</v>
      </c>
      <c r="G357">
        <v>447</v>
      </c>
      <c r="H357">
        <v>375</v>
      </c>
      <c r="I357" s="11">
        <f t="shared" si="17"/>
        <v>83.892617449664428</v>
      </c>
      <c r="J357">
        <v>2</v>
      </c>
      <c r="K357" t="s">
        <v>35</v>
      </c>
      <c r="L357">
        <v>1</v>
      </c>
      <c r="M357" t="s">
        <v>35</v>
      </c>
      <c r="N357">
        <v>15</v>
      </c>
      <c r="O357">
        <v>6</v>
      </c>
      <c r="P357">
        <v>9</v>
      </c>
      <c r="Q357">
        <v>2</v>
      </c>
      <c r="R357">
        <v>4</v>
      </c>
      <c r="S357">
        <v>0</v>
      </c>
      <c r="AB357" t="str">
        <f t="shared" si="15"/>
        <v>Normal</v>
      </c>
      <c r="AC357" t="str">
        <f t="shared" si="16"/>
        <v>Normal</v>
      </c>
    </row>
    <row r="358" spans="1:29" x14ac:dyDescent="0.25">
      <c r="A358" t="s">
        <v>31</v>
      </c>
      <c r="B358" s="2">
        <v>45788</v>
      </c>
      <c r="C358" t="s">
        <v>70</v>
      </c>
      <c r="D358" t="s">
        <v>33</v>
      </c>
      <c r="E358">
        <v>2.1</v>
      </c>
      <c r="F358">
        <v>52</v>
      </c>
      <c r="G358">
        <v>553</v>
      </c>
      <c r="H358">
        <v>481</v>
      </c>
      <c r="I358" s="11">
        <f t="shared" si="17"/>
        <v>86.980108499095849</v>
      </c>
      <c r="J358">
        <v>0</v>
      </c>
      <c r="K358" t="s">
        <v>40</v>
      </c>
      <c r="L358">
        <v>0</v>
      </c>
      <c r="M358" t="s">
        <v>40</v>
      </c>
      <c r="N358">
        <v>20</v>
      </c>
      <c r="O358">
        <v>5</v>
      </c>
      <c r="P358">
        <v>3</v>
      </c>
      <c r="Q358">
        <v>8</v>
      </c>
      <c r="R358">
        <v>0</v>
      </c>
      <c r="S358">
        <v>0</v>
      </c>
      <c r="AB358" t="str">
        <f t="shared" si="15"/>
        <v>Normal</v>
      </c>
      <c r="AC358" t="str">
        <f t="shared" si="16"/>
        <v>Normal</v>
      </c>
    </row>
    <row r="359" spans="1:29" x14ac:dyDescent="0.25">
      <c r="A359" t="s">
        <v>31</v>
      </c>
      <c r="B359" s="2">
        <v>45788</v>
      </c>
      <c r="C359" t="s">
        <v>70</v>
      </c>
      <c r="D359" t="s">
        <v>48</v>
      </c>
      <c r="E359">
        <v>1.3</v>
      </c>
      <c r="F359">
        <v>55</v>
      </c>
      <c r="G359">
        <v>478</v>
      </c>
      <c r="H359">
        <v>389</v>
      </c>
      <c r="I359" s="11">
        <f t="shared" si="17"/>
        <v>81.380753138075306</v>
      </c>
      <c r="J359">
        <v>2</v>
      </c>
      <c r="K359" t="s">
        <v>36</v>
      </c>
      <c r="L359">
        <v>1</v>
      </c>
      <c r="M359" t="s">
        <v>36</v>
      </c>
      <c r="N359">
        <v>15</v>
      </c>
      <c r="O359">
        <v>4</v>
      </c>
      <c r="P359">
        <v>11</v>
      </c>
      <c r="Q359">
        <v>4</v>
      </c>
      <c r="R359">
        <v>3</v>
      </c>
      <c r="S359">
        <v>0</v>
      </c>
      <c r="AB359" t="str">
        <f t="shared" si="15"/>
        <v>Normal</v>
      </c>
      <c r="AC359" t="str">
        <f t="shared" si="16"/>
        <v>Normal</v>
      </c>
    </row>
    <row r="360" spans="1:29" x14ac:dyDescent="0.25">
      <c r="A360" t="s">
        <v>31</v>
      </c>
      <c r="B360" s="2">
        <v>45788</v>
      </c>
      <c r="C360" t="s">
        <v>70</v>
      </c>
      <c r="D360" t="s">
        <v>60</v>
      </c>
      <c r="E360">
        <v>0.7</v>
      </c>
      <c r="F360">
        <v>48</v>
      </c>
      <c r="G360">
        <v>412</v>
      </c>
      <c r="H360">
        <v>313</v>
      </c>
      <c r="I360" s="11">
        <f t="shared" si="17"/>
        <v>75.970873786407765</v>
      </c>
      <c r="J360">
        <v>0</v>
      </c>
      <c r="K360" t="s">
        <v>40</v>
      </c>
      <c r="L360">
        <v>0</v>
      </c>
      <c r="M360" t="s">
        <v>40</v>
      </c>
      <c r="N360">
        <v>8</v>
      </c>
      <c r="O360">
        <v>1</v>
      </c>
      <c r="P360">
        <v>12</v>
      </c>
      <c r="Q360">
        <v>4</v>
      </c>
      <c r="R360">
        <v>1</v>
      </c>
      <c r="S360">
        <v>0</v>
      </c>
      <c r="AB360" t="str">
        <f t="shared" si="15"/>
        <v>Normal</v>
      </c>
      <c r="AC360" t="str">
        <f t="shared" si="16"/>
        <v>Normal</v>
      </c>
    </row>
    <row r="361" spans="1:29" x14ac:dyDescent="0.25">
      <c r="A361" t="s">
        <v>31</v>
      </c>
      <c r="B361" s="2">
        <v>45788</v>
      </c>
      <c r="C361" t="s">
        <v>56</v>
      </c>
      <c r="D361" t="s">
        <v>39</v>
      </c>
      <c r="E361">
        <v>2.4</v>
      </c>
      <c r="F361">
        <v>45</v>
      </c>
      <c r="G361">
        <v>390</v>
      </c>
      <c r="H361">
        <v>313</v>
      </c>
      <c r="I361" s="11">
        <f t="shared" si="17"/>
        <v>80.256410256410263</v>
      </c>
      <c r="J361">
        <v>2</v>
      </c>
      <c r="K361" t="s">
        <v>36</v>
      </c>
      <c r="L361">
        <v>2</v>
      </c>
      <c r="M361" t="s">
        <v>35</v>
      </c>
      <c r="N361">
        <v>14</v>
      </c>
      <c r="O361">
        <v>5</v>
      </c>
      <c r="P361">
        <v>13</v>
      </c>
      <c r="Q361">
        <v>3</v>
      </c>
      <c r="R361">
        <v>1</v>
      </c>
      <c r="S361">
        <v>0</v>
      </c>
      <c r="AB361" t="str">
        <f t="shared" si="15"/>
        <v>Normal</v>
      </c>
      <c r="AC361" t="str">
        <f t="shared" si="16"/>
        <v>Normal</v>
      </c>
    </row>
    <row r="362" spans="1:29" x14ac:dyDescent="0.25">
      <c r="A362" t="s">
        <v>31</v>
      </c>
      <c r="B362" s="2">
        <v>45793</v>
      </c>
      <c r="C362" t="s">
        <v>63</v>
      </c>
      <c r="D362" t="s">
        <v>52</v>
      </c>
      <c r="E362">
        <v>1.4</v>
      </c>
      <c r="F362">
        <v>67</v>
      </c>
      <c r="G362">
        <v>626</v>
      </c>
      <c r="H362">
        <v>542</v>
      </c>
      <c r="I362" s="11">
        <f t="shared" si="17"/>
        <v>86.581469648562305</v>
      </c>
      <c r="J362">
        <v>2</v>
      </c>
      <c r="K362" t="s">
        <v>35</v>
      </c>
      <c r="L362">
        <v>0</v>
      </c>
      <c r="M362" t="s">
        <v>36</v>
      </c>
      <c r="N362">
        <v>18</v>
      </c>
      <c r="O362">
        <v>7</v>
      </c>
      <c r="P362">
        <v>5</v>
      </c>
      <c r="Q362">
        <v>9</v>
      </c>
      <c r="R362">
        <v>1</v>
      </c>
      <c r="S362">
        <v>0</v>
      </c>
      <c r="AB362" t="str">
        <f t="shared" si="15"/>
        <v>Normal</v>
      </c>
      <c r="AC362" t="str">
        <f t="shared" si="16"/>
        <v>Normal</v>
      </c>
    </row>
    <row r="363" spans="1:29" x14ac:dyDescent="0.25">
      <c r="A363" t="s">
        <v>31</v>
      </c>
      <c r="B363" s="2">
        <v>45793</v>
      </c>
      <c r="C363" t="s">
        <v>64</v>
      </c>
      <c r="D363" t="s">
        <v>57</v>
      </c>
      <c r="E363">
        <v>0.8</v>
      </c>
      <c r="F363">
        <v>47</v>
      </c>
      <c r="G363">
        <v>441</v>
      </c>
      <c r="H363">
        <v>346</v>
      </c>
      <c r="I363" s="11">
        <f t="shared" si="17"/>
        <v>78.458049886621311</v>
      </c>
      <c r="J363">
        <v>1</v>
      </c>
      <c r="K363" t="s">
        <v>35</v>
      </c>
      <c r="L363">
        <v>0</v>
      </c>
      <c r="M363" t="s">
        <v>36</v>
      </c>
      <c r="N363">
        <v>11</v>
      </c>
      <c r="O363">
        <v>3</v>
      </c>
      <c r="P363">
        <v>10</v>
      </c>
      <c r="Q363">
        <v>7</v>
      </c>
      <c r="R363">
        <v>1</v>
      </c>
      <c r="S363">
        <v>0</v>
      </c>
      <c r="AB363" t="str">
        <f t="shared" si="15"/>
        <v>Normal</v>
      </c>
      <c r="AC363" t="str">
        <f t="shared" si="16"/>
        <v>Normal</v>
      </c>
    </row>
    <row r="364" spans="1:29" x14ac:dyDescent="0.25">
      <c r="A364" t="s">
        <v>31</v>
      </c>
      <c r="B364" s="2">
        <v>45795</v>
      </c>
      <c r="C364" t="s">
        <v>69</v>
      </c>
      <c r="D364" t="s">
        <v>44</v>
      </c>
      <c r="E364">
        <v>2.7</v>
      </c>
      <c r="F364">
        <v>50</v>
      </c>
      <c r="G364">
        <v>541</v>
      </c>
      <c r="H364">
        <v>458</v>
      </c>
      <c r="I364" s="11">
        <f t="shared" si="17"/>
        <v>84.65804066543437</v>
      </c>
      <c r="J364">
        <v>2</v>
      </c>
      <c r="K364" t="s">
        <v>35</v>
      </c>
      <c r="L364">
        <v>2</v>
      </c>
      <c r="M364" t="s">
        <v>35</v>
      </c>
      <c r="N364">
        <v>13</v>
      </c>
      <c r="O364">
        <v>5</v>
      </c>
      <c r="P364">
        <v>6</v>
      </c>
      <c r="Q364">
        <v>4</v>
      </c>
      <c r="R364">
        <v>1</v>
      </c>
      <c r="S364">
        <v>0</v>
      </c>
      <c r="AB364" t="str">
        <f t="shared" si="15"/>
        <v>Normal</v>
      </c>
      <c r="AC364" t="str">
        <f t="shared" si="16"/>
        <v>Normal</v>
      </c>
    </row>
    <row r="365" spans="1:29" x14ac:dyDescent="0.25">
      <c r="A365" t="s">
        <v>31</v>
      </c>
      <c r="B365" s="2">
        <v>45795</v>
      </c>
      <c r="C365" t="s">
        <v>70</v>
      </c>
      <c r="D365" t="s">
        <v>51</v>
      </c>
      <c r="E365">
        <v>1.1000000000000001</v>
      </c>
      <c r="F365">
        <v>60</v>
      </c>
      <c r="G365">
        <v>554</v>
      </c>
      <c r="H365">
        <v>465</v>
      </c>
      <c r="I365" s="11">
        <f t="shared" si="17"/>
        <v>83.935018050541515</v>
      </c>
      <c r="J365">
        <v>1</v>
      </c>
      <c r="K365" t="s">
        <v>40</v>
      </c>
      <c r="L365">
        <v>0</v>
      </c>
      <c r="M365" t="s">
        <v>40</v>
      </c>
      <c r="N365">
        <v>16</v>
      </c>
      <c r="O365">
        <v>5</v>
      </c>
      <c r="P365">
        <v>14</v>
      </c>
      <c r="Q365">
        <v>8</v>
      </c>
      <c r="R365">
        <v>6</v>
      </c>
      <c r="S365">
        <v>0</v>
      </c>
      <c r="AB365" t="str">
        <f t="shared" si="15"/>
        <v>Normal</v>
      </c>
      <c r="AC365" t="str">
        <f t="shared" si="16"/>
        <v>Normal</v>
      </c>
    </row>
    <row r="366" spans="1:29" x14ac:dyDescent="0.25">
      <c r="A366" t="s">
        <v>31</v>
      </c>
      <c r="B366" s="2">
        <v>45795</v>
      </c>
      <c r="C366" t="s">
        <v>41</v>
      </c>
      <c r="D366" t="s">
        <v>54</v>
      </c>
      <c r="E366">
        <v>2.5</v>
      </c>
      <c r="F366">
        <v>51</v>
      </c>
      <c r="G366">
        <v>416</v>
      </c>
      <c r="H366">
        <v>313</v>
      </c>
      <c r="I366" s="11">
        <f t="shared" si="17"/>
        <v>75.240384615384613</v>
      </c>
      <c r="J366">
        <v>2</v>
      </c>
      <c r="K366" t="s">
        <v>40</v>
      </c>
      <c r="L366">
        <v>2</v>
      </c>
      <c r="M366" t="s">
        <v>35</v>
      </c>
      <c r="N366">
        <v>11</v>
      </c>
      <c r="O366">
        <v>6</v>
      </c>
      <c r="P366">
        <v>12</v>
      </c>
      <c r="Q366">
        <v>5</v>
      </c>
      <c r="R366">
        <v>4</v>
      </c>
      <c r="S366">
        <v>0</v>
      </c>
      <c r="AB366" t="str">
        <f t="shared" si="15"/>
        <v>Normal</v>
      </c>
      <c r="AC366" t="str">
        <f t="shared" si="16"/>
        <v>Normal</v>
      </c>
    </row>
    <row r="367" spans="1:29" x14ac:dyDescent="0.25">
      <c r="A367" t="s">
        <v>31</v>
      </c>
      <c r="B367" s="2">
        <v>45795</v>
      </c>
      <c r="C367" t="s">
        <v>41</v>
      </c>
      <c r="D367" t="s">
        <v>59</v>
      </c>
      <c r="E367">
        <v>0.8</v>
      </c>
      <c r="F367">
        <v>50</v>
      </c>
      <c r="G367">
        <v>486</v>
      </c>
      <c r="H367">
        <v>403</v>
      </c>
      <c r="I367" s="11">
        <f t="shared" si="17"/>
        <v>82.921810699588477</v>
      </c>
      <c r="J367">
        <v>2</v>
      </c>
      <c r="K367" t="s">
        <v>35</v>
      </c>
      <c r="L367">
        <v>1</v>
      </c>
      <c r="M367" t="s">
        <v>35</v>
      </c>
      <c r="N367">
        <v>9</v>
      </c>
      <c r="O367">
        <v>3</v>
      </c>
      <c r="P367">
        <v>15</v>
      </c>
      <c r="Q367">
        <v>2</v>
      </c>
      <c r="R367">
        <v>1</v>
      </c>
      <c r="S367">
        <v>0</v>
      </c>
      <c r="AB367" t="str">
        <f t="shared" si="15"/>
        <v>Normal</v>
      </c>
      <c r="AC367" t="str">
        <f t="shared" si="16"/>
        <v>Normal</v>
      </c>
    </row>
    <row r="368" spans="1:29" x14ac:dyDescent="0.25">
      <c r="A368" t="s">
        <v>31</v>
      </c>
      <c r="B368" s="2">
        <v>45795</v>
      </c>
      <c r="C368" t="s">
        <v>56</v>
      </c>
      <c r="D368" t="s">
        <v>42</v>
      </c>
      <c r="E368">
        <v>0.6</v>
      </c>
      <c r="F368">
        <v>51</v>
      </c>
      <c r="G368">
        <v>447</v>
      </c>
      <c r="H368">
        <v>363</v>
      </c>
      <c r="I368" s="11">
        <f t="shared" si="17"/>
        <v>81.208053691275168</v>
      </c>
      <c r="J368">
        <v>1</v>
      </c>
      <c r="K368" t="s">
        <v>35</v>
      </c>
      <c r="L368">
        <v>0</v>
      </c>
      <c r="M368" t="s">
        <v>36</v>
      </c>
      <c r="N368">
        <v>12</v>
      </c>
      <c r="O368">
        <v>4</v>
      </c>
      <c r="P368">
        <v>9</v>
      </c>
      <c r="Q368">
        <v>10</v>
      </c>
      <c r="R368">
        <v>3</v>
      </c>
      <c r="S368">
        <v>0</v>
      </c>
      <c r="AB368" t="str">
        <f t="shared" si="15"/>
        <v>Normal</v>
      </c>
      <c r="AC368" t="str">
        <f t="shared" si="16"/>
        <v>Normal</v>
      </c>
    </row>
    <row r="369" spans="1:29" x14ac:dyDescent="0.25">
      <c r="A369" t="s">
        <v>31</v>
      </c>
      <c r="B369" s="2">
        <v>45796</v>
      </c>
      <c r="C369" t="s">
        <v>32</v>
      </c>
      <c r="D369" t="s">
        <v>45</v>
      </c>
      <c r="E369">
        <v>2.2000000000000002</v>
      </c>
      <c r="F369">
        <v>49</v>
      </c>
      <c r="G369">
        <v>489</v>
      </c>
      <c r="H369">
        <v>410</v>
      </c>
      <c r="I369" s="11">
        <f t="shared" si="17"/>
        <v>83.844580777096112</v>
      </c>
      <c r="J369">
        <v>3</v>
      </c>
      <c r="K369" t="s">
        <v>35</v>
      </c>
      <c r="L369">
        <v>1</v>
      </c>
      <c r="M369" t="s">
        <v>40</v>
      </c>
      <c r="N369">
        <v>25</v>
      </c>
      <c r="O369">
        <v>12</v>
      </c>
      <c r="P369">
        <v>9</v>
      </c>
      <c r="Q369">
        <v>3</v>
      </c>
      <c r="R369">
        <v>1</v>
      </c>
      <c r="S369">
        <v>0</v>
      </c>
      <c r="AB369" t="str">
        <f t="shared" si="15"/>
        <v>Normal</v>
      </c>
      <c r="AC369" t="str">
        <f t="shared" si="16"/>
        <v>Normal</v>
      </c>
    </row>
    <row r="370" spans="1:29" x14ac:dyDescent="0.25">
      <c r="A370" t="s">
        <v>31</v>
      </c>
      <c r="B370" s="2">
        <v>45797</v>
      </c>
      <c r="C370" t="s">
        <v>32</v>
      </c>
      <c r="D370" t="s">
        <v>55</v>
      </c>
      <c r="E370">
        <v>1.7</v>
      </c>
      <c r="F370">
        <v>31</v>
      </c>
      <c r="G370">
        <v>307</v>
      </c>
      <c r="H370">
        <v>227</v>
      </c>
      <c r="I370" s="11">
        <f t="shared" si="17"/>
        <v>73.941368078175898</v>
      </c>
      <c r="J370">
        <v>4</v>
      </c>
      <c r="K370" t="s">
        <v>35</v>
      </c>
      <c r="L370">
        <v>2</v>
      </c>
      <c r="M370" t="s">
        <v>35</v>
      </c>
      <c r="N370">
        <v>14</v>
      </c>
      <c r="O370">
        <v>10</v>
      </c>
      <c r="P370">
        <v>14</v>
      </c>
      <c r="Q370">
        <v>0</v>
      </c>
      <c r="R370">
        <v>1</v>
      </c>
      <c r="S370">
        <v>0</v>
      </c>
      <c r="AB370" t="str">
        <f t="shared" si="15"/>
        <v>Normal</v>
      </c>
      <c r="AC370" t="str">
        <f t="shared" si="16"/>
        <v>Normal</v>
      </c>
    </row>
    <row r="371" spans="1:29" x14ac:dyDescent="0.25">
      <c r="A371" t="s">
        <v>31</v>
      </c>
      <c r="B371" s="2">
        <v>45797</v>
      </c>
      <c r="C371" t="s">
        <v>32</v>
      </c>
      <c r="D371" t="s">
        <v>58</v>
      </c>
      <c r="E371">
        <v>1.5</v>
      </c>
      <c r="F371">
        <v>57</v>
      </c>
      <c r="G371">
        <v>640</v>
      </c>
      <c r="H371">
        <v>571</v>
      </c>
      <c r="I371" s="11">
        <f t="shared" si="17"/>
        <v>89.21875</v>
      </c>
      <c r="J371">
        <v>3</v>
      </c>
      <c r="K371" t="s">
        <v>35</v>
      </c>
      <c r="L371">
        <v>2</v>
      </c>
      <c r="M371" t="s">
        <v>35</v>
      </c>
      <c r="N371">
        <v>12</v>
      </c>
      <c r="O371">
        <v>5</v>
      </c>
      <c r="P371">
        <v>7</v>
      </c>
      <c r="Q371">
        <v>3</v>
      </c>
      <c r="R371">
        <v>1</v>
      </c>
      <c r="S371">
        <v>1</v>
      </c>
      <c r="AB371" t="str">
        <f t="shared" si="15"/>
        <v>Normal</v>
      </c>
      <c r="AC371" t="str">
        <f t="shared" si="16"/>
        <v>Normal</v>
      </c>
    </row>
    <row r="372" spans="1:29" x14ac:dyDescent="0.25">
      <c r="A372" t="s">
        <v>31</v>
      </c>
      <c r="B372" s="2">
        <v>45802</v>
      </c>
      <c r="C372" t="s">
        <v>62</v>
      </c>
      <c r="D372" t="s">
        <v>49</v>
      </c>
      <c r="E372">
        <v>1.6</v>
      </c>
      <c r="F372">
        <v>63</v>
      </c>
      <c r="G372">
        <v>547</v>
      </c>
      <c r="H372">
        <v>440</v>
      </c>
      <c r="I372" s="11">
        <f t="shared" si="17"/>
        <v>80.438756855575861</v>
      </c>
      <c r="J372">
        <v>2</v>
      </c>
      <c r="K372" t="s">
        <v>35</v>
      </c>
      <c r="L372">
        <v>0</v>
      </c>
      <c r="M372" t="s">
        <v>36</v>
      </c>
      <c r="N372">
        <v>20</v>
      </c>
      <c r="O372">
        <v>7</v>
      </c>
      <c r="P372">
        <v>19</v>
      </c>
      <c r="Q372">
        <v>6</v>
      </c>
      <c r="R372">
        <v>0</v>
      </c>
      <c r="S372">
        <v>0</v>
      </c>
      <c r="AB372" t="str">
        <f t="shared" si="15"/>
        <v>Normal</v>
      </c>
      <c r="AC372" t="str">
        <f t="shared" si="16"/>
        <v>Normal</v>
      </c>
    </row>
    <row r="373" spans="1:29" x14ac:dyDescent="0.25">
      <c r="A373" t="s">
        <v>31</v>
      </c>
      <c r="B373" s="2">
        <v>45802</v>
      </c>
      <c r="C373" t="s">
        <v>62</v>
      </c>
      <c r="D373" t="s">
        <v>34</v>
      </c>
      <c r="E373">
        <v>1.3</v>
      </c>
      <c r="F373">
        <v>47</v>
      </c>
      <c r="G373">
        <v>477</v>
      </c>
      <c r="H373">
        <v>399</v>
      </c>
      <c r="I373" s="11">
        <f t="shared" si="17"/>
        <v>83.647798742138363</v>
      </c>
      <c r="J373">
        <v>0</v>
      </c>
      <c r="K373" t="s">
        <v>40</v>
      </c>
      <c r="L373">
        <v>0</v>
      </c>
      <c r="M373" t="s">
        <v>40</v>
      </c>
      <c r="N373">
        <v>13</v>
      </c>
      <c r="O373">
        <v>3</v>
      </c>
      <c r="P373">
        <v>11</v>
      </c>
      <c r="Q373">
        <v>1</v>
      </c>
      <c r="R373">
        <v>0</v>
      </c>
      <c r="S373">
        <v>0</v>
      </c>
      <c r="AB373" t="str">
        <f t="shared" si="15"/>
        <v>Normal</v>
      </c>
      <c r="AC373" t="str">
        <f t="shared" si="16"/>
        <v>Normal</v>
      </c>
    </row>
    <row r="374" spans="1:29" x14ac:dyDescent="0.25">
      <c r="A374" t="s">
        <v>31</v>
      </c>
      <c r="B374" s="2">
        <v>45802</v>
      </c>
      <c r="C374" t="s">
        <v>62</v>
      </c>
      <c r="D374" t="s">
        <v>38</v>
      </c>
      <c r="E374">
        <v>0.7</v>
      </c>
      <c r="F374">
        <v>42</v>
      </c>
      <c r="G374">
        <v>464</v>
      </c>
      <c r="H374">
        <v>374</v>
      </c>
      <c r="I374" s="11">
        <f t="shared" si="17"/>
        <v>80.603448275862064</v>
      </c>
      <c r="J374">
        <v>1</v>
      </c>
      <c r="K374" t="s">
        <v>40</v>
      </c>
      <c r="L374">
        <v>0</v>
      </c>
      <c r="M374" t="s">
        <v>40</v>
      </c>
      <c r="N374">
        <v>14</v>
      </c>
      <c r="O374">
        <v>4</v>
      </c>
      <c r="P374">
        <v>10</v>
      </c>
      <c r="Q374">
        <v>4</v>
      </c>
      <c r="R374">
        <v>1</v>
      </c>
      <c r="S374">
        <v>0</v>
      </c>
      <c r="AB374" t="str">
        <f t="shared" si="15"/>
        <v>Normal</v>
      </c>
      <c r="AC374" t="str">
        <f t="shared" si="16"/>
        <v>Normal</v>
      </c>
    </row>
    <row r="375" spans="1:29" x14ac:dyDescent="0.25">
      <c r="A375" t="s">
        <v>31</v>
      </c>
      <c r="B375" s="2">
        <v>45802</v>
      </c>
      <c r="C375" t="s">
        <v>62</v>
      </c>
      <c r="D375" t="s">
        <v>39</v>
      </c>
      <c r="E375">
        <v>2.1</v>
      </c>
      <c r="F375">
        <v>69</v>
      </c>
      <c r="G375">
        <v>695</v>
      </c>
      <c r="H375">
        <v>580</v>
      </c>
      <c r="I375" s="11">
        <f t="shared" si="17"/>
        <v>83.453237410071949</v>
      </c>
      <c r="J375">
        <v>1</v>
      </c>
      <c r="K375" t="s">
        <v>36</v>
      </c>
      <c r="L375">
        <v>0</v>
      </c>
      <c r="M375" t="s">
        <v>40</v>
      </c>
      <c r="N375">
        <v>14</v>
      </c>
      <c r="O375">
        <v>3</v>
      </c>
      <c r="P375">
        <v>7</v>
      </c>
      <c r="Q375">
        <v>11</v>
      </c>
      <c r="R375">
        <v>1</v>
      </c>
      <c r="S375">
        <v>1</v>
      </c>
      <c r="AB375" t="str">
        <f t="shared" si="15"/>
        <v>Normal</v>
      </c>
      <c r="AC375" t="str">
        <f t="shared" si="16"/>
        <v>Normal</v>
      </c>
    </row>
    <row r="376" spans="1:29" x14ac:dyDescent="0.25">
      <c r="A376" t="s">
        <v>31</v>
      </c>
      <c r="B376" s="2">
        <v>45802</v>
      </c>
      <c r="C376" t="s">
        <v>62</v>
      </c>
      <c r="D376" t="s">
        <v>33</v>
      </c>
      <c r="E376">
        <v>2.9</v>
      </c>
      <c r="F376">
        <v>67</v>
      </c>
      <c r="G376">
        <v>644</v>
      </c>
      <c r="H376">
        <v>555</v>
      </c>
      <c r="I376" s="11">
        <f t="shared" si="17"/>
        <v>86.18012422360249</v>
      </c>
      <c r="J376">
        <v>2</v>
      </c>
      <c r="K376" t="s">
        <v>35</v>
      </c>
      <c r="L376">
        <v>0</v>
      </c>
      <c r="M376" t="s">
        <v>36</v>
      </c>
      <c r="N376">
        <v>25</v>
      </c>
      <c r="O376">
        <v>10</v>
      </c>
      <c r="P376">
        <v>10</v>
      </c>
      <c r="Q376">
        <v>4</v>
      </c>
      <c r="R376">
        <v>2</v>
      </c>
      <c r="S376">
        <v>0</v>
      </c>
      <c r="AB376" t="str">
        <f t="shared" si="15"/>
        <v>Normal</v>
      </c>
      <c r="AC376" t="str">
        <f t="shared" si="16"/>
        <v>Normal</v>
      </c>
    </row>
    <row r="377" spans="1:29" x14ac:dyDescent="0.25">
      <c r="A377" t="s">
        <v>31</v>
      </c>
      <c r="B377" s="2">
        <v>45802</v>
      </c>
      <c r="C377" t="s">
        <v>62</v>
      </c>
      <c r="D377" t="s">
        <v>46</v>
      </c>
      <c r="E377">
        <v>1.2</v>
      </c>
      <c r="F377">
        <v>65</v>
      </c>
      <c r="G377">
        <v>590</v>
      </c>
      <c r="H377">
        <v>501</v>
      </c>
      <c r="I377" s="11">
        <f t="shared" si="17"/>
        <v>84.915254237288138</v>
      </c>
      <c r="J377">
        <v>0</v>
      </c>
      <c r="K377" t="s">
        <v>40</v>
      </c>
      <c r="L377">
        <v>0</v>
      </c>
      <c r="M377" t="s">
        <v>36</v>
      </c>
      <c r="N377">
        <v>17</v>
      </c>
      <c r="O377">
        <v>6</v>
      </c>
      <c r="P377">
        <v>12</v>
      </c>
      <c r="Q377">
        <v>12</v>
      </c>
      <c r="R377">
        <v>1</v>
      </c>
      <c r="S377">
        <v>0</v>
      </c>
      <c r="AB377" t="str">
        <f t="shared" si="15"/>
        <v>Normal</v>
      </c>
      <c r="AC377" t="str">
        <f t="shared" si="16"/>
        <v>Normal</v>
      </c>
    </row>
    <row r="378" spans="1:29" x14ac:dyDescent="0.25">
      <c r="A378" t="s">
        <v>31</v>
      </c>
      <c r="B378" s="2">
        <v>45802</v>
      </c>
      <c r="C378" t="s">
        <v>62</v>
      </c>
      <c r="D378" t="s">
        <v>48</v>
      </c>
      <c r="E378">
        <v>1.2</v>
      </c>
      <c r="F378">
        <v>52</v>
      </c>
      <c r="G378">
        <v>487</v>
      </c>
      <c r="H378">
        <v>384</v>
      </c>
      <c r="I378" s="11">
        <f t="shared" si="17"/>
        <v>78.850102669404521</v>
      </c>
      <c r="J378">
        <v>0</v>
      </c>
      <c r="K378" t="s">
        <v>40</v>
      </c>
      <c r="L378">
        <v>0</v>
      </c>
      <c r="M378" t="s">
        <v>36</v>
      </c>
      <c r="N378">
        <v>10</v>
      </c>
      <c r="O378">
        <v>2</v>
      </c>
      <c r="P378">
        <v>10</v>
      </c>
      <c r="Q378">
        <v>7</v>
      </c>
      <c r="R378">
        <v>2</v>
      </c>
      <c r="S378">
        <v>0</v>
      </c>
      <c r="AB378" t="str">
        <f t="shared" si="15"/>
        <v>Normal</v>
      </c>
      <c r="AC378" t="str">
        <f t="shared" si="16"/>
        <v>Normal</v>
      </c>
    </row>
    <row r="379" spans="1:29" x14ac:dyDescent="0.25">
      <c r="A379" t="s">
        <v>31</v>
      </c>
      <c r="B379" s="2">
        <v>45802</v>
      </c>
      <c r="C379" t="s">
        <v>62</v>
      </c>
      <c r="D379" t="s">
        <v>47</v>
      </c>
      <c r="E379">
        <v>0.6</v>
      </c>
      <c r="F379">
        <v>38</v>
      </c>
      <c r="G379">
        <v>363</v>
      </c>
      <c r="H379">
        <v>289</v>
      </c>
      <c r="I379" s="11">
        <f t="shared" si="17"/>
        <v>79.614325068870528</v>
      </c>
      <c r="J379">
        <v>1</v>
      </c>
      <c r="K379" t="s">
        <v>40</v>
      </c>
      <c r="L379">
        <v>0</v>
      </c>
      <c r="M379" t="s">
        <v>40</v>
      </c>
      <c r="N379">
        <v>7</v>
      </c>
      <c r="O379">
        <v>2</v>
      </c>
      <c r="P379">
        <v>7</v>
      </c>
      <c r="Q379">
        <v>5</v>
      </c>
      <c r="R379">
        <v>0</v>
      </c>
      <c r="S379">
        <v>0</v>
      </c>
      <c r="AB379" t="str">
        <f t="shared" si="15"/>
        <v>Normal</v>
      </c>
      <c r="AC379" t="str">
        <f t="shared" si="16"/>
        <v>Normal</v>
      </c>
    </row>
    <row r="380" spans="1:29" x14ac:dyDescent="0.25">
      <c r="A380" t="s">
        <v>31</v>
      </c>
      <c r="B380" s="2">
        <v>45802</v>
      </c>
      <c r="C380" t="s">
        <v>62</v>
      </c>
      <c r="D380" t="s">
        <v>60</v>
      </c>
      <c r="E380">
        <v>2</v>
      </c>
      <c r="F380">
        <v>34</v>
      </c>
      <c r="G380">
        <v>301</v>
      </c>
      <c r="H380">
        <v>229</v>
      </c>
      <c r="I380" s="11">
        <f t="shared" si="17"/>
        <v>76.079734219269099</v>
      </c>
      <c r="J380">
        <v>1</v>
      </c>
      <c r="K380" t="s">
        <v>40</v>
      </c>
      <c r="L380">
        <v>1</v>
      </c>
      <c r="M380" t="s">
        <v>35</v>
      </c>
      <c r="N380">
        <v>4</v>
      </c>
      <c r="O380">
        <v>2</v>
      </c>
      <c r="P380">
        <v>13</v>
      </c>
      <c r="Q380">
        <v>2</v>
      </c>
      <c r="R380">
        <v>3</v>
      </c>
      <c r="S380">
        <v>0</v>
      </c>
      <c r="AB380" t="str">
        <f t="shared" si="15"/>
        <v>Normal</v>
      </c>
      <c r="AC380" t="str">
        <f t="shared" si="16"/>
        <v>Normal</v>
      </c>
    </row>
    <row r="381" spans="1:29" x14ac:dyDescent="0.25">
      <c r="A381" t="s">
        <v>31</v>
      </c>
      <c r="B381" s="2">
        <v>45802</v>
      </c>
      <c r="C381" t="s">
        <v>62</v>
      </c>
      <c r="D381" t="s">
        <v>43</v>
      </c>
      <c r="E381">
        <v>1</v>
      </c>
      <c r="F381">
        <v>49</v>
      </c>
      <c r="G381">
        <v>471</v>
      </c>
      <c r="H381">
        <v>374</v>
      </c>
      <c r="I381" s="11">
        <f t="shared" si="17"/>
        <v>79.405520169851386</v>
      </c>
      <c r="J381">
        <v>1</v>
      </c>
      <c r="K381" t="s">
        <v>36</v>
      </c>
      <c r="L381">
        <v>0</v>
      </c>
      <c r="M381" t="s">
        <v>40</v>
      </c>
      <c r="N381">
        <v>18</v>
      </c>
      <c r="O381">
        <v>6</v>
      </c>
      <c r="P381">
        <v>7</v>
      </c>
      <c r="Q381">
        <v>8</v>
      </c>
      <c r="R381">
        <v>2</v>
      </c>
      <c r="S381">
        <v>0</v>
      </c>
      <c r="AB381" t="str">
        <f t="shared" si="15"/>
        <v>Normal</v>
      </c>
      <c r="AC381" t="str">
        <f t="shared" si="16"/>
        <v>Normal</v>
      </c>
    </row>
    <row r="382" spans="1:29" x14ac:dyDescent="0.25">
      <c r="D382" t="s">
        <v>34</v>
      </c>
      <c r="E382">
        <v>0.4</v>
      </c>
      <c r="F382">
        <v>45</v>
      </c>
      <c r="G382">
        <v>424</v>
      </c>
      <c r="H382">
        <v>329</v>
      </c>
      <c r="I382" s="11">
        <f t="shared" si="17"/>
        <v>77.594339622641513</v>
      </c>
      <c r="J382">
        <v>0</v>
      </c>
      <c r="K382" t="s">
        <v>35</v>
      </c>
      <c r="L382">
        <v>0</v>
      </c>
      <c r="M382" t="s">
        <v>36</v>
      </c>
      <c r="N382">
        <v>10</v>
      </c>
      <c r="O382">
        <v>2</v>
      </c>
      <c r="P382">
        <v>10</v>
      </c>
      <c r="Q382">
        <v>8</v>
      </c>
      <c r="R382">
        <v>3</v>
      </c>
      <c r="S382">
        <v>0</v>
      </c>
      <c r="AB382" t="str">
        <f t="shared" si="15"/>
        <v>Normal</v>
      </c>
      <c r="AC382" t="str">
        <f t="shared" si="16"/>
        <v>Normal</v>
      </c>
    </row>
    <row r="383" spans="1:29" x14ac:dyDescent="0.25">
      <c r="D383" t="s">
        <v>39</v>
      </c>
      <c r="E383">
        <v>2.6</v>
      </c>
      <c r="F383">
        <v>62</v>
      </c>
      <c r="G383">
        <v>620</v>
      </c>
      <c r="H383">
        <v>520</v>
      </c>
      <c r="I383" s="11">
        <f t="shared" si="17"/>
        <v>83.870967741935488</v>
      </c>
      <c r="J383">
        <v>2</v>
      </c>
      <c r="K383" t="s">
        <v>40</v>
      </c>
      <c r="L383">
        <v>0</v>
      </c>
      <c r="M383" t="s">
        <v>36</v>
      </c>
      <c r="N383">
        <v>18</v>
      </c>
      <c r="O383">
        <v>5</v>
      </c>
      <c r="P383">
        <v>18</v>
      </c>
      <c r="Q383">
        <v>10</v>
      </c>
      <c r="R383">
        <v>1</v>
      </c>
      <c r="S383">
        <v>0</v>
      </c>
      <c r="AB383" t="str">
        <f t="shared" si="15"/>
        <v>Normal</v>
      </c>
      <c r="AC383" t="str">
        <f t="shared" si="16"/>
        <v>Normal</v>
      </c>
    </row>
    <row r="384" spans="1:29" x14ac:dyDescent="0.25">
      <c r="D384" t="s">
        <v>43</v>
      </c>
      <c r="E384">
        <v>0.5</v>
      </c>
      <c r="F384">
        <v>47</v>
      </c>
      <c r="G384">
        <v>406</v>
      </c>
      <c r="H384">
        <v>324</v>
      </c>
      <c r="I384" s="11">
        <f t="shared" si="17"/>
        <v>79.802955665024626</v>
      </c>
      <c r="J384">
        <v>0</v>
      </c>
      <c r="K384" t="s">
        <v>35</v>
      </c>
      <c r="L384">
        <v>0</v>
      </c>
      <c r="M384" t="s">
        <v>35</v>
      </c>
      <c r="N384">
        <v>9</v>
      </c>
      <c r="O384">
        <v>3</v>
      </c>
      <c r="P384">
        <v>14</v>
      </c>
      <c r="Q384">
        <v>2</v>
      </c>
      <c r="R384">
        <v>2</v>
      </c>
      <c r="S384">
        <v>0</v>
      </c>
      <c r="AB384" t="str">
        <f t="shared" si="15"/>
        <v>Normal</v>
      </c>
      <c r="AC384" t="str">
        <f t="shared" si="16"/>
        <v>Normal</v>
      </c>
    </row>
    <row r="385" spans="4:29" x14ac:dyDescent="0.25">
      <c r="D385" t="s">
        <v>45</v>
      </c>
      <c r="E385">
        <v>1.4</v>
      </c>
      <c r="F385">
        <v>60</v>
      </c>
      <c r="G385">
        <v>605</v>
      </c>
      <c r="H385">
        <v>510</v>
      </c>
      <c r="I385" s="11">
        <f t="shared" si="17"/>
        <v>84.297520661157023</v>
      </c>
      <c r="J385">
        <v>3</v>
      </c>
      <c r="K385" t="s">
        <v>40</v>
      </c>
      <c r="L385">
        <v>1</v>
      </c>
      <c r="M385" t="s">
        <v>40</v>
      </c>
      <c r="N385">
        <v>10</v>
      </c>
      <c r="O385">
        <v>5</v>
      </c>
      <c r="P385">
        <v>8</v>
      </c>
      <c r="Q385">
        <v>5</v>
      </c>
      <c r="R385">
        <v>1</v>
      </c>
      <c r="S385">
        <v>0</v>
      </c>
      <c r="AB385" t="str">
        <f t="shared" si="15"/>
        <v>Normal</v>
      </c>
      <c r="AC385" t="str">
        <f t="shared" si="16"/>
        <v>Normal</v>
      </c>
    </row>
    <row r="386" spans="4:29" x14ac:dyDescent="0.25">
      <c r="D386" t="s">
        <v>47</v>
      </c>
      <c r="E386">
        <v>1.8</v>
      </c>
      <c r="F386">
        <v>77</v>
      </c>
      <c r="G386">
        <v>702</v>
      </c>
      <c r="H386">
        <v>604</v>
      </c>
      <c r="I386" s="11">
        <f t="shared" si="17"/>
        <v>86.039886039886042</v>
      </c>
      <c r="J386">
        <v>0</v>
      </c>
      <c r="K386" t="s">
        <v>35</v>
      </c>
      <c r="L386">
        <v>0</v>
      </c>
      <c r="M386" t="s">
        <v>35</v>
      </c>
      <c r="N386">
        <v>19</v>
      </c>
      <c r="O386">
        <v>4</v>
      </c>
      <c r="P386">
        <v>16</v>
      </c>
      <c r="Q386">
        <v>12</v>
      </c>
      <c r="R386">
        <v>4</v>
      </c>
      <c r="S386">
        <v>0</v>
      </c>
      <c r="AB386" t="str">
        <f t="shared" ref="AB386:AB449" si="18">IF(E386 &lt; _xlfn.PERCENTILE.INC($E$2:$E$761,0),
    "Ekstrem Rendah",
    IF(E386 &gt; _xlfn.PERCENTILE.INC($E$2:$E$761,1),
        "Ekstrem Tinggi",
        "Normal"
    )
)</f>
        <v>Normal</v>
      </c>
      <c r="AC386" t="str">
        <f t="shared" ref="AC386:AC449" si="19">IF(F386 &lt; _xlfn.PERCENTILE.INC($F$2:$F$761,0.001),
    "Ekstrem Rendah",
    IF(F386 &gt; _xlfn.PERCENTILE.INC($F$2:$F$761,0.999),
        "Ekstrem Tinggi",
        "Normal"
    )
)</f>
        <v>Normal</v>
      </c>
    </row>
    <row r="387" spans="4:29" x14ac:dyDescent="0.25">
      <c r="D387" t="s">
        <v>49</v>
      </c>
      <c r="E387">
        <v>1.2</v>
      </c>
      <c r="F387">
        <v>47</v>
      </c>
      <c r="G387">
        <v>485</v>
      </c>
      <c r="H387">
        <v>363</v>
      </c>
      <c r="I387" s="11">
        <f t="shared" ref="I387:I450" si="20">H387/G387*100</f>
        <v>74.845360824742272</v>
      </c>
      <c r="J387">
        <v>1</v>
      </c>
      <c r="K387" t="s">
        <v>36</v>
      </c>
      <c r="L387">
        <v>0</v>
      </c>
      <c r="M387" t="s">
        <v>35</v>
      </c>
      <c r="N387">
        <v>13</v>
      </c>
      <c r="O387">
        <v>4</v>
      </c>
      <c r="P387">
        <v>8</v>
      </c>
      <c r="Q387">
        <v>6</v>
      </c>
      <c r="R387">
        <v>3</v>
      </c>
      <c r="S387">
        <v>0</v>
      </c>
      <c r="AB387" t="str">
        <f t="shared" si="18"/>
        <v>Normal</v>
      </c>
      <c r="AC387" t="str">
        <f t="shared" si="19"/>
        <v>Normal</v>
      </c>
    </row>
    <row r="388" spans="4:29" x14ac:dyDescent="0.25">
      <c r="D388" t="s">
        <v>52</v>
      </c>
      <c r="E388">
        <v>2</v>
      </c>
      <c r="F388">
        <v>48</v>
      </c>
      <c r="G388">
        <v>433</v>
      </c>
      <c r="H388">
        <v>348</v>
      </c>
      <c r="I388" s="11">
        <f t="shared" si="20"/>
        <v>80.36951501154735</v>
      </c>
      <c r="J388">
        <v>2</v>
      </c>
      <c r="K388" t="s">
        <v>40</v>
      </c>
      <c r="L388">
        <v>1</v>
      </c>
      <c r="M388" t="s">
        <v>36</v>
      </c>
      <c r="N388">
        <v>15</v>
      </c>
      <c r="O388">
        <v>3</v>
      </c>
      <c r="P388">
        <v>11</v>
      </c>
      <c r="Q388">
        <v>3</v>
      </c>
      <c r="R388">
        <v>2</v>
      </c>
      <c r="S388">
        <v>0</v>
      </c>
      <c r="AB388" t="str">
        <f t="shared" si="18"/>
        <v>Normal</v>
      </c>
      <c r="AC388" t="str">
        <f t="shared" si="19"/>
        <v>Normal</v>
      </c>
    </row>
    <row r="389" spans="4:29" x14ac:dyDescent="0.25">
      <c r="D389" t="s">
        <v>55</v>
      </c>
      <c r="E389">
        <v>1.2</v>
      </c>
      <c r="F389">
        <v>54</v>
      </c>
      <c r="G389">
        <v>519</v>
      </c>
      <c r="H389">
        <v>410</v>
      </c>
      <c r="I389" s="11">
        <f t="shared" si="20"/>
        <v>78.9980732177264</v>
      </c>
      <c r="J389">
        <v>1</v>
      </c>
      <c r="K389" t="s">
        <v>35</v>
      </c>
      <c r="L389">
        <v>0</v>
      </c>
      <c r="M389" t="s">
        <v>35</v>
      </c>
      <c r="N389">
        <v>14</v>
      </c>
      <c r="O389">
        <v>6</v>
      </c>
      <c r="P389">
        <v>15</v>
      </c>
      <c r="Q389">
        <v>7</v>
      </c>
      <c r="R389">
        <v>5</v>
      </c>
      <c r="S389">
        <v>0</v>
      </c>
      <c r="AB389" t="str">
        <f t="shared" si="18"/>
        <v>Normal</v>
      </c>
      <c r="AC389" t="str">
        <f t="shared" si="19"/>
        <v>Normal</v>
      </c>
    </row>
    <row r="390" spans="4:29" x14ac:dyDescent="0.25">
      <c r="D390" t="s">
        <v>58</v>
      </c>
      <c r="E390">
        <v>0.8</v>
      </c>
      <c r="F390">
        <v>52</v>
      </c>
      <c r="G390">
        <v>570</v>
      </c>
      <c r="H390">
        <v>501</v>
      </c>
      <c r="I390" s="11">
        <f t="shared" si="20"/>
        <v>87.89473684210526</v>
      </c>
      <c r="J390">
        <v>2</v>
      </c>
      <c r="K390" t="s">
        <v>40</v>
      </c>
      <c r="L390">
        <v>1</v>
      </c>
      <c r="M390" t="s">
        <v>40</v>
      </c>
      <c r="N390">
        <v>11</v>
      </c>
      <c r="O390">
        <v>5</v>
      </c>
      <c r="P390">
        <v>9</v>
      </c>
      <c r="Q390">
        <v>3</v>
      </c>
      <c r="R390">
        <v>1</v>
      </c>
      <c r="S390">
        <v>0</v>
      </c>
      <c r="AB390" t="str">
        <f t="shared" si="18"/>
        <v>Normal</v>
      </c>
      <c r="AC390" t="str">
        <f t="shared" si="19"/>
        <v>Normal</v>
      </c>
    </row>
    <row r="391" spans="4:29" x14ac:dyDescent="0.25">
      <c r="D391" t="s">
        <v>60</v>
      </c>
      <c r="E391">
        <v>1.2</v>
      </c>
      <c r="F391">
        <v>70</v>
      </c>
      <c r="G391">
        <v>724</v>
      </c>
      <c r="H391">
        <v>631</v>
      </c>
      <c r="I391" s="11">
        <f t="shared" si="20"/>
        <v>87.154696132596683</v>
      </c>
      <c r="J391">
        <v>1</v>
      </c>
      <c r="K391" t="s">
        <v>36</v>
      </c>
      <c r="L391">
        <v>1</v>
      </c>
      <c r="M391" t="s">
        <v>40</v>
      </c>
      <c r="N391">
        <v>15</v>
      </c>
      <c r="O391">
        <v>7</v>
      </c>
      <c r="P391">
        <v>12</v>
      </c>
      <c r="Q391">
        <v>13</v>
      </c>
      <c r="R391">
        <v>1</v>
      </c>
      <c r="S391">
        <v>0</v>
      </c>
      <c r="AB391" t="str">
        <f t="shared" si="18"/>
        <v>Normal</v>
      </c>
      <c r="AC391" t="str">
        <f t="shared" si="19"/>
        <v>Normal</v>
      </c>
    </row>
    <row r="392" spans="4:29" x14ac:dyDescent="0.25">
      <c r="D392" t="s">
        <v>33</v>
      </c>
      <c r="E392">
        <v>1.4</v>
      </c>
      <c r="F392">
        <v>52</v>
      </c>
      <c r="G392">
        <v>552</v>
      </c>
      <c r="H392">
        <v>470</v>
      </c>
      <c r="I392" s="11">
        <f t="shared" si="20"/>
        <v>85.14492753623189</v>
      </c>
      <c r="J392">
        <v>1</v>
      </c>
      <c r="K392" t="s">
        <v>35</v>
      </c>
      <c r="L392">
        <v>0</v>
      </c>
      <c r="M392" t="s">
        <v>35</v>
      </c>
      <c r="N392">
        <v>11</v>
      </c>
      <c r="O392">
        <v>4</v>
      </c>
      <c r="P392">
        <v>13</v>
      </c>
      <c r="Q392">
        <v>4</v>
      </c>
      <c r="R392">
        <v>2</v>
      </c>
      <c r="S392">
        <v>0</v>
      </c>
      <c r="AB392" t="str">
        <f t="shared" si="18"/>
        <v>Normal</v>
      </c>
      <c r="AC392" t="str">
        <f t="shared" si="19"/>
        <v>Normal</v>
      </c>
    </row>
    <row r="393" spans="4:29" x14ac:dyDescent="0.25">
      <c r="D393" t="s">
        <v>51</v>
      </c>
      <c r="E393">
        <v>1.4</v>
      </c>
      <c r="F393">
        <v>42</v>
      </c>
      <c r="G393">
        <v>425</v>
      </c>
      <c r="H393">
        <v>320</v>
      </c>
      <c r="I393" s="11">
        <f t="shared" si="20"/>
        <v>75.294117647058826</v>
      </c>
      <c r="J393">
        <v>2</v>
      </c>
      <c r="K393" t="s">
        <v>40</v>
      </c>
      <c r="L393">
        <v>0</v>
      </c>
      <c r="M393" t="s">
        <v>36</v>
      </c>
      <c r="N393">
        <v>18</v>
      </c>
      <c r="O393">
        <v>3</v>
      </c>
      <c r="P393">
        <v>17</v>
      </c>
      <c r="Q393">
        <v>3</v>
      </c>
      <c r="R393">
        <v>1</v>
      </c>
      <c r="S393">
        <v>0</v>
      </c>
      <c r="AB393" t="str">
        <f t="shared" si="18"/>
        <v>Normal</v>
      </c>
      <c r="AC393" t="str">
        <f t="shared" si="19"/>
        <v>Normal</v>
      </c>
    </row>
    <row r="394" spans="4:29" x14ac:dyDescent="0.25">
      <c r="D394" t="s">
        <v>59</v>
      </c>
      <c r="E394">
        <v>0.6</v>
      </c>
      <c r="F394">
        <v>46</v>
      </c>
      <c r="G394">
        <v>489</v>
      </c>
      <c r="H394">
        <v>402</v>
      </c>
      <c r="I394" s="11">
        <f t="shared" si="20"/>
        <v>82.208588957055213</v>
      </c>
      <c r="J394">
        <v>1</v>
      </c>
      <c r="K394" t="s">
        <v>35</v>
      </c>
      <c r="L394">
        <v>1</v>
      </c>
      <c r="M394" t="s">
        <v>36</v>
      </c>
      <c r="N394">
        <v>10</v>
      </c>
      <c r="O394">
        <v>4</v>
      </c>
      <c r="P394">
        <v>13</v>
      </c>
      <c r="Q394">
        <v>5</v>
      </c>
      <c r="R394">
        <v>2</v>
      </c>
      <c r="S394">
        <v>0</v>
      </c>
      <c r="AB394" t="str">
        <f t="shared" si="18"/>
        <v>Normal</v>
      </c>
      <c r="AC394" t="str">
        <f t="shared" si="19"/>
        <v>Normal</v>
      </c>
    </row>
    <row r="395" spans="4:29" x14ac:dyDescent="0.25">
      <c r="D395" t="s">
        <v>38</v>
      </c>
      <c r="E395">
        <v>0.3</v>
      </c>
      <c r="F395">
        <v>25</v>
      </c>
      <c r="G395">
        <v>266</v>
      </c>
      <c r="H395">
        <v>211</v>
      </c>
      <c r="I395" s="11">
        <f t="shared" si="20"/>
        <v>79.323308270676691</v>
      </c>
      <c r="J395">
        <v>1</v>
      </c>
      <c r="K395" t="s">
        <v>35</v>
      </c>
      <c r="L395">
        <v>1</v>
      </c>
      <c r="M395" t="s">
        <v>35</v>
      </c>
      <c r="N395">
        <v>1</v>
      </c>
      <c r="O395">
        <v>1</v>
      </c>
      <c r="P395">
        <v>15</v>
      </c>
      <c r="Q395">
        <v>1</v>
      </c>
      <c r="R395">
        <v>3</v>
      </c>
      <c r="S395">
        <v>0</v>
      </c>
      <c r="AB395" t="str">
        <f t="shared" si="18"/>
        <v>Normal</v>
      </c>
      <c r="AC395" t="str">
        <f t="shared" si="19"/>
        <v>Normal</v>
      </c>
    </row>
    <row r="396" spans="4:29" x14ac:dyDescent="0.25">
      <c r="D396" t="s">
        <v>48</v>
      </c>
      <c r="E396">
        <v>2.2000000000000002</v>
      </c>
      <c r="F396">
        <v>36</v>
      </c>
      <c r="G396">
        <v>383</v>
      </c>
      <c r="H396">
        <v>306</v>
      </c>
      <c r="I396" s="11">
        <f t="shared" si="20"/>
        <v>79.895561357702348</v>
      </c>
      <c r="J396">
        <v>1</v>
      </c>
      <c r="K396" t="s">
        <v>40</v>
      </c>
      <c r="L396">
        <v>0</v>
      </c>
      <c r="M396" t="s">
        <v>36</v>
      </c>
      <c r="N396">
        <v>23</v>
      </c>
      <c r="O396">
        <v>8</v>
      </c>
      <c r="P396">
        <v>14</v>
      </c>
      <c r="Q396">
        <v>10</v>
      </c>
      <c r="R396">
        <v>3</v>
      </c>
      <c r="S396">
        <v>0</v>
      </c>
      <c r="AB396" t="str">
        <f t="shared" si="18"/>
        <v>Normal</v>
      </c>
      <c r="AC396" t="str">
        <f t="shared" si="19"/>
        <v>Normal</v>
      </c>
    </row>
    <row r="397" spans="4:29" x14ac:dyDescent="0.25">
      <c r="D397" t="s">
        <v>44</v>
      </c>
      <c r="E397">
        <v>1</v>
      </c>
      <c r="F397">
        <v>30</v>
      </c>
      <c r="G397">
        <v>287</v>
      </c>
      <c r="H397">
        <v>211</v>
      </c>
      <c r="I397" s="11">
        <f t="shared" si="20"/>
        <v>73.519163763066203</v>
      </c>
      <c r="J397">
        <v>0</v>
      </c>
      <c r="K397" t="s">
        <v>35</v>
      </c>
      <c r="L397">
        <v>0</v>
      </c>
      <c r="M397" t="s">
        <v>35</v>
      </c>
      <c r="N397">
        <v>10</v>
      </c>
      <c r="O397">
        <v>1</v>
      </c>
      <c r="P397">
        <v>15</v>
      </c>
      <c r="Q397">
        <v>5</v>
      </c>
      <c r="R397">
        <v>0</v>
      </c>
      <c r="S397">
        <v>0</v>
      </c>
      <c r="AB397" t="str">
        <f t="shared" si="18"/>
        <v>Normal</v>
      </c>
      <c r="AC397" t="str">
        <f t="shared" si="19"/>
        <v>Normal</v>
      </c>
    </row>
    <row r="398" spans="4:29" x14ac:dyDescent="0.25">
      <c r="D398" t="s">
        <v>42</v>
      </c>
      <c r="E398">
        <v>0.9</v>
      </c>
      <c r="F398">
        <v>60</v>
      </c>
      <c r="G398">
        <v>544</v>
      </c>
      <c r="H398">
        <v>483</v>
      </c>
      <c r="I398" s="11">
        <f t="shared" si="20"/>
        <v>88.786764705882348</v>
      </c>
      <c r="J398">
        <v>2</v>
      </c>
      <c r="K398" t="s">
        <v>40</v>
      </c>
      <c r="L398">
        <v>0</v>
      </c>
      <c r="M398" t="s">
        <v>36</v>
      </c>
      <c r="N398">
        <v>9</v>
      </c>
      <c r="O398">
        <v>4</v>
      </c>
      <c r="P398">
        <v>15</v>
      </c>
      <c r="Q398">
        <v>1</v>
      </c>
      <c r="R398">
        <v>3</v>
      </c>
      <c r="S398">
        <v>0</v>
      </c>
      <c r="AB398" t="str">
        <f t="shared" si="18"/>
        <v>Normal</v>
      </c>
      <c r="AC398" t="str">
        <f t="shared" si="19"/>
        <v>Normal</v>
      </c>
    </row>
    <row r="399" spans="4:29" x14ac:dyDescent="0.25">
      <c r="D399" t="s">
        <v>46</v>
      </c>
      <c r="E399">
        <v>1.6</v>
      </c>
      <c r="F399">
        <v>61</v>
      </c>
      <c r="G399">
        <v>552</v>
      </c>
      <c r="H399">
        <v>428</v>
      </c>
      <c r="I399" s="11">
        <f t="shared" si="20"/>
        <v>77.536231884057969</v>
      </c>
      <c r="J399">
        <v>1</v>
      </c>
      <c r="K399" t="s">
        <v>36</v>
      </c>
      <c r="L399">
        <v>0</v>
      </c>
      <c r="M399" t="s">
        <v>35</v>
      </c>
      <c r="N399">
        <v>14</v>
      </c>
      <c r="O399">
        <v>5</v>
      </c>
      <c r="P399">
        <v>8</v>
      </c>
      <c r="Q399">
        <v>9</v>
      </c>
      <c r="R399">
        <v>2</v>
      </c>
      <c r="S399">
        <v>0</v>
      </c>
      <c r="AB399" t="str">
        <f t="shared" si="18"/>
        <v>Normal</v>
      </c>
      <c r="AC399" t="str">
        <f t="shared" si="19"/>
        <v>Normal</v>
      </c>
    </row>
    <row r="400" spans="4:29" x14ac:dyDescent="0.25">
      <c r="D400" t="s">
        <v>57</v>
      </c>
      <c r="E400">
        <v>1.6</v>
      </c>
      <c r="F400">
        <v>60</v>
      </c>
      <c r="G400">
        <v>525</v>
      </c>
      <c r="H400">
        <v>445</v>
      </c>
      <c r="I400" s="11">
        <f t="shared" si="20"/>
        <v>84.761904761904759</v>
      </c>
      <c r="J400">
        <v>6</v>
      </c>
      <c r="K400" t="s">
        <v>40</v>
      </c>
      <c r="L400">
        <v>2</v>
      </c>
      <c r="M400" t="s">
        <v>36</v>
      </c>
      <c r="N400">
        <v>14</v>
      </c>
      <c r="O400">
        <v>8</v>
      </c>
      <c r="P400">
        <v>13</v>
      </c>
      <c r="Q400">
        <v>5</v>
      </c>
      <c r="R400">
        <v>3</v>
      </c>
      <c r="S400">
        <v>0</v>
      </c>
      <c r="AB400" t="str">
        <f t="shared" si="18"/>
        <v>Normal</v>
      </c>
      <c r="AC400" t="str">
        <f t="shared" si="19"/>
        <v>Normal</v>
      </c>
    </row>
    <row r="401" spans="4:29" x14ac:dyDescent="0.25">
      <c r="D401" t="s">
        <v>54</v>
      </c>
      <c r="E401">
        <v>0.5</v>
      </c>
      <c r="F401">
        <v>38</v>
      </c>
      <c r="G401">
        <v>399</v>
      </c>
      <c r="H401">
        <v>322</v>
      </c>
      <c r="I401" s="11">
        <f t="shared" si="20"/>
        <v>80.701754385964904</v>
      </c>
      <c r="J401">
        <v>0</v>
      </c>
      <c r="K401" t="s">
        <v>35</v>
      </c>
      <c r="L401">
        <v>0</v>
      </c>
      <c r="M401" t="s">
        <v>35</v>
      </c>
      <c r="N401">
        <v>8</v>
      </c>
      <c r="O401">
        <v>2</v>
      </c>
      <c r="P401">
        <v>7</v>
      </c>
      <c r="Q401">
        <v>4</v>
      </c>
      <c r="R401">
        <v>3</v>
      </c>
      <c r="S401">
        <v>0</v>
      </c>
      <c r="AB401" t="str">
        <f t="shared" si="18"/>
        <v>Normal</v>
      </c>
      <c r="AC401" t="str">
        <f t="shared" si="19"/>
        <v>Normal</v>
      </c>
    </row>
    <row r="402" spans="4:29" x14ac:dyDescent="0.25">
      <c r="D402" t="s">
        <v>45</v>
      </c>
      <c r="E402">
        <v>1.7</v>
      </c>
      <c r="F402">
        <v>64</v>
      </c>
      <c r="G402">
        <v>518</v>
      </c>
      <c r="H402">
        <v>429</v>
      </c>
      <c r="I402" s="11">
        <f t="shared" si="20"/>
        <v>82.818532818532816</v>
      </c>
      <c r="J402">
        <v>1</v>
      </c>
      <c r="K402" t="s">
        <v>36</v>
      </c>
      <c r="L402">
        <v>0</v>
      </c>
      <c r="M402" t="s">
        <v>35</v>
      </c>
      <c r="N402">
        <v>22</v>
      </c>
      <c r="O402">
        <v>4</v>
      </c>
      <c r="P402">
        <v>7</v>
      </c>
      <c r="Q402">
        <v>7</v>
      </c>
      <c r="R402">
        <v>2</v>
      </c>
      <c r="S402">
        <v>0</v>
      </c>
      <c r="AB402" t="str">
        <f t="shared" si="18"/>
        <v>Normal</v>
      </c>
      <c r="AC402" t="str">
        <f t="shared" si="19"/>
        <v>Normal</v>
      </c>
    </row>
    <row r="403" spans="4:29" x14ac:dyDescent="0.25">
      <c r="D403" t="s">
        <v>47</v>
      </c>
      <c r="E403">
        <v>1.5</v>
      </c>
      <c r="F403">
        <v>63</v>
      </c>
      <c r="G403">
        <v>664</v>
      </c>
      <c r="H403">
        <v>573</v>
      </c>
      <c r="I403" s="11">
        <f t="shared" si="20"/>
        <v>86.295180722891558</v>
      </c>
      <c r="J403">
        <v>1</v>
      </c>
      <c r="K403" t="s">
        <v>35</v>
      </c>
      <c r="L403">
        <v>0</v>
      </c>
      <c r="M403" t="s">
        <v>35</v>
      </c>
      <c r="N403">
        <v>18</v>
      </c>
      <c r="O403">
        <v>6</v>
      </c>
      <c r="P403">
        <v>7</v>
      </c>
      <c r="Q403">
        <v>8</v>
      </c>
      <c r="R403">
        <v>1</v>
      </c>
      <c r="S403">
        <v>0</v>
      </c>
      <c r="AB403" t="str">
        <f t="shared" si="18"/>
        <v>Normal</v>
      </c>
      <c r="AC403" t="str">
        <f t="shared" si="19"/>
        <v>Normal</v>
      </c>
    </row>
    <row r="404" spans="4:29" x14ac:dyDescent="0.25">
      <c r="D404" t="s">
        <v>49</v>
      </c>
      <c r="E404">
        <v>2.4</v>
      </c>
      <c r="F404">
        <v>53</v>
      </c>
      <c r="G404">
        <v>441</v>
      </c>
      <c r="H404">
        <v>327</v>
      </c>
      <c r="I404" s="11">
        <f t="shared" si="20"/>
        <v>74.149659863945587</v>
      </c>
      <c r="J404">
        <v>3</v>
      </c>
      <c r="K404" t="s">
        <v>40</v>
      </c>
      <c r="L404">
        <v>0</v>
      </c>
      <c r="M404" t="s">
        <v>36</v>
      </c>
      <c r="N404">
        <v>17</v>
      </c>
      <c r="O404">
        <v>7</v>
      </c>
      <c r="P404">
        <v>1</v>
      </c>
      <c r="Q404">
        <v>4</v>
      </c>
      <c r="R404">
        <v>1</v>
      </c>
      <c r="S404">
        <v>0</v>
      </c>
      <c r="AB404" t="str">
        <f t="shared" si="18"/>
        <v>Normal</v>
      </c>
      <c r="AC404" t="str">
        <f t="shared" si="19"/>
        <v>Normal</v>
      </c>
    </row>
    <row r="405" spans="4:29" x14ac:dyDescent="0.25">
      <c r="D405" t="s">
        <v>34</v>
      </c>
      <c r="E405">
        <v>0.9</v>
      </c>
      <c r="F405">
        <v>52</v>
      </c>
      <c r="G405">
        <v>469</v>
      </c>
      <c r="H405">
        <v>383</v>
      </c>
      <c r="I405" s="11">
        <f t="shared" si="20"/>
        <v>81.6631130063966</v>
      </c>
      <c r="J405">
        <v>1</v>
      </c>
      <c r="K405" t="s">
        <v>36</v>
      </c>
      <c r="L405">
        <v>1</v>
      </c>
      <c r="M405" t="s">
        <v>36</v>
      </c>
      <c r="N405">
        <v>9</v>
      </c>
      <c r="O405">
        <v>4</v>
      </c>
      <c r="P405">
        <v>15</v>
      </c>
      <c r="Q405">
        <v>6</v>
      </c>
      <c r="R405">
        <v>3</v>
      </c>
      <c r="S405">
        <v>0</v>
      </c>
      <c r="AB405" t="str">
        <f t="shared" si="18"/>
        <v>Normal</v>
      </c>
      <c r="AC405" t="str">
        <f t="shared" si="19"/>
        <v>Normal</v>
      </c>
    </row>
    <row r="406" spans="4:29" x14ac:dyDescent="0.25">
      <c r="D406" t="s">
        <v>52</v>
      </c>
      <c r="E406">
        <v>1.4</v>
      </c>
      <c r="F406">
        <v>43</v>
      </c>
      <c r="G406">
        <v>411</v>
      </c>
      <c r="H406">
        <v>333</v>
      </c>
      <c r="I406" s="11">
        <f t="shared" si="20"/>
        <v>81.021897810218974</v>
      </c>
      <c r="J406">
        <v>2</v>
      </c>
      <c r="K406" t="s">
        <v>40</v>
      </c>
      <c r="L406">
        <v>1</v>
      </c>
      <c r="M406" t="s">
        <v>40</v>
      </c>
      <c r="N406">
        <v>10</v>
      </c>
      <c r="O406">
        <v>5</v>
      </c>
      <c r="P406">
        <v>21</v>
      </c>
      <c r="Q406">
        <v>4</v>
      </c>
      <c r="R406">
        <v>5</v>
      </c>
      <c r="S406">
        <v>0</v>
      </c>
      <c r="AB406" t="str">
        <f t="shared" si="18"/>
        <v>Normal</v>
      </c>
      <c r="AC406" t="str">
        <f t="shared" si="19"/>
        <v>Normal</v>
      </c>
    </row>
    <row r="407" spans="4:29" x14ac:dyDescent="0.25">
      <c r="D407" t="s">
        <v>43</v>
      </c>
      <c r="E407">
        <v>0.7</v>
      </c>
      <c r="F407">
        <v>48</v>
      </c>
      <c r="G407">
        <v>383</v>
      </c>
      <c r="H407">
        <v>292</v>
      </c>
      <c r="I407" s="11">
        <f t="shared" si="20"/>
        <v>76.240208877284601</v>
      </c>
      <c r="J407">
        <v>1</v>
      </c>
      <c r="K407" t="s">
        <v>36</v>
      </c>
      <c r="L407">
        <v>1</v>
      </c>
      <c r="M407" t="s">
        <v>36</v>
      </c>
      <c r="N407">
        <v>11</v>
      </c>
      <c r="O407">
        <v>3</v>
      </c>
      <c r="P407">
        <v>18</v>
      </c>
      <c r="Q407">
        <v>3</v>
      </c>
      <c r="R407">
        <v>4</v>
      </c>
      <c r="S407">
        <v>0</v>
      </c>
      <c r="AB407" t="str">
        <f t="shared" si="18"/>
        <v>Normal</v>
      </c>
      <c r="AC407" t="str">
        <f t="shared" si="19"/>
        <v>Normal</v>
      </c>
    </row>
    <row r="408" spans="4:29" x14ac:dyDescent="0.25">
      <c r="D408" t="s">
        <v>58</v>
      </c>
      <c r="E408">
        <v>3</v>
      </c>
      <c r="F408">
        <v>67</v>
      </c>
      <c r="G408">
        <v>762</v>
      </c>
      <c r="H408">
        <v>691</v>
      </c>
      <c r="I408" s="11">
        <f t="shared" si="20"/>
        <v>90.682414698162731</v>
      </c>
      <c r="J408">
        <v>3</v>
      </c>
      <c r="K408" t="s">
        <v>40</v>
      </c>
      <c r="L408">
        <v>2</v>
      </c>
      <c r="M408" t="s">
        <v>40</v>
      </c>
      <c r="N408">
        <v>23</v>
      </c>
      <c r="O408">
        <v>8</v>
      </c>
      <c r="P408">
        <v>3</v>
      </c>
      <c r="Q408">
        <v>11</v>
      </c>
      <c r="R408">
        <v>2</v>
      </c>
      <c r="S408">
        <v>0</v>
      </c>
      <c r="AB408" t="str">
        <f t="shared" si="18"/>
        <v>Normal</v>
      </c>
      <c r="AC408" t="str">
        <f t="shared" si="19"/>
        <v>Normal</v>
      </c>
    </row>
    <row r="409" spans="4:29" x14ac:dyDescent="0.25">
      <c r="D409" t="s">
        <v>55</v>
      </c>
      <c r="E409">
        <v>0.5</v>
      </c>
      <c r="F409">
        <v>38</v>
      </c>
      <c r="G409">
        <v>382</v>
      </c>
      <c r="H409">
        <v>300</v>
      </c>
      <c r="I409" s="11">
        <f t="shared" si="20"/>
        <v>78.534031413612567</v>
      </c>
      <c r="J409">
        <v>1</v>
      </c>
      <c r="K409" t="s">
        <v>36</v>
      </c>
      <c r="L409">
        <v>0</v>
      </c>
      <c r="M409" t="s">
        <v>35</v>
      </c>
      <c r="N409">
        <v>9</v>
      </c>
      <c r="O409">
        <v>3</v>
      </c>
      <c r="P409">
        <v>13</v>
      </c>
      <c r="Q409">
        <v>5</v>
      </c>
      <c r="R409">
        <v>2</v>
      </c>
      <c r="S409">
        <v>0</v>
      </c>
      <c r="AB409" t="str">
        <f t="shared" si="18"/>
        <v>Normal</v>
      </c>
      <c r="AC409" t="str">
        <f t="shared" si="19"/>
        <v>Normal</v>
      </c>
    </row>
    <row r="410" spans="4:29" x14ac:dyDescent="0.25">
      <c r="D410" t="s">
        <v>60</v>
      </c>
      <c r="E410">
        <v>1.2</v>
      </c>
      <c r="F410">
        <v>65</v>
      </c>
      <c r="G410">
        <v>557</v>
      </c>
      <c r="H410">
        <v>450</v>
      </c>
      <c r="I410" s="11">
        <f t="shared" si="20"/>
        <v>80.789946140035909</v>
      </c>
      <c r="J410">
        <v>1</v>
      </c>
      <c r="K410" t="s">
        <v>35</v>
      </c>
      <c r="L410">
        <v>0</v>
      </c>
      <c r="M410" t="s">
        <v>35</v>
      </c>
      <c r="N410">
        <v>20</v>
      </c>
      <c r="O410">
        <v>6</v>
      </c>
      <c r="P410">
        <v>13</v>
      </c>
      <c r="Q410">
        <v>12</v>
      </c>
      <c r="R410">
        <v>4</v>
      </c>
      <c r="S410">
        <v>0</v>
      </c>
      <c r="AB410" t="str">
        <f t="shared" si="18"/>
        <v>Normal</v>
      </c>
      <c r="AC410" t="str">
        <f t="shared" si="19"/>
        <v>Normal</v>
      </c>
    </row>
    <row r="411" spans="4:29" x14ac:dyDescent="0.25">
      <c r="D411" t="s">
        <v>39</v>
      </c>
      <c r="E411">
        <v>1.8</v>
      </c>
      <c r="F411">
        <v>47</v>
      </c>
      <c r="G411">
        <v>497</v>
      </c>
      <c r="H411">
        <v>414</v>
      </c>
      <c r="I411" s="11">
        <f t="shared" si="20"/>
        <v>83.299798792756548</v>
      </c>
      <c r="J411">
        <v>3</v>
      </c>
      <c r="K411" t="s">
        <v>40</v>
      </c>
      <c r="L411">
        <v>2</v>
      </c>
      <c r="M411" t="s">
        <v>40</v>
      </c>
      <c r="N411">
        <v>11</v>
      </c>
      <c r="O411">
        <v>3</v>
      </c>
      <c r="P411">
        <v>7</v>
      </c>
      <c r="Q411">
        <v>2</v>
      </c>
      <c r="R411">
        <v>1</v>
      </c>
      <c r="S411">
        <v>0</v>
      </c>
      <c r="AB411" t="str">
        <f t="shared" si="18"/>
        <v>Normal</v>
      </c>
      <c r="AC411" t="str">
        <f t="shared" si="19"/>
        <v>Normal</v>
      </c>
    </row>
    <row r="412" spans="4:29" x14ac:dyDescent="0.25">
      <c r="D412" t="s">
        <v>33</v>
      </c>
      <c r="E412">
        <v>2.6</v>
      </c>
      <c r="F412">
        <v>56</v>
      </c>
      <c r="G412">
        <v>640</v>
      </c>
      <c r="H412">
        <v>576</v>
      </c>
      <c r="I412" s="11">
        <f t="shared" si="20"/>
        <v>90</v>
      </c>
      <c r="J412">
        <v>3</v>
      </c>
      <c r="K412" t="s">
        <v>40</v>
      </c>
      <c r="L412">
        <v>2</v>
      </c>
      <c r="M412" t="s">
        <v>40</v>
      </c>
      <c r="N412">
        <v>20</v>
      </c>
      <c r="O412">
        <v>10</v>
      </c>
      <c r="P412">
        <v>14</v>
      </c>
      <c r="Q412">
        <v>7</v>
      </c>
      <c r="R412">
        <v>4</v>
      </c>
      <c r="S412">
        <v>0</v>
      </c>
      <c r="AB412" t="str">
        <f t="shared" si="18"/>
        <v>Normal</v>
      </c>
      <c r="AC412" t="str">
        <f t="shared" si="19"/>
        <v>Normal</v>
      </c>
    </row>
    <row r="413" spans="4:29" x14ac:dyDescent="0.25">
      <c r="D413" t="s">
        <v>38</v>
      </c>
      <c r="E413">
        <v>0.3</v>
      </c>
      <c r="F413">
        <v>32</v>
      </c>
      <c r="G413">
        <v>293</v>
      </c>
      <c r="H413">
        <v>205</v>
      </c>
      <c r="I413" s="11">
        <f t="shared" si="20"/>
        <v>69.965870307167236</v>
      </c>
      <c r="J413">
        <v>0</v>
      </c>
      <c r="K413" t="s">
        <v>36</v>
      </c>
      <c r="L413">
        <v>0</v>
      </c>
      <c r="M413" t="s">
        <v>36</v>
      </c>
      <c r="N413">
        <v>6</v>
      </c>
      <c r="O413">
        <v>1</v>
      </c>
      <c r="P413">
        <v>16</v>
      </c>
      <c r="Q413">
        <v>2</v>
      </c>
      <c r="R413">
        <v>3</v>
      </c>
      <c r="S413">
        <v>0</v>
      </c>
      <c r="AB413" t="str">
        <f t="shared" si="18"/>
        <v>Normal</v>
      </c>
      <c r="AC413" t="str">
        <f t="shared" si="19"/>
        <v>Normal</v>
      </c>
    </row>
    <row r="414" spans="4:29" x14ac:dyDescent="0.25">
      <c r="D414" t="s">
        <v>59</v>
      </c>
      <c r="E414">
        <v>1.2</v>
      </c>
      <c r="F414">
        <v>34</v>
      </c>
      <c r="G414">
        <v>333</v>
      </c>
      <c r="H414">
        <v>229</v>
      </c>
      <c r="I414" s="11">
        <f t="shared" si="20"/>
        <v>68.76876876876878</v>
      </c>
      <c r="J414">
        <v>2</v>
      </c>
      <c r="K414" t="s">
        <v>36</v>
      </c>
      <c r="L414">
        <v>1</v>
      </c>
      <c r="M414" t="s">
        <v>40</v>
      </c>
      <c r="N414">
        <v>9</v>
      </c>
      <c r="O414">
        <v>4</v>
      </c>
      <c r="P414">
        <v>15</v>
      </c>
      <c r="Q414">
        <v>2</v>
      </c>
      <c r="R414">
        <v>3</v>
      </c>
      <c r="S414">
        <v>0</v>
      </c>
      <c r="AB414" t="str">
        <f t="shared" si="18"/>
        <v>Normal</v>
      </c>
      <c r="AC414" t="str">
        <f t="shared" si="19"/>
        <v>Normal</v>
      </c>
    </row>
    <row r="415" spans="4:29" x14ac:dyDescent="0.25">
      <c r="D415" t="s">
        <v>51</v>
      </c>
      <c r="E415">
        <v>0.8</v>
      </c>
      <c r="F415">
        <v>46</v>
      </c>
      <c r="G415">
        <v>379</v>
      </c>
      <c r="H415">
        <v>283</v>
      </c>
      <c r="I415" s="11">
        <f t="shared" si="20"/>
        <v>74.670184696569919</v>
      </c>
      <c r="J415">
        <v>1</v>
      </c>
      <c r="K415" t="s">
        <v>36</v>
      </c>
      <c r="L415">
        <v>0</v>
      </c>
      <c r="M415" t="s">
        <v>35</v>
      </c>
      <c r="N415">
        <v>11</v>
      </c>
      <c r="O415">
        <v>3</v>
      </c>
      <c r="P415">
        <v>18</v>
      </c>
      <c r="Q415">
        <v>2</v>
      </c>
      <c r="R415">
        <v>3</v>
      </c>
      <c r="S415">
        <v>0</v>
      </c>
      <c r="AB415" t="str">
        <f t="shared" si="18"/>
        <v>Normal</v>
      </c>
      <c r="AC415" t="str">
        <f t="shared" si="19"/>
        <v>Normal</v>
      </c>
    </row>
    <row r="416" spans="4:29" x14ac:dyDescent="0.25">
      <c r="D416" t="s">
        <v>48</v>
      </c>
      <c r="E416">
        <v>0.4</v>
      </c>
      <c r="F416">
        <v>32</v>
      </c>
      <c r="G416">
        <v>304</v>
      </c>
      <c r="H416">
        <v>197</v>
      </c>
      <c r="I416" s="11">
        <f t="shared" si="20"/>
        <v>64.80263157894737</v>
      </c>
      <c r="J416">
        <v>1</v>
      </c>
      <c r="K416" t="s">
        <v>40</v>
      </c>
      <c r="L416">
        <v>0</v>
      </c>
      <c r="M416" t="s">
        <v>36</v>
      </c>
      <c r="N416">
        <v>5</v>
      </c>
      <c r="O416">
        <v>3</v>
      </c>
      <c r="P416">
        <v>6</v>
      </c>
      <c r="Q416">
        <v>2</v>
      </c>
      <c r="R416">
        <v>4</v>
      </c>
      <c r="S416">
        <v>0</v>
      </c>
      <c r="AB416" t="str">
        <f t="shared" si="18"/>
        <v>Normal</v>
      </c>
      <c r="AC416" t="str">
        <f t="shared" si="19"/>
        <v>Normal</v>
      </c>
    </row>
    <row r="417" spans="4:29" x14ac:dyDescent="0.25">
      <c r="D417" t="s">
        <v>54</v>
      </c>
      <c r="E417">
        <v>1</v>
      </c>
      <c r="F417">
        <v>46</v>
      </c>
      <c r="G417">
        <v>492</v>
      </c>
      <c r="H417">
        <v>414</v>
      </c>
      <c r="I417" s="11">
        <f t="shared" si="20"/>
        <v>84.146341463414629</v>
      </c>
      <c r="J417">
        <v>1</v>
      </c>
      <c r="K417" t="s">
        <v>35</v>
      </c>
      <c r="L417">
        <v>1</v>
      </c>
      <c r="M417" t="s">
        <v>35</v>
      </c>
      <c r="N417">
        <v>8</v>
      </c>
      <c r="O417">
        <v>5</v>
      </c>
      <c r="P417">
        <v>3</v>
      </c>
      <c r="Q417">
        <v>3</v>
      </c>
      <c r="R417">
        <v>1</v>
      </c>
      <c r="S417">
        <v>0</v>
      </c>
      <c r="AB417" t="str">
        <f t="shared" si="18"/>
        <v>Normal</v>
      </c>
      <c r="AC417" t="str">
        <f t="shared" si="19"/>
        <v>Normal</v>
      </c>
    </row>
    <row r="418" spans="4:29" x14ac:dyDescent="0.25">
      <c r="D418" t="s">
        <v>44</v>
      </c>
      <c r="E418">
        <v>0.9</v>
      </c>
      <c r="F418">
        <v>28</v>
      </c>
      <c r="G418">
        <v>272</v>
      </c>
      <c r="H418">
        <v>203</v>
      </c>
      <c r="I418" s="11">
        <f t="shared" si="20"/>
        <v>74.632352941176478</v>
      </c>
      <c r="J418">
        <v>2</v>
      </c>
      <c r="K418" t="s">
        <v>35</v>
      </c>
      <c r="L418">
        <v>2</v>
      </c>
      <c r="M418" t="s">
        <v>40</v>
      </c>
      <c r="N418">
        <v>6</v>
      </c>
      <c r="O418">
        <v>2</v>
      </c>
      <c r="P418">
        <v>12</v>
      </c>
      <c r="Q418">
        <v>2</v>
      </c>
      <c r="R418">
        <v>4</v>
      </c>
      <c r="S418">
        <v>0</v>
      </c>
      <c r="AB418" t="str">
        <f t="shared" si="18"/>
        <v>Normal</v>
      </c>
      <c r="AC418" t="str">
        <f t="shared" si="19"/>
        <v>Normal</v>
      </c>
    </row>
    <row r="419" spans="4:29" x14ac:dyDescent="0.25">
      <c r="D419" t="s">
        <v>57</v>
      </c>
      <c r="E419">
        <v>0.8</v>
      </c>
      <c r="F419">
        <v>66</v>
      </c>
      <c r="G419">
        <v>619</v>
      </c>
      <c r="H419">
        <v>522</v>
      </c>
      <c r="I419" s="11">
        <f t="shared" si="20"/>
        <v>84.329563812600966</v>
      </c>
      <c r="J419">
        <v>1</v>
      </c>
      <c r="K419" t="s">
        <v>40</v>
      </c>
      <c r="L419">
        <v>0</v>
      </c>
      <c r="M419" t="s">
        <v>36</v>
      </c>
      <c r="N419">
        <v>10</v>
      </c>
      <c r="O419">
        <v>3</v>
      </c>
      <c r="P419">
        <v>9</v>
      </c>
      <c r="Q419">
        <v>3</v>
      </c>
      <c r="R419">
        <v>8</v>
      </c>
      <c r="S419">
        <v>0</v>
      </c>
      <c r="AB419" t="str">
        <f t="shared" si="18"/>
        <v>Normal</v>
      </c>
      <c r="AC419" t="str">
        <f t="shared" si="19"/>
        <v>Normal</v>
      </c>
    </row>
    <row r="420" spans="4:29" x14ac:dyDescent="0.25">
      <c r="D420" t="s">
        <v>42</v>
      </c>
      <c r="E420">
        <v>0.7</v>
      </c>
      <c r="F420">
        <v>37</v>
      </c>
      <c r="G420">
        <v>320</v>
      </c>
      <c r="H420">
        <v>235</v>
      </c>
      <c r="I420" s="11">
        <f t="shared" si="20"/>
        <v>73.4375</v>
      </c>
      <c r="J420">
        <v>1</v>
      </c>
      <c r="K420" t="s">
        <v>40</v>
      </c>
      <c r="L420">
        <v>0</v>
      </c>
      <c r="M420" t="s">
        <v>36</v>
      </c>
      <c r="N420">
        <v>7</v>
      </c>
      <c r="O420">
        <v>4</v>
      </c>
      <c r="P420">
        <v>10</v>
      </c>
      <c r="Q420">
        <v>6</v>
      </c>
      <c r="R420">
        <v>3</v>
      </c>
      <c r="S420">
        <v>0</v>
      </c>
      <c r="AB420" t="str">
        <f t="shared" si="18"/>
        <v>Normal</v>
      </c>
      <c r="AC420" t="str">
        <f t="shared" si="19"/>
        <v>Normal</v>
      </c>
    </row>
    <row r="421" spans="4:29" x14ac:dyDescent="0.25">
      <c r="D421" t="s">
        <v>46</v>
      </c>
      <c r="E421">
        <v>1.5</v>
      </c>
      <c r="F421">
        <v>51</v>
      </c>
      <c r="G421">
        <v>505</v>
      </c>
      <c r="H421">
        <v>434</v>
      </c>
      <c r="I421" s="11">
        <f t="shared" si="20"/>
        <v>85.940594059405939</v>
      </c>
      <c r="J421">
        <v>2</v>
      </c>
      <c r="K421" t="s">
        <v>40</v>
      </c>
      <c r="L421">
        <v>0</v>
      </c>
      <c r="M421" t="s">
        <v>35</v>
      </c>
      <c r="N421">
        <v>14</v>
      </c>
      <c r="O421">
        <v>6</v>
      </c>
      <c r="P421">
        <v>6</v>
      </c>
      <c r="Q421">
        <v>7</v>
      </c>
      <c r="R421">
        <v>3</v>
      </c>
      <c r="S421">
        <v>0</v>
      </c>
      <c r="AB421" t="str">
        <f t="shared" si="18"/>
        <v>Normal</v>
      </c>
      <c r="AC421" t="str">
        <f t="shared" si="19"/>
        <v>Normal</v>
      </c>
    </row>
    <row r="422" spans="4:29" x14ac:dyDescent="0.25">
      <c r="D422" t="s">
        <v>57</v>
      </c>
      <c r="E422">
        <v>2.2000000000000002</v>
      </c>
      <c r="F422">
        <v>47</v>
      </c>
      <c r="G422">
        <v>479</v>
      </c>
      <c r="H422">
        <v>410</v>
      </c>
      <c r="I422" s="11">
        <f t="shared" si="20"/>
        <v>85.594989561586644</v>
      </c>
      <c r="J422">
        <v>3</v>
      </c>
      <c r="K422" t="s">
        <v>40</v>
      </c>
      <c r="L422">
        <v>2</v>
      </c>
      <c r="M422" t="s">
        <v>40</v>
      </c>
      <c r="N422">
        <v>12</v>
      </c>
      <c r="O422">
        <v>5</v>
      </c>
      <c r="P422">
        <v>9</v>
      </c>
      <c r="Q422">
        <v>5</v>
      </c>
      <c r="R422">
        <v>2</v>
      </c>
      <c r="S422">
        <v>0</v>
      </c>
      <c r="AB422" t="str">
        <f t="shared" si="18"/>
        <v>Normal</v>
      </c>
      <c r="AC422" t="str">
        <f t="shared" si="19"/>
        <v>Normal</v>
      </c>
    </row>
    <row r="423" spans="4:29" x14ac:dyDescent="0.25">
      <c r="D423" t="s">
        <v>43</v>
      </c>
      <c r="E423">
        <v>0.5</v>
      </c>
      <c r="F423">
        <v>47</v>
      </c>
      <c r="G423">
        <v>432</v>
      </c>
      <c r="H423">
        <v>364</v>
      </c>
      <c r="I423" s="11">
        <f t="shared" si="20"/>
        <v>84.259259259259252</v>
      </c>
      <c r="J423">
        <v>1</v>
      </c>
      <c r="K423" t="s">
        <v>35</v>
      </c>
      <c r="L423">
        <v>1</v>
      </c>
      <c r="M423" t="s">
        <v>40</v>
      </c>
      <c r="N423">
        <v>10</v>
      </c>
      <c r="O423">
        <v>4</v>
      </c>
      <c r="P423">
        <v>16</v>
      </c>
      <c r="Q423">
        <v>5</v>
      </c>
      <c r="R423">
        <v>6</v>
      </c>
      <c r="S423">
        <v>0</v>
      </c>
      <c r="AB423" t="str">
        <f t="shared" si="18"/>
        <v>Normal</v>
      </c>
      <c r="AC423" t="str">
        <f t="shared" si="19"/>
        <v>Normal</v>
      </c>
    </row>
    <row r="424" spans="4:29" x14ac:dyDescent="0.25">
      <c r="D424" t="s">
        <v>46</v>
      </c>
      <c r="E424">
        <v>1.5</v>
      </c>
      <c r="F424">
        <v>61</v>
      </c>
      <c r="G424">
        <v>605</v>
      </c>
      <c r="H424">
        <v>537</v>
      </c>
      <c r="I424" s="11">
        <f t="shared" si="20"/>
        <v>88.760330578512395</v>
      </c>
      <c r="J424">
        <v>1</v>
      </c>
      <c r="K424" t="s">
        <v>35</v>
      </c>
      <c r="L424">
        <v>0</v>
      </c>
      <c r="M424" t="s">
        <v>35</v>
      </c>
      <c r="N424">
        <v>15</v>
      </c>
      <c r="O424">
        <v>4</v>
      </c>
      <c r="P424">
        <v>8</v>
      </c>
      <c r="Q424">
        <v>0</v>
      </c>
      <c r="R424">
        <v>0</v>
      </c>
      <c r="S424">
        <v>0</v>
      </c>
      <c r="AB424" t="str">
        <f t="shared" si="18"/>
        <v>Normal</v>
      </c>
      <c r="AC424" t="str">
        <f t="shared" si="19"/>
        <v>Normal</v>
      </c>
    </row>
    <row r="425" spans="4:29" x14ac:dyDescent="0.25">
      <c r="D425" t="s">
        <v>44</v>
      </c>
      <c r="E425">
        <v>1.1000000000000001</v>
      </c>
      <c r="F425">
        <v>42</v>
      </c>
      <c r="G425">
        <v>380</v>
      </c>
      <c r="H425">
        <v>295</v>
      </c>
      <c r="I425" s="11">
        <f t="shared" si="20"/>
        <v>77.631578947368425</v>
      </c>
      <c r="J425">
        <v>1</v>
      </c>
      <c r="K425" t="s">
        <v>36</v>
      </c>
      <c r="L425">
        <v>1</v>
      </c>
      <c r="M425" t="s">
        <v>40</v>
      </c>
      <c r="N425">
        <v>16</v>
      </c>
      <c r="O425">
        <v>5</v>
      </c>
      <c r="P425">
        <v>12</v>
      </c>
      <c r="Q425">
        <v>1</v>
      </c>
      <c r="R425">
        <v>2</v>
      </c>
      <c r="S425">
        <v>0</v>
      </c>
      <c r="AB425" t="str">
        <f t="shared" si="18"/>
        <v>Normal</v>
      </c>
      <c r="AC425" t="str">
        <f t="shared" si="19"/>
        <v>Normal</v>
      </c>
    </row>
    <row r="426" spans="4:29" x14ac:dyDescent="0.25">
      <c r="D426" t="s">
        <v>49</v>
      </c>
      <c r="E426">
        <v>1.1000000000000001</v>
      </c>
      <c r="F426">
        <v>42</v>
      </c>
      <c r="G426">
        <v>442</v>
      </c>
      <c r="H426">
        <v>360</v>
      </c>
      <c r="I426" s="11">
        <f t="shared" si="20"/>
        <v>81.447963800904972</v>
      </c>
      <c r="J426">
        <v>0</v>
      </c>
      <c r="K426" t="s">
        <v>35</v>
      </c>
      <c r="L426">
        <v>0</v>
      </c>
      <c r="M426" t="s">
        <v>35</v>
      </c>
      <c r="N426">
        <v>19</v>
      </c>
      <c r="O426">
        <v>6</v>
      </c>
      <c r="P426">
        <v>12</v>
      </c>
      <c r="Q426">
        <v>9</v>
      </c>
      <c r="R426">
        <v>4</v>
      </c>
      <c r="S426">
        <v>0</v>
      </c>
      <c r="AB426" t="str">
        <f t="shared" si="18"/>
        <v>Normal</v>
      </c>
      <c r="AC426" t="str">
        <f t="shared" si="19"/>
        <v>Normal</v>
      </c>
    </row>
    <row r="427" spans="4:29" x14ac:dyDescent="0.25">
      <c r="D427" t="s">
        <v>38</v>
      </c>
      <c r="E427">
        <v>1.6</v>
      </c>
      <c r="F427">
        <v>47</v>
      </c>
      <c r="G427">
        <v>452</v>
      </c>
      <c r="H427">
        <v>371</v>
      </c>
      <c r="I427" s="11">
        <f t="shared" si="20"/>
        <v>82.079646017699119</v>
      </c>
      <c r="J427">
        <v>1</v>
      </c>
      <c r="K427" t="s">
        <v>36</v>
      </c>
      <c r="L427">
        <v>0</v>
      </c>
      <c r="M427" t="s">
        <v>35</v>
      </c>
      <c r="N427">
        <v>13</v>
      </c>
      <c r="O427">
        <v>6</v>
      </c>
      <c r="P427">
        <v>16</v>
      </c>
      <c r="Q427">
        <v>10</v>
      </c>
      <c r="R427">
        <v>4</v>
      </c>
      <c r="S427">
        <v>0</v>
      </c>
      <c r="AB427" t="str">
        <f t="shared" si="18"/>
        <v>Normal</v>
      </c>
      <c r="AC427" t="str">
        <f t="shared" si="19"/>
        <v>Normal</v>
      </c>
    </row>
    <row r="428" spans="4:29" x14ac:dyDescent="0.25">
      <c r="D428" t="s">
        <v>54</v>
      </c>
      <c r="E428">
        <v>0.8</v>
      </c>
      <c r="F428">
        <v>52</v>
      </c>
      <c r="G428">
        <v>523</v>
      </c>
      <c r="H428">
        <v>411</v>
      </c>
      <c r="I428" s="11">
        <f t="shared" si="20"/>
        <v>78.585086042065015</v>
      </c>
      <c r="J428">
        <v>1</v>
      </c>
      <c r="K428" t="s">
        <v>35</v>
      </c>
      <c r="L428">
        <v>1</v>
      </c>
      <c r="M428" t="s">
        <v>35</v>
      </c>
      <c r="N428">
        <v>6</v>
      </c>
      <c r="O428">
        <v>6</v>
      </c>
      <c r="P428">
        <v>9</v>
      </c>
      <c r="Q428">
        <v>4</v>
      </c>
      <c r="R428">
        <v>1</v>
      </c>
      <c r="S428">
        <v>0</v>
      </c>
      <c r="AB428" t="str">
        <f t="shared" si="18"/>
        <v>Normal</v>
      </c>
      <c r="AC428" t="str">
        <f t="shared" si="19"/>
        <v>Normal</v>
      </c>
    </row>
    <row r="429" spans="4:29" x14ac:dyDescent="0.25">
      <c r="D429" t="s">
        <v>33</v>
      </c>
      <c r="E429">
        <v>1.6</v>
      </c>
      <c r="F429">
        <v>67</v>
      </c>
      <c r="G429">
        <v>698</v>
      </c>
      <c r="H429">
        <v>586</v>
      </c>
      <c r="I429" s="11">
        <f t="shared" si="20"/>
        <v>83.954154727793693</v>
      </c>
      <c r="J429">
        <v>0</v>
      </c>
      <c r="K429" t="s">
        <v>36</v>
      </c>
      <c r="L429">
        <v>0</v>
      </c>
      <c r="M429" t="s">
        <v>36</v>
      </c>
      <c r="N429">
        <v>15</v>
      </c>
      <c r="O429">
        <v>6</v>
      </c>
      <c r="P429">
        <v>12</v>
      </c>
      <c r="Q429">
        <v>11</v>
      </c>
      <c r="R429">
        <v>1</v>
      </c>
      <c r="S429">
        <v>0</v>
      </c>
      <c r="AB429" t="str">
        <f t="shared" si="18"/>
        <v>Normal</v>
      </c>
      <c r="AC429" t="str">
        <f t="shared" si="19"/>
        <v>Normal</v>
      </c>
    </row>
    <row r="430" spans="4:29" x14ac:dyDescent="0.25">
      <c r="D430" t="s">
        <v>48</v>
      </c>
      <c r="E430">
        <v>1.4</v>
      </c>
      <c r="F430">
        <v>30</v>
      </c>
      <c r="G430">
        <v>270</v>
      </c>
      <c r="H430">
        <v>182</v>
      </c>
      <c r="I430" s="11">
        <f t="shared" si="20"/>
        <v>67.407407407407405</v>
      </c>
      <c r="J430">
        <v>2</v>
      </c>
      <c r="K430" t="s">
        <v>36</v>
      </c>
      <c r="L430">
        <v>1</v>
      </c>
      <c r="M430" t="s">
        <v>35</v>
      </c>
      <c r="N430">
        <v>4</v>
      </c>
      <c r="O430">
        <v>3</v>
      </c>
      <c r="P430">
        <v>11</v>
      </c>
      <c r="Q430">
        <v>1</v>
      </c>
      <c r="R430">
        <v>4</v>
      </c>
      <c r="S430">
        <v>1</v>
      </c>
      <c r="AB430" t="str">
        <f t="shared" si="18"/>
        <v>Normal</v>
      </c>
      <c r="AC430" t="str">
        <f t="shared" si="19"/>
        <v>Normal</v>
      </c>
    </row>
    <row r="431" spans="4:29" x14ac:dyDescent="0.25">
      <c r="D431" t="s">
        <v>42</v>
      </c>
      <c r="E431">
        <v>0.7</v>
      </c>
      <c r="F431">
        <v>23</v>
      </c>
      <c r="G431">
        <v>221</v>
      </c>
      <c r="H431">
        <v>154</v>
      </c>
      <c r="I431" s="11">
        <f t="shared" si="20"/>
        <v>69.68325791855203</v>
      </c>
      <c r="J431">
        <v>2</v>
      </c>
      <c r="K431" t="s">
        <v>36</v>
      </c>
      <c r="L431">
        <v>2</v>
      </c>
      <c r="M431" t="s">
        <v>40</v>
      </c>
      <c r="N431">
        <v>5</v>
      </c>
      <c r="O431">
        <v>3</v>
      </c>
      <c r="P431">
        <v>10</v>
      </c>
      <c r="Q431">
        <v>2</v>
      </c>
      <c r="R431">
        <v>4</v>
      </c>
      <c r="S431">
        <v>1</v>
      </c>
      <c r="AB431" t="str">
        <f t="shared" si="18"/>
        <v>Normal</v>
      </c>
      <c r="AC431" t="str">
        <f t="shared" si="19"/>
        <v>Normal</v>
      </c>
    </row>
    <row r="432" spans="4:29" x14ac:dyDescent="0.25">
      <c r="D432" t="s">
        <v>58</v>
      </c>
      <c r="E432">
        <v>0.9</v>
      </c>
      <c r="F432">
        <v>62</v>
      </c>
      <c r="G432">
        <v>598</v>
      </c>
      <c r="H432">
        <v>511</v>
      </c>
      <c r="I432" s="11">
        <f t="shared" si="20"/>
        <v>85.451505016722408</v>
      </c>
      <c r="J432">
        <v>1</v>
      </c>
      <c r="K432" t="s">
        <v>36</v>
      </c>
      <c r="L432">
        <v>1</v>
      </c>
      <c r="M432" t="s">
        <v>40</v>
      </c>
      <c r="N432">
        <v>16</v>
      </c>
      <c r="O432">
        <v>6</v>
      </c>
      <c r="P432">
        <v>10</v>
      </c>
      <c r="Q432">
        <v>6</v>
      </c>
      <c r="R432">
        <v>4</v>
      </c>
      <c r="S432">
        <v>0</v>
      </c>
      <c r="AB432" t="str">
        <f t="shared" si="18"/>
        <v>Normal</v>
      </c>
      <c r="AC432" t="str">
        <f t="shared" si="19"/>
        <v>Normal</v>
      </c>
    </row>
    <row r="433" spans="4:29" x14ac:dyDescent="0.25">
      <c r="D433" t="s">
        <v>59</v>
      </c>
      <c r="E433">
        <v>0.3</v>
      </c>
      <c r="F433">
        <v>26</v>
      </c>
      <c r="G433">
        <v>257</v>
      </c>
      <c r="H433">
        <v>192</v>
      </c>
      <c r="I433" s="11">
        <f t="shared" si="20"/>
        <v>74.708171206225686</v>
      </c>
      <c r="J433">
        <v>2</v>
      </c>
      <c r="K433" t="s">
        <v>35</v>
      </c>
      <c r="L433">
        <v>0</v>
      </c>
      <c r="M433" t="s">
        <v>35</v>
      </c>
      <c r="N433">
        <v>5</v>
      </c>
      <c r="O433">
        <v>3</v>
      </c>
      <c r="P433">
        <v>6</v>
      </c>
      <c r="Q433">
        <v>0</v>
      </c>
      <c r="R433">
        <v>4</v>
      </c>
      <c r="S433">
        <v>0</v>
      </c>
      <c r="AB433" t="str">
        <f t="shared" si="18"/>
        <v>Normal</v>
      </c>
      <c r="AC433" t="str">
        <f t="shared" si="19"/>
        <v>Normal</v>
      </c>
    </row>
    <row r="434" spans="4:29" x14ac:dyDescent="0.25">
      <c r="D434" t="s">
        <v>51</v>
      </c>
      <c r="E434">
        <v>1</v>
      </c>
      <c r="F434">
        <v>43</v>
      </c>
      <c r="G434">
        <v>439</v>
      </c>
      <c r="H434">
        <v>338</v>
      </c>
      <c r="I434" s="11">
        <f t="shared" si="20"/>
        <v>76.993166287015953</v>
      </c>
      <c r="J434">
        <v>1</v>
      </c>
      <c r="K434" t="s">
        <v>36</v>
      </c>
      <c r="L434">
        <v>0</v>
      </c>
      <c r="M434" t="s">
        <v>35</v>
      </c>
      <c r="N434">
        <v>19</v>
      </c>
      <c r="O434">
        <v>3</v>
      </c>
      <c r="P434">
        <v>11</v>
      </c>
      <c r="Q434">
        <v>7</v>
      </c>
      <c r="R434">
        <v>3</v>
      </c>
      <c r="S434">
        <v>0</v>
      </c>
      <c r="AB434" t="str">
        <f t="shared" si="18"/>
        <v>Normal</v>
      </c>
      <c r="AC434" t="str">
        <f t="shared" si="19"/>
        <v>Normal</v>
      </c>
    </row>
    <row r="435" spans="4:29" x14ac:dyDescent="0.25">
      <c r="D435" t="s">
        <v>45</v>
      </c>
      <c r="E435">
        <v>1.1000000000000001</v>
      </c>
      <c r="F435">
        <v>59</v>
      </c>
      <c r="G435">
        <v>593</v>
      </c>
      <c r="H435">
        <v>501</v>
      </c>
      <c r="I435" s="11">
        <f t="shared" si="20"/>
        <v>84.485666104553118</v>
      </c>
      <c r="J435">
        <v>2</v>
      </c>
      <c r="K435" t="s">
        <v>35</v>
      </c>
      <c r="L435">
        <v>2</v>
      </c>
      <c r="M435" t="s">
        <v>35</v>
      </c>
      <c r="N435">
        <v>15</v>
      </c>
      <c r="O435">
        <v>5</v>
      </c>
      <c r="P435">
        <v>8</v>
      </c>
      <c r="Q435">
        <v>2</v>
      </c>
      <c r="R435">
        <v>2</v>
      </c>
      <c r="S435">
        <v>0</v>
      </c>
      <c r="AB435" t="str">
        <f t="shared" si="18"/>
        <v>Normal</v>
      </c>
      <c r="AC435" t="str">
        <f t="shared" si="19"/>
        <v>Normal</v>
      </c>
    </row>
    <row r="436" spans="4:29" x14ac:dyDescent="0.25">
      <c r="D436" t="s">
        <v>55</v>
      </c>
      <c r="E436">
        <v>0.9</v>
      </c>
      <c r="F436">
        <v>59</v>
      </c>
      <c r="G436">
        <v>581</v>
      </c>
      <c r="H436">
        <v>458</v>
      </c>
      <c r="I436" s="11">
        <f t="shared" si="20"/>
        <v>78.829604130808946</v>
      </c>
      <c r="J436">
        <v>1</v>
      </c>
      <c r="K436" t="s">
        <v>35</v>
      </c>
      <c r="L436">
        <v>1</v>
      </c>
      <c r="M436" t="s">
        <v>40</v>
      </c>
      <c r="N436">
        <v>17</v>
      </c>
      <c r="O436">
        <v>5</v>
      </c>
      <c r="P436">
        <v>11</v>
      </c>
      <c r="Q436">
        <v>8</v>
      </c>
      <c r="R436">
        <v>1</v>
      </c>
      <c r="S436">
        <v>0</v>
      </c>
      <c r="AB436" t="str">
        <f t="shared" si="18"/>
        <v>Normal</v>
      </c>
      <c r="AC436" t="str">
        <f t="shared" si="19"/>
        <v>Normal</v>
      </c>
    </row>
    <row r="437" spans="4:29" x14ac:dyDescent="0.25">
      <c r="D437" t="s">
        <v>34</v>
      </c>
      <c r="E437">
        <v>1.3</v>
      </c>
      <c r="F437">
        <v>59</v>
      </c>
      <c r="G437">
        <v>563</v>
      </c>
      <c r="H437">
        <v>473</v>
      </c>
      <c r="I437" s="11">
        <f t="shared" si="20"/>
        <v>84.014209591474241</v>
      </c>
      <c r="J437">
        <v>1</v>
      </c>
      <c r="K437" t="s">
        <v>40</v>
      </c>
      <c r="L437">
        <v>0</v>
      </c>
      <c r="M437" t="s">
        <v>36</v>
      </c>
      <c r="N437">
        <v>14</v>
      </c>
      <c r="O437">
        <v>2</v>
      </c>
      <c r="P437">
        <v>15</v>
      </c>
      <c r="Q437">
        <v>5</v>
      </c>
      <c r="R437">
        <v>4</v>
      </c>
      <c r="S437">
        <v>0</v>
      </c>
      <c r="AB437" t="str">
        <f t="shared" si="18"/>
        <v>Normal</v>
      </c>
      <c r="AC437" t="str">
        <f t="shared" si="19"/>
        <v>Normal</v>
      </c>
    </row>
    <row r="438" spans="4:29" x14ac:dyDescent="0.25">
      <c r="D438" t="s">
        <v>39</v>
      </c>
      <c r="E438">
        <v>2.5</v>
      </c>
      <c r="F438">
        <v>55</v>
      </c>
      <c r="G438">
        <v>574</v>
      </c>
      <c r="H438">
        <v>476</v>
      </c>
      <c r="I438" s="11">
        <f t="shared" si="20"/>
        <v>82.926829268292678</v>
      </c>
      <c r="J438">
        <v>2</v>
      </c>
      <c r="K438" t="s">
        <v>40</v>
      </c>
      <c r="L438">
        <v>1</v>
      </c>
      <c r="M438" t="s">
        <v>40</v>
      </c>
      <c r="N438">
        <v>10</v>
      </c>
      <c r="O438">
        <v>6</v>
      </c>
      <c r="P438">
        <v>8</v>
      </c>
      <c r="Q438">
        <v>10</v>
      </c>
      <c r="R438">
        <v>3</v>
      </c>
      <c r="S438">
        <v>0</v>
      </c>
      <c r="AB438" t="str">
        <f t="shared" si="18"/>
        <v>Normal</v>
      </c>
      <c r="AC438" t="str">
        <f t="shared" si="19"/>
        <v>Normal</v>
      </c>
    </row>
    <row r="439" spans="4:29" x14ac:dyDescent="0.25">
      <c r="D439" t="s">
        <v>52</v>
      </c>
      <c r="E439">
        <v>0.8</v>
      </c>
      <c r="F439">
        <v>56</v>
      </c>
      <c r="G439">
        <v>561</v>
      </c>
      <c r="H439">
        <v>493</v>
      </c>
      <c r="I439" s="11">
        <f t="shared" si="20"/>
        <v>87.878787878787875</v>
      </c>
      <c r="J439">
        <v>2</v>
      </c>
      <c r="K439" t="s">
        <v>36</v>
      </c>
      <c r="L439">
        <v>2</v>
      </c>
      <c r="M439" t="s">
        <v>40</v>
      </c>
      <c r="N439">
        <v>7</v>
      </c>
      <c r="O439">
        <v>3</v>
      </c>
      <c r="P439">
        <v>14</v>
      </c>
      <c r="Q439">
        <v>0</v>
      </c>
      <c r="R439">
        <v>1</v>
      </c>
      <c r="S439">
        <v>0</v>
      </c>
      <c r="AB439" t="str">
        <f t="shared" si="18"/>
        <v>Normal</v>
      </c>
      <c r="AC439" t="str">
        <f t="shared" si="19"/>
        <v>Normal</v>
      </c>
    </row>
    <row r="440" spans="4:29" x14ac:dyDescent="0.25">
      <c r="D440" t="s">
        <v>60</v>
      </c>
      <c r="E440">
        <v>4.4000000000000004</v>
      </c>
      <c r="F440">
        <v>61</v>
      </c>
      <c r="G440">
        <v>675</v>
      </c>
      <c r="H440">
        <v>591</v>
      </c>
      <c r="I440" s="11">
        <f t="shared" si="20"/>
        <v>87.555555555555557</v>
      </c>
      <c r="J440">
        <v>3</v>
      </c>
      <c r="K440" t="s">
        <v>40</v>
      </c>
      <c r="L440">
        <v>1</v>
      </c>
      <c r="M440" t="s">
        <v>40</v>
      </c>
      <c r="N440">
        <v>24</v>
      </c>
      <c r="O440">
        <v>10</v>
      </c>
      <c r="P440">
        <v>14</v>
      </c>
      <c r="Q440">
        <v>3</v>
      </c>
      <c r="R440">
        <v>3</v>
      </c>
      <c r="S440">
        <v>0</v>
      </c>
      <c r="AB440" t="str">
        <f t="shared" si="18"/>
        <v>Normal</v>
      </c>
      <c r="AC440" t="str">
        <f t="shared" si="19"/>
        <v>Normal</v>
      </c>
    </row>
    <row r="441" spans="4:29" x14ac:dyDescent="0.25">
      <c r="D441" t="s">
        <v>47</v>
      </c>
      <c r="E441">
        <v>0.6</v>
      </c>
      <c r="F441">
        <v>60</v>
      </c>
      <c r="G441">
        <v>620</v>
      </c>
      <c r="H441">
        <v>530</v>
      </c>
      <c r="I441" s="11">
        <f t="shared" si="20"/>
        <v>85.483870967741936</v>
      </c>
      <c r="J441">
        <v>1</v>
      </c>
      <c r="K441" t="s">
        <v>35</v>
      </c>
      <c r="L441">
        <v>0</v>
      </c>
      <c r="M441" t="s">
        <v>35</v>
      </c>
      <c r="N441">
        <v>9</v>
      </c>
      <c r="O441">
        <v>3</v>
      </c>
      <c r="P441">
        <v>12</v>
      </c>
      <c r="Q441">
        <v>4</v>
      </c>
      <c r="R441">
        <v>5</v>
      </c>
      <c r="S441">
        <v>0</v>
      </c>
      <c r="AB441" t="str">
        <f t="shared" si="18"/>
        <v>Normal</v>
      </c>
      <c r="AC441" t="str">
        <f t="shared" si="19"/>
        <v>Normal</v>
      </c>
    </row>
    <row r="442" spans="4:29" x14ac:dyDescent="0.25">
      <c r="D442" t="s">
        <v>39</v>
      </c>
      <c r="E442">
        <v>1.4</v>
      </c>
      <c r="F442">
        <v>68</v>
      </c>
      <c r="G442">
        <v>691</v>
      </c>
      <c r="H442">
        <v>584</v>
      </c>
      <c r="I442" s="11">
        <f t="shared" si="20"/>
        <v>84.515195369030394</v>
      </c>
      <c r="J442">
        <v>1</v>
      </c>
      <c r="K442" t="s">
        <v>40</v>
      </c>
      <c r="L442">
        <v>1</v>
      </c>
      <c r="M442" t="s">
        <v>40</v>
      </c>
      <c r="N442">
        <v>16</v>
      </c>
      <c r="O442">
        <v>4</v>
      </c>
      <c r="P442">
        <v>15</v>
      </c>
      <c r="Q442">
        <v>8</v>
      </c>
      <c r="R442">
        <v>2</v>
      </c>
      <c r="S442">
        <v>0</v>
      </c>
      <c r="AB442" t="str">
        <f t="shared" si="18"/>
        <v>Normal</v>
      </c>
      <c r="AC442" t="str">
        <f t="shared" si="19"/>
        <v>Normal</v>
      </c>
    </row>
    <row r="443" spans="4:29" x14ac:dyDescent="0.25">
      <c r="D443" t="s">
        <v>47</v>
      </c>
      <c r="E443">
        <v>0.6</v>
      </c>
      <c r="F443">
        <v>41</v>
      </c>
      <c r="G443">
        <v>411</v>
      </c>
      <c r="H443">
        <v>345</v>
      </c>
      <c r="I443" s="11">
        <f t="shared" si="20"/>
        <v>83.941605839416056</v>
      </c>
      <c r="J443">
        <v>1</v>
      </c>
      <c r="K443" t="s">
        <v>35</v>
      </c>
      <c r="L443">
        <v>0</v>
      </c>
      <c r="M443" t="s">
        <v>36</v>
      </c>
      <c r="N443">
        <v>8</v>
      </c>
      <c r="O443">
        <v>2</v>
      </c>
      <c r="P443">
        <v>9</v>
      </c>
      <c r="Q443">
        <v>1</v>
      </c>
      <c r="R443">
        <v>3</v>
      </c>
      <c r="S443">
        <v>0</v>
      </c>
      <c r="AB443" t="str">
        <f t="shared" si="18"/>
        <v>Normal</v>
      </c>
      <c r="AC443" t="str">
        <f t="shared" si="19"/>
        <v>Normal</v>
      </c>
    </row>
    <row r="444" spans="4:29" x14ac:dyDescent="0.25">
      <c r="D444" t="s">
        <v>43</v>
      </c>
      <c r="E444">
        <v>1</v>
      </c>
      <c r="F444">
        <v>56</v>
      </c>
      <c r="G444">
        <v>514</v>
      </c>
      <c r="H444">
        <v>394</v>
      </c>
      <c r="I444" s="11">
        <f t="shared" si="20"/>
        <v>76.653696498054487</v>
      </c>
      <c r="J444">
        <v>3</v>
      </c>
      <c r="K444" t="s">
        <v>35</v>
      </c>
      <c r="L444">
        <v>2</v>
      </c>
      <c r="M444" t="s">
        <v>35</v>
      </c>
      <c r="N444">
        <v>17</v>
      </c>
      <c r="O444">
        <v>6</v>
      </c>
      <c r="P444">
        <v>10</v>
      </c>
      <c r="Q444">
        <v>3</v>
      </c>
      <c r="R444">
        <v>3</v>
      </c>
      <c r="S444">
        <v>0</v>
      </c>
      <c r="AB444" t="str">
        <f t="shared" si="18"/>
        <v>Normal</v>
      </c>
      <c r="AC444" t="str">
        <f t="shared" si="19"/>
        <v>Normal</v>
      </c>
    </row>
    <row r="445" spans="4:29" x14ac:dyDescent="0.25">
      <c r="D445" t="s">
        <v>49</v>
      </c>
      <c r="E445">
        <v>2.1</v>
      </c>
      <c r="F445">
        <v>55</v>
      </c>
      <c r="G445">
        <v>494</v>
      </c>
      <c r="H445">
        <v>385</v>
      </c>
      <c r="I445" s="11">
        <f t="shared" si="20"/>
        <v>77.935222672064768</v>
      </c>
      <c r="J445">
        <v>0</v>
      </c>
      <c r="K445" t="s">
        <v>35</v>
      </c>
      <c r="L445">
        <v>0</v>
      </c>
      <c r="M445" t="s">
        <v>35</v>
      </c>
      <c r="N445">
        <v>17</v>
      </c>
      <c r="O445">
        <v>2</v>
      </c>
      <c r="P445">
        <v>14</v>
      </c>
      <c r="Q445">
        <v>9</v>
      </c>
      <c r="R445">
        <v>1</v>
      </c>
      <c r="S445">
        <v>0</v>
      </c>
      <c r="AB445" t="str">
        <f t="shared" si="18"/>
        <v>Normal</v>
      </c>
      <c r="AC445" t="str">
        <f t="shared" si="19"/>
        <v>Normal</v>
      </c>
    </row>
    <row r="446" spans="4:29" x14ac:dyDescent="0.25">
      <c r="D446" t="s">
        <v>34</v>
      </c>
      <c r="E446">
        <v>2.6</v>
      </c>
      <c r="F446">
        <v>42</v>
      </c>
      <c r="G446">
        <v>486</v>
      </c>
      <c r="H446">
        <v>410</v>
      </c>
      <c r="I446" s="11">
        <f t="shared" si="20"/>
        <v>84.362139917695472</v>
      </c>
      <c r="J446">
        <v>2</v>
      </c>
      <c r="K446" t="s">
        <v>35</v>
      </c>
      <c r="L446">
        <v>1</v>
      </c>
      <c r="M446" t="s">
        <v>36</v>
      </c>
      <c r="N446">
        <v>11</v>
      </c>
      <c r="O446">
        <v>4</v>
      </c>
      <c r="P446">
        <v>10</v>
      </c>
      <c r="Q446">
        <v>3</v>
      </c>
      <c r="R446">
        <v>1</v>
      </c>
      <c r="S446">
        <v>0</v>
      </c>
      <c r="AB446" t="str">
        <f t="shared" si="18"/>
        <v>Normal</v>
      </c>
      <c r="AC446" t="str">
        <f t="shared" si="19"/>
        <v>Normal</v>
      </c>
    </row>
    <row r="447" spans="4:29" x14ac:dyDescent="0.25">
      <c r="D447" t="s">
        <v>38</v>
      </c>
      <c r="E447">
        <v>0.6</v>
      </c>
      <c r="F447">
        <v>48</v>
      </c>
      <c r="G447">
        <v>479</v>
      </c>
      <c r="H447">
        <v>393</v>
      </c>
      <c r="I447" s="11">
        <f t="shared" si="20"/>
        <v>82.045929018789138</v>
      </c>
      <c r="J447">
        <v>1</v>
      </c>
      <c r="K447" t="s">
        <v>35</v>
      </c>
      <c r="L447">
        <v>1</v>
      </c>
      <c r="M447" t="s">
        <v>35</v>
      </c>
      <c r="N447">
        <v>9</v>
      </c>
      <c r="O447">
        <v>2</v>
      </c>
      <c r="P447">
        <v>6</v>
      </c>
      <c r="Q447">
        <v>5</v>
      </c>
      <c r="R447">
        <v>1</v>
      </c>
      <c r="S447">
        <v>0</v>
      </c>
      <c r="AB447" t="str">
        <f t="shared" si="18"/>
        <v>Normal</v>
      </c>
      <c r="AC447" t="str">
        <f t="shared" si="19"/>
        <v>Normal</v>
      </c>
    </row>
    <row r="448" spans="4:29" x14ac:dyDescent="0.25">
      <c r="D448" t="s">
        <v>46</v>
      </c>
      <c r="E448">
        <v>2.1</v>
      </c>
      <c r="F448">
        <v>67</v>
      </c>
      <c r="G448">
        <v>703</v>
      </c>
      <c r="H448">
        <v>594</v>
      </c>
      <c r="I448" s="11">
        <f t="shared" si="20"/>
        <v>84.495021337126602</v>
      </c>
      <c r="J448">
        <v>0</v>
      </c>
      <c r="K448" t="s">
        <v>36</v>
      </c>
      <c r="L448">
        <v>0</v>
      </c>
      <c r="M448" t="s">
        <v>36</v>
      </c>
      <c r="N448">
        <v>14</v>
      </c>
      <c r="O448">
        <v>3</v>
      </c>
      <c r="P448">
        <v>8</v>
      </c>
      <c r="Q448">
        <v>10</v>
      </c>
      <c r="R448">
        <v>2</v>
      </c>
      <c r="S448">
        <v>0</v>
      </c>
      <c r="AB448" t="str">
        <f t="shared" si="18"/>
        <v>Normal</v>
      </c>
      <c r="AC448" t="str">
        <f t="shared" si="19"/>
        <v>Normal</v>
      </c>
    </row>
    <row r="449" spans="4:29" x14ac:dyDescent="0.25">
      <c r="D449" t="s">
        <v>33</v>
      </c>
      <c r="E449">
        <v>0.6</v>
      </c>
      <c r="F449">
        <v>47</v>
      </c>
      <c r="G449">
        <v>396</v>
      </c>
      <c r="H449">
        <v>320</v>
      </c>
      <c r="I449" s="11">
        <f t="shared" si="20"/>
        <v>80.808080808080803</v>
      </c>
      <c r="J449">
        <v>0</v>
      </c>
      <c r="K449" t="s">
        <v>36</v>
      </c>
      <c r="L449">
        <v>0</v>
      </c>
      <c r="M449" t="s">
        <v>36</v>
      </c>
      <c r="N449">
        <v>10</v>
      </c>
      <c r="O449">
        <v>4</v>
      </c>
      <c r="P449">
        <v>11</v>
      </c>
      <c r="Q449">
        <v>3</v>
      </c>
      <c r="R449">
        <v>5</v>
      </c>
      <c r="S449">
        <v>0</v>
      </c>
      <c r="AB449" t="str">
        <f t="shared" si="18"/>
        <v>Normal</v>
      </c>
      <c r="AC449" t="str">
        <f t="shared" si="19"/>
        <v>Normal</v>
      </c>
    </row>
    <row r="450" spans="4:29" x14ac:dyDescent="0.25">
      <c r="D450" t="s">
        <v>48</v>
      </c>
      <c r="E450">
        <v>0.9</v>
      </c>
      <c r="F450">
        <v>35</v>
      </c>
      <c r="G450">
        <v>339</v>
      </c>
      <c r="H450">
        <v>249</v>
      </c>
      <c r="I450" s="11">
        <f t="shared" si="20"/>
        <v>73.451327433628322</v>
      </c>
      <c r="J450">
        <v>1</v>
      </c>
      <c r="K450" t="s">
        <v>36</v>
      </c>
      <c r="L450">
        <v>0</v>
      </c>
      <c r="M450" t="s">
        <v>36</v>
      </c>
      <c r="N450">
        <v>16</v>
      </c>
      <c r="O450">
        <v>9</v>
      </c>
      <c r="P450">
        <v>11</v>
      </c>
      <c r="Q450">
        <v>3</v>
      </c>
      <c r="R450">
        <v>2</v>
      </c>
      <c r="S450">
        <v>1</v>
      </c>
      <c r="AB450" t="str">
        <f t="shared" ref="AB450:AB513" si="21">IF(E450 &lt; _xlfn.PERCENTILE.INC($E$2:$E$761,0),
    "Ekstrem Rendah",
    IF(E450 &gt; _xlfn.PERCENTILE.INC($E$2:$E$761,1),
        "Ekstrem Tinggi",
        "Normal"
    )
)</f>
        <v>Normal</v>
      </c>
      <c r="AC450" t="str">
        <f t="shared" ref="AC450:AC513" si="22">IF(F450 &lt; _xlfn.PERCENTILE.INC($F$2:$F$761,0.001),
    "Ekstrem Rendah",
    IF(F450 &gt; _xlfn.PERCENTILE.INC($F$2:$F$761,0.999),
        "Ekstrem Tinggi",
        "Normal"
    )
)</f>
        <v>Normal</v>
      </c>
    </row>
    <row r="451" spans="4:29" x14ac:dyDescent="0.25">
      <c r="D451" t="s">
        <v>60</v>
      </c>
      <c r="E451">
        <v>1.3</v>
      </c>
      <c r="F451">
        <v>59</v>
      </c>
      <c r="G451">
        <v>571</v>
      </c>
      <c r="H451">
        <v>485</v>
      </c>
      <c r="I451" s="11">
        <f t="shared" ref="I451:I514" si="23">H451/G451*100</f>
        <v>84.938704028021021</v>
      </c>
      <c r="J451">
        <v>2</v>
      </c>
      <c r="K451" t="s">
        <v>35</v>
      </c>
      <c r="L451">
        <v>2</v>
      </c>
      <c r="M451" t="s">
        <v>40</v>
      </c>
      <c r="N451">
        <v>13</v>
      </c>
      <c r="O451">
        <v>3</v>
      </c>
      <c r="P451">
        <v>10</v>
      </c>
      <c r="Q451">
        <v>7</v>
      </c>
      <c r="R451">
        <v>2</v>
      </c>
      <c r="S451">
        <v>0</v>
      </c>
      <c r="AB451" t="str">
        <f t="shared" si="21"/>
        <v>Normal</v>
      </c>
      <c r="AC451" t="str">
        <f t="shared" si="22"/>
        <v>Normal</v>
      </c>
    </row>
    <row r="452" spans="4:29" x14ac:dyDescent="0.25">
      <c r="D452" t="s">
        <v>51</v>
      </c>
      <c r="E452">
        <v>0.8</v>
      </c>
      <c r="F452">
        <v>43</v>
      </c>
      <c r="G452">
        <v>400</v>
      </c>
      <c r="H452">
        <v>317</v>
      </c>
      <c r="I452" s="11">
        <f t="shared" si="23"/>
        <v>79.25</v>
      </c>
      <c r="J452">
        <v>1</v>
      </c>
      <c r="K452" t="s">
        <v>35</v>
      </c>
      <c r="L452">
        <v>1</v>
      </c>
      <c r="M452" t="s">
        <v>36</v>
      </c>
      <c r="N452">
        <v>11</v>
      </c>
      <c r="O452">
        <v>4</v>
      </c>
      <c r="P452">
        <v>15</v>
      </c>
      <c r="Q452">
        <v>5</v>
      </c>
      <c r="R452">
        <v>3</v>
      </c>
      <c r="S452">
        <v>1</v>
      </c>
      <c r="AB452" t="str">
        <f t="shared" si="21"/>
        <v>Normal</v>
      </c>
      <c r="AC452" t="str">
        <f t="shared" si="22"/>
        <v>Normal</v>
      </c>
    </row>
    <row r="453" spans="4:29" x14ac:dyDescent="0.25">
      <c r="D453" t="s">
        <v>52</v>
      </c>
      <c r="E453">
        <v>1.6</v>
      </c>
      <c r="F453">
        <v>48</v>
      </c>
      <c r="G453">
        <v>444</v>
      </c>
      <c r="H453">
        <v>374</v>
      </c>
      <c r="I453" s="11">
        <f t="shared" si="23"/>
        <v>84.234234234234222</v>
      </c>
      <c r="J453">
        <v>3</v>
      </c>
      <c r="K453" t="s">
        <v>40</v>
      </c>
      <c r="L453">
        <v>1</v>
      </c>
      <c r="M453" t="s">
        <v>36</v>
      </c>
      <c r="N453">
        <v>14</v>
      </c>
      <c r="O453">
        <v>5</v>
      </c>
      <c r="P453">
        <v>11</v>
      </c>
      <c r="Q453">
        <v>11</v>
      </c>
      <c r="R453">
        <v>3</v>
      </c>
      <c r="S453">
        <v>1</v>
      </c>
      <c r="AB453" t="str">
        <f t="shared" si="21"/>
        <v>Normal</v>
      </c>
      <c r="AC453" t="str">
        <f t="shared" si="22"/>
        <v>Normal</v>
      </c>
    </row>
    <row r="454" spans="4:29" x14ac:dyDescent="0.25">
      <c r="D454" t="s">
        <v>44</v>
      </c>
      <c r="E454">
        <v>1.7</v>
      </c>
      <c r="F454">
        <v>45</v>
      </c>
      <c r="G454">
        <v>435</v>
      </c>
      <c r="H454">
        <v>336</v>
      </c>
      <c r="I454" s="11">
        <f t="shared" si="23"/>
        <v>77.241379310344826</v>
      </c>
      <c r="J454">
        <v>2</v>
      </c>
      <c r="K454" t="s">
        <v>40</v>
      </c>
      <c r="L454">
        <v>2</v>
      </c>
      <c r="M454" t="s">
        <v>40</v>
      </c>
      <c r="N454">
        <v>11</v>
      </c>
      <c r="O454">
        <v>8</v>
      </c>
      <c r="P454">
        <v>10</v>
      </c>
      <c r="Q454">
        <v>8</v>
      </c>
      <c r="R454">
        <v>1</v>
      </c>
      <c r="S454">
        <v>0</v>
      </c>
      <c r="AB454" t="str">
        <f t="shared" si="21"/>
        <v>Normal</v>
      </c>
      <c r="AC454" t="str">
        <f t="shared" si="22"/>
        <v>Normal</v>
      </c>
    </row>
    <row r="455" spans="4:29" x14ac:dyDescent="0.25">
      <c r="D455" t="s">
        <v>54</v>
      </c>
      <c r="E455">
        <v>0.9</v>
      </c>
      <c r="F455">
        <v>50</v>
      </c>
      <c r="G455">
        <v>522</v>
      </c>
      <c r="H455">
        <v>435</v>
      </c>
      <c r="I455" s="11">
        <f t="shared" si="23"/>
        <v>83.333333333333343</v>
      </c>
      <c r="J455">
        <v>1</v>
      </c>
      <c r="K455" t="s">
        <v>35</v>
      </c>
      <c r="L455">
        <v>1</v>
      </c>
      <c r="M455" t="s">
        <v>40</v>
      </c>
      <c r="N455">
        <v>8</v>
      </c>
      <c r="O455">
        <v>2</v>
      </c>
      <c r="P455">
        <v>5</v>
      </c>
      <c r="Q455">
        <v>2</v>
      </c>
      <c r="R455">
        <v>2</v>
      </c>
      <c r="S455">
        <v>0</v>
      </c>
      <c r="AB455" t="str">
        <f t="shared" si="21"/>
        <v>Normal</v>
      </c>
      <c r="AC455" t="str">
        <f t="shared" si="22"/>
        <v>Normal</v>
      </c>
    </row>
    <row r="456" spans="4:29" x14ac:dyDescent="0.25">
      <c r="D456" t="s">
        <v>45</v>
      </c>
      <c r="E456">
        <v>1.1000000000000001</v>
      </c>
      <c r="F456">
        <v>40</v>
      </c>
      <c r="G456">
        <v>399</v>
      </c>
      <c r="H456">
        <v>313</v>
      </c>
      <c r="I456" s="11">
        <f t="shared" si="23"/>
        <v>78.446115288220554</v>
      </c>
      <c r="J456">
        <v>1</v>
      </c>
      <c r="K456" t="s">
        <v>40</v>
      </c>
      <c r="L456">
        <v>1</v>
      </c>
      <c r="M456" t="s">
        <v>40</v>
      </c>
      <c r="N456">
        <v>10</v>
      </c>
      <c r="O456">
        <v>5</v>
      </c>
      <c r="P456">
        <v>9</v>
      </c>
      <c r="Q456">
        <v>4</v>
      </c>
      <c r="R456">
        <v>2</v>
      </c>
      <c r="S456">
        <v>0</v>
      </c>
      <c r="AB456" t="str">
        <f t="shared" si="21"/>
        <v>Normal</v>
      </c>
      <c r="AC456" t="str">
        <f t="shared" si="22"/>
        <v>Normal</v>
      </c>
    </row>
    <row r="457" spans="4:29" x14ac:dyDescent="0.25">
      <c r="D457" t="s">
        <v>59</v>
      </c>
      <c r="E457">
        <v>3.1</v>
      </c>
      <c r="F457">
        <v>58</v>
      </c>
      <c r="G457">
        <v>546</v>
      </c>
      <c r="H457">
        <v>452</v>
      </c>
      <c r="I457" s="11">
        <f t="shared" si="23"/>
        <v>82.783882783882774</v>
      </c>
      <c r="J457">
        <v>3</v>
      </c>
      <c r="K457" t="s">
        <v>40</v>
      </c>
      <c r="L457">
        <v>0</v>
      </c>
      <c r="M457" t="s">
        <v>35</v>
      </c>
      <c r="N457">
        <v>18</v>
      </c>
      <c r="O457">
        <v>4</v>
      </c>
      <c r="P457">
        <v>10</v>
      </c>
      <c r="Q457">
        <v>6</v>
      </c>
      <c r="R457">
        <v>3</v>
      </c>
      <c r="S457">
        <v>0</v>
      </c>
      <c r="AB457" t="str">
        <f t="shared" si="21"/>
        <v>Normal</v>
      </c>
      <c r="AC457" t="str">
        <f t="shared" si="22"/>
        <v>Normal</v>
      </c>
    </row>
    <row r="458" spans="4:29" x14ac:dyDescent="0.25">
      <c r="D458" t="s">
        <v>42</v>
      </c>
      <c r="E458">
        <v>0.7</v>
      </c>
      <c r="F458">
        <v>51</v>
      </c>
      <c r="G458">
        <v>470</v>
      </c>
      <c r="H458">
        <v>361</v>
      </c>
      <c r="I458" s="11">
        <f t="shared" si="23"/>
        <v>76.808510638297875</v>
      </c>
      <c r="J458">
        <v>0</v>
      </c>
      <c r="K458" t="s">
        <v>35</v>
      </c>
      <c r="L458">
        <v>0</v>
      </c>
      <c r="M458" t="s">
        <v>36</v>
      </c>
      <c r="N458">
        <v>6</v>
      </c>
      <c r="O458">
        <v>1</v>
      </c>
      <c r="P458">
        <v>11</v>
      </c>
      <c r="Q458">
        <v>4</v>
      </c>
      <c r="R458">
        <v>1</v>
      </c>
      <c r="S458">
        <v>1</v>
      </c>
      <c r="AB458" t="str">
        <f t="shared" si="21"/>
        <v>Normal</v>
      </c>
      <c r="AC458" t="str">
        <f t="shared" si="22"/>
        <v>Normal</v>
      </c>
    </row>
    <row r="459" spans="4:29" x14ac:dyDescent="0.25">
      <c r="D459" t="s">
        <v>58</v>
      </c>
      <c r="E459">
        <v>1.6</v>
      </c>
      <c r="F459">
        <v>77</v>
      </c>
      <c r="G459">
        <v>795</v>
      </c>
      <c r="H459">
        <v>686</v>
      </c>
      <c r="I459" s="11">
        <f t="shared" si="23"/>
        <v>86.289308176100633</v>
      </c>
      <c r="J459">
        <v>2</v>
      </c>
      <c r="K459" t="s">
        <v>40</v>
      </c>
      <c r="L459">
        <v>1</v>
      </c>
      <c r="M459" t="s">
        <v>36</v>
      </c>
      <c r="N459">
        <v>22</v>
      </c>
      <c r="O459">
        <v>7</v>
      </c>
      <c r="P459">
        <v>5</v>
      </c>
      <c r="Q459">
        <v>18</v>
      </c>
      <c r="R459">
        <v>1</v>
      </c>
      <c r="S459">
        <v>0</v>
      </c>
      <c r="AB459" t="str">
        <f t="shared" si="21"/>
        <v>Normal</v>
      </c>
      <c r="AC459" t="str">
        <f t="shared" si="22"/>
        <v>Normal</v>
      </c>
    </row>
    <row r="460" spans="4:29" x14ac:dyDescent="0.25">
      <c r="D460" t="s">
        <v>57</v>
      </c>
      <c r="E460">
        <v>1</v>
      </c>
      <c r="F460">
        <v>57</v>
      </c>
      <c r="G460">
        <v>579</v>
      </c>
      <c r="H460">
        <v>499</v>
      </c>
      <c r="I460" s="11">
        <f t="shared" si="23"/>
        <v>86.183074265975819</v>
      </c>
      <c r="J460">
        <v>1</v>
      </c>
      <c r="K460" t="s">
        <v>35</v>
      </c>
      <c r="L460">
        <v>0</v>
      </c>
      <c r="M460" t="s">
        <v>35</v>
      </c>
      <c r="N460">
        <v>12</v>
      </c>
      <c r="O460">
        <v>2</v>
      </c>
      <c r="P460">
        <v>13</v>
      </c>
      <c r="Q460">
        <v>6</v>
      </c>
      <c r="R460">
        <v>3</v>
      </c>
      <c r="S460">
        <v>0</v>
      </c>
      <c r="AB460" t="str">
        <f t="shared" si="21"/>
        <v>Normal</v>
      </c>
      <c r="AC460" t="str">
        <f t="shared" si="22"/>
        <v>Normal</v>
      </c>
    </row>
    <row r="461" spans="4:29" x14ac:dyDescent="0.25">
      <c r="D461" t="s">
        <v>55</v>
      </c>
      <c r="E461">
        <v>1</v>
      </c>
      <c r="F461">
        <v>49</v>
      </c>
      <c r="G461">
        <v>482</v>
      </c>
      <c r="H461">
        <v>375</v>
      </c>
      <c r="I461" s="11">
        <f t="shared" si="23"/>
        <v>77.800829875518673</v>
      </c>
      <c r="J461">
        <v>0</v>
      </c>
      <c r="K461" t="s">
        <v>35</v>
      </c>
      <c r="L461">
        <v>0</v>
      </c>
      <c r="M461" t="s">
        <v>36</v>
      </c>
      <c r="N461">
        <v>20</v>
      </c>
      <c r="O461">
        <v>7</v>
      </c>
      <c r="P461">
        <v>12</v>
      </c>
      <c r="Q461">
        <v>6</v>
      </c>
      <c r="R461">
        <v>3</v>
      </c>
      <c r="S461">
        <v>0</v>
      </c>
      <c r="AB461" t="str">
        <f t="shared" si="21"/>
        <v>Normal</v>
      </c>
      <c r="AC461" t="str">
        <f t="shared" si="22"/>
        <v>Normal</v>
      </c>
    </row>
    <row r="462" spans="4:29" x14ac:dyDescent="0.25">
      <c r="D462" t="s">
        <v>48</v>
      </c>
      <c r="E462">
        <v>1.7</v>
      </c>
      <c r="F462">
        <v>35</v>
      </c>
      <c r="G462">
        <v>338</v>
      </c>
      <c r="H462">
        <v>240</v>
      </c>
      <c r="I462" s="11">
        <f t="shared" si="23"/>
        <v>71.005917159763314</v>
      </c>
      <c r="J462">
        <v>3</v>
      </c>
      <c r="K462" t="s">
        <v>40</v>
      </c>
      <c r="L462">
        <v>1</v>
      </c>
      <c r="M462" t="s">
        <v>36</v>
      </c>
      <c r="N462">
        <v>20</v>
      </c>
      <c r="O462">
        <v>5</v>
      </c>
      <c r="P462">
        <v>9</v>
      </c>
      <c r="Q462">
        <v>7</v>
      </c>
      <c r="R462">
        <v>2</v>
      </c>
      <c r="S462">
        <v>0</v>
      </c>
      <c r="AB462" t="str">
        <f t="shared" si="21"/>
        <v>Normal</v>
      </c>
      <c r="AC462" t="str">
        <f t="shared" si="22"/>
        <v>Normal</v>
      </c>
    </row>
    <row r="463" spans="4:29" x14ac:dyDescent="0.25">
      <c r="D463" t="s">
        <v>49</v>
      </c>
      <c r="E463">
        <v>0.3</v>
      </c>
      <c r="F463">
        <v>43</v>
      </c>
      <c r="G463">
        <v>365</v>
      </c>
      <c r="H463">
        <v>288</v>
      </c>
      <c r="I463" s="11">
        <f t="shared" si="23"/>
        <v>78.904109589041099</v>
      </c>
      <c r="J463">
        <v>1</v>
      </c>
      <c r="K463" t="s">
        <v>36</v>
      </c>
      <c r="L463">
        <v>0</v>
      </c>
      <c r="M463" t="s">
        <v>36</v>
      </c>
      <c r="N463">
        <v>11</v>
      </c>
      <c r="O463">
        <v>3</v>
      </c>
      <c r="P463">
        <v>14</v>
      </c>
      <c r="Q463">
        <v>7</v>
      </c>
      <c r="R463">
        <v>6</v>
      </c>
      <c r="S463">
        <v>0</v>
      </c>
      <c r="AB463" t="str">
        <f t="shared" si="21"/>
        <v>Normal</v>
      </c>
      <c r="AC463" t="str">
        <f t="shared" si="22"/>
        <v>Normal</v>
      </c>
    </row>
    <row r="464" spans="4:29" x14ac:dyDescent="0.25">
      <c r="D464" t="s">
        <v>38</v>
      </c>
      <c r="E464">
        <v>1.3</v>
      </c>
      <c r="F464">
        <v>35</v>
      </c>
      <c r="G464">
        <v>328</v>
      </c>
      <c r="H464">
        <v>220</v>
      </c>
      <c r="I464" s="11">
        <f t="shared" si="23"/>
        <v>67.073170731707322</v>
      </c>
      <c r="J464">
        <v>3</v>
      </c>
      <c r="K464" t="s">
        <v>35</v>
      </c>
      <c r="L464">
        <v>2</v>
      </c>
      <c r="M464" t="s">
        <v>36</v>
      </c>
      <c r="N464">
        <v>11</v>
      </c>
      <c r="O464">
        <v>5</v>
      </c>
      <c r="P464">
        <v>10</v>
      </c>
      <c r="Q464">
        <v>5</v>
      </c>
      <c r="R464">
        <v>1</v>
      </c>
      <c r="S464">
        <v>1</v>
      </c>
      <c r="AB464" t="str">
        <f t="shared" si="21"/>
        <v>Normal</v>
      </c>
      <c r="AC464" t="str">
        <f t="shared" si="22"/>
        <v>Normal</v>
      </c>
    </row>
    <row r="465" spans="4:29" x14ac:dyDescent="0.25">
      <c r="D465" t="s">
        <v>43</v>
      </c>
      <c r="E465">
        <v>1.3</v>
      </c>
      <c r="F465">
        <v>49</v>
      </c>
      <c r="G465">
        <v>480</v>
      </c>
      <c r="H465">
        <v>388</v>
      </c>
      <c r="I465" s="11">
        <f t="shared" si="23"/>
        <v>80.833333333333329</v>
      </c>
      <c r="J465">
        <v>2</v>
      </c>
      <c r="K465" t="s">
        <v>36</v>
      </c>
      <c r="L465">
        <v>0</v>
      </c>
      <c r="M465" t="s">
        <v>35</v>
      </c>
      <c r="N465">
        <v>14</v>
      </c>
      <c r="O465">
        <v>7</v>
      </c>
      <c r="P465">
        <v>10</v>
      </c>
      <c r="Q465">
        <v>6</v>
      </c>
      <c r="R465">
        <v>3</v>
      </c>
      <c r="S465">
        <v>0</v>
      </c>
      <c r="AB465" t="str">
        <f t="shared" si="21"/>
        <v>Normal</v>
      </c>
      <c r="AC465" t="str">
        <f t="shared" si="22"/>
        <v>Normal</v>
      </c>
    </row>
    <row r="466" spans="4:29" x14ac:dyDescent="0.25">
      <c r="D466" t="s">
        <v>47</v>
      </c>
      <c r="E466">
        <v>0.2</v>
      </c>
      <c r="F466">
        <v>43</v>
      </c>
      <c r="G466">
        <v>503</v>
      </c>
      <c r="H466">
        <v>454</v>
      </c>
      <c r="I466" s="11">
        <f t="shared" si="23"/>
        <v>90.258449304174945</v>
      </c>
      <c r="J466">
        <v>0</v>
      </c>
      <c r="K466" t="s">
        <v>35</v>
      </c>
      <c r="L466">
        <v>0</v>
      </c>
      <c r="M466" t="s">
        <v>35</v>
      </c>
      <c r="N466">
        <v>5</v>
      </c>
      <c r="O466">
        <v>2</v>
      </c>
      <c r="P466">
        <v>9</v>
      </c>
      <c r="Q466">
        <v>1</v>
      </c>
      <c r="R466">
        <v>3</v>
      </c>
      <c r="S466">
        <v>0</v>
      </c>
      <c r="AB466" t="str">
        <f t="shared" si="21"/>
        <v>Normal</v>
      </c>
      <c r="AC466" t="str">
        <f t="shared" si="22"/>
        <v>Normal</v>
      </c>
    </row>
    <row r="467" spans="4:29" x14ac:dyDescent="0.25">
      <c r="D467" t="s">
        <v>34</v>
      </c>
      <c r="E467">
        <v>1.2</v>
      </c>
      <c r="F467">
        <v>60</v>
      </c>
      <c r="G467">
        <v>638</v>
      </c>
      <c r="H467">
        <v>539</v>
      </c>
      <c r="I467" s="11">
        <f t="shared" si="23"/>
        <v>84.482758620689651</v>
      </c>
      <c r="J467">
        <v>1</v>
      </c>
      <c r="K467" t="s">
        <v>36</v>
      </c>
      <c r="L467">
        <v>0</v>
      </c>
      <c r="M467" t="s">
        <v>36</v>
      </c>
      <c r="N467">
        <v>14</v>
      </c>
      <c r="O467">
        <v>3</v>
      </c>
      <c r="P467">
        <v>8</v>
      </c>
      <c r="Q467">
        <v>2</v>
      </c>
      <c r="R467">
        <v>0</v>
      </c>
      <c r="S467">
        <v>0</v>
      </c>
      <c r="AB467" t="str">
        <f t="shared" si="21"/>
        <v>Normal</v>
      </c>
      <c r="AC467" t="str">
        <f t="shared" si="22"/>
        <v>Normal</v>
      </c>
    </row>
    <row r="468" spans="4:29" x14ac:dyDescent="0.25">
      <c r="D468" t="s">
        <v>46</v>
      </c>
      <c r="E468">
        <v>1.8</v>
      </c>
      <c r="F468">
        <v>50</v>
      </c>
      <c r="G468">
        <v>495</v>
      </c>
      <c r="H468">
        <v>400</v>
      </c>
      <c r="I468" s="11">
        <f t="shared" si="23"/>
        <v>80.808080808080803</v>
      </c>
      <c r="J468">
        <v>1</v>
      </c>
      <c r="K468" t="s">
        <v>35</v>
      </c>
      <c r="L468">
        <v>1</v>
      </c>
      <c r="M468" t="s">
        <v>36</v>
      </c>
      <c r="N468">
        <v>11</v>
      </c>
      <c r="O468">
        <v>3</v>
      </c>
      <c r="P468">
        <v>16</v>
      </c>
      <c r="Q468">
        <v>4</v>
      </c>
      <c r="R468">
        <v>3</v>
      </c>
      <c r="S468">
        <v>0</v>
      </c>
      <c r="AB468" t="str">
        <f t="shared" si="21"/>
        <v>Normal</v>
      </c>
      <c r="AC468" t="str">
        <f t="shared" si="22"/>
        <v>Normal</v>
      </c>
    </row>
    <row r="469" spans="4:29" x14ac:dyDescent="0.25">
      <c r="D469" t="s">
        <v>60</v>
      </c>
      <c r="E469">
        <v>0.7</v>
      </c>
      <c r="F469">
        <v>66</v>
      </c>
      <c r="G469">
        <v>571</v>
      </c>
      <c r="H469">
        <v>445</v>
      </c>
      <c r="I469" s="11">
        <f t="shared" si="23"/>
        <v>77.933450087565674</v>
      </c>
      <c r="J469">
        <v>0</v>
      </c>
      <c r="K469" t="s">
        <v>35</v>
      </c>
      <c r="L469">
        <v>0</v>
      </c>
      <c r="M469" t="s">
        <v>35</v>
      </c>
      <c r="N469">
        <v>11</v>
      </c>
      <c r="O469">
        <v>3</v>
      </c>
      <c r="P469">
        <v>12</v>
      </c>
      <c r="Q469">
        <v>8</v>
      </c>
      <c r="R469">
        <v>4</v>
      </c>
      <c r="S469">
        <v>0</v>
      </c>
      <c r="AB469" t="str">
        <f t="shared" si="21"/>
        <v>Normal</v>
      </c>
      <c r="AC469" t="str">
        <f t="shared" si="22"/>
        <v>Normal</v>
      </c>
    </row>
    <row r="470" spans="4:29" x14ac:dyDescent="0.25">
      <c r="D470" t="s">
        <v>33</v>
      </c>
      <c r="E470">
        <v>2.2999999999999998</v>
      </c>
      <c r="F470">
        <v>58</v>
      </c>
      <c r="G470">
        <v>595</v>
      </c>
      <c r="H470">
        <v>486</v>
      </c>
      <c r="I470" s="11">
        <f t="shared" si="23"/>
        <v>81.680672268907557</v>
      </c>
      <c r="J470">
        <v>1</v>
      </c>
      <c r="K470" t="s">
        <v>35</v>
      </c>
      <c r="L470">
        <v>0</v>
      </c>
      <c r="M470" t="s">
        <v>36</v>
      </c>
      <c r="N470">
        <v>18</v>
      </c>
      <c r="O470">
        <v>5</v>
      </c>
      <c r="P470">
        <v>7</v>
      </c>
      <c r="Q470">
        <v>5</v>
      </c>
      <c r="R470">
        <v>1</v>
      </c>
      <c r="S470">
        <v>0</v>
      </c>
      <c r="AB470" t="str">
        <f t="shared" si="21"/>
        <v>Normal</v>
      </c>
      <c r="AC470" t="str">
        <f t="shared" si="22"/>
        <v>Normal</v>
      </c>
    </row>
    <row r="471" spans="4:29" x14ac:dyDescent="0.25">
      <c r="D471" t="s">
        <v>39</v>
      </c>
      <c r="E471">
        <v>0.8</v>
      </c>
      <c r="F471">
        <v>55</v>
      </c>
      <c r="G471">
        <v>514</v>
      </c>
      <c r="H471">
        <v>411</v>
      </c>
      <c r="I471" s="11">
        <f t="shared" si="23"/>
        <v>79.961089494163431</v>
      </c>
      <c r="J471">
        <v>2</v>
      </c>
      <c r="K471" t="s">
        <v>36</v>
      </c>
      <c r="L471">
        <v>1</v>
      </c>
      <c r="M471" t="s">
        <v>35</v>
      </c>
      <c r="N471">
        <v>9</v>
      </c>
      <c r="O471">
        <v>4</v>
      </c>
      <c r="P471">
        <v>14</v>
      </c>
      <c r="Q471">
        <v>3</v>
      </c>
      <c r="R471">
        <v>2</v>
      </c>
      <c r="S471">
        <v>0</v>
      </c>
      <c r="AB471" t="str">
        <f t="shared" si="21"/>
        <v>Normal</v>
      </c>
      <c r="AC471" t="str">
        <f t="shared" si="22"/>
        <v>Normal</v>
      </c>
    </row>
    <row r="472" spans="4:29" x14ac:dyDescent="0.25">
      <c r="D472" t="s">
        <v>42</v>
      </c>
      <c r="E472">
        <v>1.1000000000000001</v>
      </c>
      <c r="F472">
        <v>63</v>
      </c>
      <c r="G472">
        <v>554</v>
      </c>
      <c r="H472">
        <v>463</v>
      </c>
      <c r="I472" s="11">
        <f t="shared" si="23"/>
        <v>83.5740072202166</v>
      </c>
      <c r="J472">
        <v>0</v>
      </c>
      <c r="K472" t="s">
        <v>35</v>
      </c>
      <c r="L472">
        <v>0</v>
      </c>
      <c r="M472" t="s">
        <v>35</v>
      </c>
      <c r="N472">
        <v>10</v>
      </c>
      <c r="O472">
        <v>1</v>
      </c>
      <c r="P472">
        <v>18</v>
      </c>
      <c r="Q472">
        <v>6</v>
      </c>
      <c r="R472">
        <v>4</v>
      </c>
      <c r="S472">
        <v>0</v>
      </c>
      <c r="AB472" t="str">
        <f t="shared" si="21"/>
        <v>Normal</v>
      </c>
      <c r="AC472" t="str">
        <f t="shared" si="22"/>
        <v>Normal</v>
      </c>
    </row>
    <row r="473" spans="4:29" x14ac:dyDescent="0.25">
      <c r="D473" t="s">
        <v>58</v>
      </c>
      <c r="E473">
        <v>1.6</v>
      </c>
      <c r="F473">
        <v>64</v>
      </c>
      <c r="G473">
        <v>652</v>
      </c>
      <c r="H473">
        <v>570</v>
      </c>
      <c r="I473" s="11">
        <f t="shared" si="23"/>
        <v>87.423312883435571</v>
      </c>
      <c r="J473">
        <v>1</v>
      </c>
      <c r="K473" t="s">
        <v>35</v>
      </c>
      <c r="L473">
        <v>0</v>
      </c>
      <c r="M473" t="s">
        <v>35</v>
      </c>
      <c r="N473">
        <v>18</v>
      </c>
      <c r="O473">
        <v>4</v>
      </c>
      <c r="P473">
        <v>6</v>
      </c>
      <c r="Q473">
        <v>10</v>
      </c>
      <c r="R473">
        <v>1</v>
      </c>
      <c r="S473">
        <v>0</v>
      </c>
      <c r="AB473" t="str">
        <f t="shared" si="21"/>
        <v>Normal</v>
      </c>
      <c r="AC473" t="str">
        <f t="shared" si="22"/>
        <v>Normal</v>
      </c>
    </row>
    <row r="474" spans="4:29" x14ac:dyDescent="0.25">
      <c r="D474" t="s">
        <v>59</v>
      </c>
      <c r="E474">
        <v>1.5</v>
      </c>
      <c r="F474">
        <v>57</v>
      </c>
      <c r="G474">
        <v>475</v>
      </c>
      <c r="H474">
        <v>372</v>
      </c>
      <c r="I474" s="11">
        <f t="shared" si="23"/>
        <v>78.315789473684205</v>
      </c>
      <c r="J474">
        <v>1</v>
      </c>
      <c r="K474" t="s">
        <v>36</v>
      </c>
      <c r="L474">
        <v>0</v>
      </c>
      <c r="M474" t="s">
        <v>36</v>
      </c>
      <c r="N474">
        <v>20</v>
      </c>
      <c r="O474">
        <v>6</v>
      </c>
      <c r="P474">
        <v>10</v>
      </c>
      <c r="Q474">
        <v>6</v>
      </c>
      <c r="R474">
        <v>2</v>
      </c>
      <c r="S474">
        <v>0</v>
      </c>
      <c r="AB474" t="str">
        <f t="shared" si="21"/>
        <v>Normal</v>
      </c>
      <c r="AC474" t="str">
        <f t="shared" si="22"/>
        <v>Normal</v>
      </c>
    </row>
    <row r="475" spans="4:29" x14ac:dyDescent="0.25">
      <c r="D475" t="s">
        <v>45</v>
      </c>
      <c r="E475">
        <v>1</v>
      </c>
      <c r="F475">
        <v>51</v>
      </c>
      <c r="G475">
        <v>505</v>
      </c>
      <c r="H475">
        <v>429</v>
      </c>
      <c r="I475" s="11">
        <f t="shared" si="23"/>
        <v>84.950495049504951</v>
      </c>
      <c r="J475">
        <v>1</v>
      </c>
      <c r="K475" t="s">
        <v>35</v>
      </c>
      <c r="L475">
        <v>1</v>
      </c>
      <c r="M475" t="s">
        <v>40</v>
      </c>
      <c r="N475">
        <v>13</v>
      </c>
      <c r="O475">
        <v>5</v>
      </c>
      <c r="P475">
        <v>18</v>
      </c>
      <c r="Q475">
        <v>7</v>
      </c>
      <c r="R475">
        <v>1</v>
      </c>
      <c r="S475">
        <v>0</v>
      </c>
      <c r="AB475" t="str">
        <f t="shared" si="21"/>
        <v>Normal</v>
      </c>
      <c r="AC475" t="str">
        <f t="shared" si="22"/>
        <v>Normal</v>
      </c>
    </row>
    <row r="476" spans="4:29" x14ac:dyDescent="0.25">
      <c r="D476" t="s">
        <v>51</v>
      </c>
      <c r="E476">
        <v>0.1</v>
      </c>
      <c r="F476">
        <v>46</v>
      </c>
      <c r="G476">
        <v>423</v>
      </c>
      <c r="H476">
        <v>326</v>
      </c>
      <c r="I476" s="11">
        <f t="shared" si="23"/>
        <v>77.068557919621753</v>
      </c>
      <c r="J476">
        <v>0</v>
      </c>
      <c r="K476" t="s">
        <v>35</v>
      </c>
      <c r="L476">
        <v>0</v>
      </c>
      <c r="M476" t="s">
        <v>35</v>
      </c>
      <c r="N476">
        <v>4</v>
      </c>
      <c r="O476">
        <v>2</v>
      </c>
      <c r="P476">
        <v>9</v>
      </c>
      <c r="Q476">
        <v>6</v>
      </c>
      <c r="R476">
        <v>2</v>
      </c>
      <c r="S476">
        <v>1</v>
      </c>
      <c r="AB476" t="str">
        <f t="shared" si="21"/>
        <v>Normal</v>
      </c>
      <c r="AC476" t="str">
        <f t="shared" si="22"/>
        <v>Normal</v>
      </c>
    </row>
    <row r="477" spans="4:29" x14ac:dyDescent="0.25">
      <c r="D477" t="s">
        <v>44</v>
      </c>
      <c r="E477">
        <v>1.6</v>
      </c>
      <c r="F477">
        <v>35</v>
      </c>
      <c r="G477">
        <v>340</v>
      </c>
      <c r="H477">
        <v>263</v>
      </c>
      <c r="I477" s="11">
        <f t="shared" si="23"/>
        <v>77.352941176470594</v>
      </c>
      <c r="J477">
        <v>0</v>
      </c>
      <c r="K477" t="s">
        <v>35</v>
      </c>
      <c r="L477">
        <v>0</v>
      </c>
      <c r="M477" t="s">
        <v>36</v>
      </c>
      <c r="N477">
        <v>16</v>
      </c>
      <c r="O477">
        <v>5</v>
      </c>
      <c r="P477">
        <v>18</v>
      </c>
      <c r="Q477">
        <v>6</v>
      </c>
      <c r="R477">
        <v>2</v>
      </c>
      <c r="S477">
        <v>0</v>
      </c>
      <c r="AB477" t="str">
        <f t="shared" si="21"/>
        <v>Normal</v>
      </c>
      <c r="AC477" t="str">
        <f t="shared" si="22"/>
        <v>Normal</v>
      </c>
    </row>
    <row r="478" spans="4:29" x14ac:dyDescent="0.25">
      <c r="D478" t="s">
        <v>55</v>
      </c>
      <c r="E478">
        <v>2.4</v>
      </c>
      <c r="F478">
        <v>43</v>
      </c>
      <c r="G478">
        <v>403</v>
      </c>
      <c r="H478">
        <v>299</v>
      </c>
      <c r="I478" s="11">
        <f t="shared" si="23"/>
        <v>74.193548387096769</v>
      </c>
      <c r="J478">
        <v>2</v>
      </c>
      <c r="K478" t="s">
        <v>36</v>
      </c>
      <c r="L478">
        <v>0</v>
      </c>
      <c r="M478" t="s">
        <v>36</v>
      </c>
      <c r="N478">
        <v>19</v>
      </c>
      <c r="O478">
        <v>7</v>
      </c>
      <c r="P478">
        <v>9</v>
      </c>
      <c r="Q478">
        <v>6</v>
      </c>
      <c r="R478">
        <v>2</v>
      </c>
      <c r="S478">
        <v>0</v>
      </c>
      <c r="AB478" t="str">
        <f t="shared" si="21"/>
        <v>Normal</v>
      </c>
      <c r="AC478" t="str">
        <f t="shared" si="22"/>
        <v>Normal</v>
      </c>
    </row>
    <row r="479" spans="4:29" x14ac:dyDescent="0.25">
      <c r="D479" t="s">
        <v>52</v>
      </c>
      <c r="E479">
        <v>1.8</v>
      </c>
      <c r="F479">
        <v>49</v>
      </c>
      <c r="G479">
        <v>420</v>
      </c>
      <c r="H479">
        <v>342</v>
      </c>
      <c r="I479" s="11">
        <f t="shared" si="23"/>
        <v>81.428571428571431</v>
      </c>
      <c r="J479">
        <v>1</v>
      </c>
      <c r="K479" t="s">
        <v>35</v>
      </c>
      <c r="L479">
        <v>1</v>
      </c>
      <c r="M479" t="s">
        <v>40</v>
      </c>
      <c r="N479">
        <v>12</v>
      </c>
      <c r="O479">
        <v>1</v>
      </c>
      <c r="P479">
        <v>14</v>
      </c>
      <c r="Q479">
        <v>4</v>
      </c>
      <c r="R479">
        <v>0</v>
      </c>
      <c r="S479">
        <v>0</v>
      </c>
      <c r="AB479" t="str">
        <f t="shared" si="21"/>
        <v>Normal</v>
      </c>
      <c r="AC479" t="str">
        <f t="shared" si="22"/>
        <v>Normal</v>
      </c>
    </row>
    <row r="480" spans="4:29" x14ac:dyDescent="0.25">
      <c r="D480" t="s">
        <v>57</v>
      </c>
      <c r="E480">
        <v>1.1000000000000001</v>
      </c>
      <c r="F480">
        <v>54</v>
      </c>
      <c r="G480">
        <v>512</v>
      </c>
      <c r="H480">
        <v>414</v>
      </c>
      <c r="I480" s="11">
        <f t="shared" si="23"/>
        <v>80.859375</v>
      </c>
      <c r="J480">
        <v>1</v>
      </c>
      <c r="K480" t="s">
        <v>36</v>
      </c>
      <c r="L480">
        <v>0</v>
      </c>
      <c r="M480" t="s">
        <v>36</v>
      </c>
      <c r="N480">
        <v>12</v>
      </c>
      <c r="O480">
        <v>3</v>
      </c>
      <c r="P480">
        <v>14</v>
      </c>
      <c r="Q480">
        <v>8</v>
      </c>
      <c r="R480">
        <v>2</v>
      </c>
      <c r="S480">
        <v>0</v>
      </c>
      <c r="AB480" t="str">
        <f t="shared" si="21"/>
        <v>Normal</v>
      </c>
      <c r="AC480" t="str">
        <f t="shared" si="22"/>
        <v>Normal</v>
      </c>
    </row>
    <row r="481" spans="4:29" x14ac:dyDescent="0.25">
      <c r="D481" t="s">
        <v>54</v>
      </c>
      <c r="E481">
        <v>0.6</v>
      </c>
      <c r="F481">
        <v>32</v>
      </c>
      <c r="G481">
        <v>338</v>
      </c>
      <c r="H481">
        <v>237</v>
      </c>
      <c r="I481" s="11">
        <f t="shared" si="23"/>
        <v>70.118343195266277</v>
      </c>
      <c r="J481">
        <v>1</v>
      </c>
      <c r="K481" t="s">
        <v>35</v>
      </c>
      <c r="L481">
        <v>1</v>
      </c>
      <c r="M481" t="s">
        <v>40</v>
      </c>
      <c r="N481">
        <v>5</v>
      </c>
      <c r="O481">
        <v>2</v>
      </c>
      <c r="P481">
        <v>10</v>
      </c>
      <c r="Q481">
        <v>3</v>
      </c>
      <c r="R481">
        <v>1</v>
      </c>
      <c r="S481">
        <v>0</v>
      </c>
      <c r="AB481" t="str">
        <f t="shared" si="21"/>
        <v>Normal</v>
      </c>
      <c r="AC481" t="str">
        <f t="shared" si="22"/>
        <v>Normal</v>
      </c>
    </row>
    <row r="482" spans="4:29" x14ac:dyDescent="0.25">
      <c r="D482" t="s">
        <v>49</v>
      </c>
      <c r="E482">
        <v>2.6</v>
      </c>
      <c r="F482">
        <v>49</v>
      </c>
      <c r="G482">
        <v>434</v>
      </c>
      <c r="H482">
        <v>315</v>
      </c>
      <c r="I482" s="11">
        <f t="shared" si="23"/>
        <v>72.58064516129032</v>
      </c>
      <c r="J482">
        <v>2</v>
      </c>
      <c r="K482" t="s">
        <v>35</v>
      </c>
      <c r="L482">
        <v>1</v>
      </c>
      <c r="M482" t="s">
        <v>36</v>
      </c>
      <c r="N482">
        <v>15</v>
      </c>
      <c r="O482">
        <v>3</v>
      </c>
      <c r="P482">
        <v>16</v>
      </c>
      <c r="Q482">
        <v>4</v>
      </c>
      <c r="R482">
        <v>4</v>
      </c>
      <c r="S482">
        <v>0</v>
      </c>
      <c r="AB482" t="str">
        <f t="shared" si="21"/>
        <v>Normal</v>
      </c>
      <c r="AC482" t="str">
        <f t="shared" si="22"/>
        <v>Normal</v>
      </c>
    </row>
    <row r="483" spans="4:29" x14ac:dyDescent="0.25">
      <c r="D483" t="s">
        <v>34</v>
      </c>
      <c r="E483">
        <v>1.8</v>
      </c>
      <c r="F483">
        <v>64</v>
      </c>
      <c r="G483">
        <v>676</v>
      </c>
      <c r="H483">
        <v>560</v>
      </c>
      <c r="I483" s="11">
        <f t="shared" si="23"/>
        <v>82.84023668639054</v>
      </c>
      <c r="J483">
        <v>2</v>
      </c>
      <c r="K483" t="s">
        <v>40</v>
      </c>
      <c r="L483">
        <v>1</v>
      </c>
      <c r="M483" t="s">
        <v>40</v>
      </c>
      <c r="N483">
        <v>17</v>
      </c>
      <c r="O483">
        <v>7</v>
      </c>
      <c r="P483">
        <v>11</v>
      </c>
      <c r="Q483">
        <v>8</v>
      </c>
      <c r="R483">
        <v>1</v>
      </c>
      <c r="S483">
        <v>0</v>
      </c>
      <c r="AB483" t="str">
        <f t="shared" si="21"/>
        <v>Normal</v>
      </c>
      <c r="AC483" t="str">
        <f t="shared" si="22"/>
        <v>Normal</v>
      </c>
    </row>
    <row r="484" spans="4:29" x14ac:dyDescent="0.25">
      <c r="D484" t="s">
        <v>44</v>
      </c>
      <c r="E484">
        <v>1.1000000000000001</v>
      </c>
      <c r="F484">
        <v>51</v>
      </c>
      <c r="G484">
        <v>515</v>
      </c>
      <c r="H484">
        <v>384</v>
      </c>
      <c r="I484" s="11">
        <f t="shared" si="23"/>
        <v>74.5631067961165</v>
      </c>
      <c r="J484">
        <v>0</v>
      </c>
      <c r="K484" t="s">
        <v>36</v>
      </c>
      <c r="L484">
        <v>0</v>
      </c>
      <c r="M484" t="s">
        <v>36</v>
      </c>
      <c r="N484">
        <v>18</v>
      </c>
      <c r="O484">
        <v>4</v>
      </c>
      <c r="P484">
        <v>9</v>
      </c>
      <c r="Q484">
        <v>6</v>
      </c>
      <c r="R484">
        <v>2</v>
      </c>
      <c r="S484">
        <v>0</v>
      </c>
      <c r="AB484" t="str">
        <f t="shared" si="21"/>
        <v>Normal</v>
      </c>
      <c r="AC484" t="str">
        <f t="shared" si="22"/>
        <v>Normal</v>
      </c>
    </row>
    <row r="485" spans="4:29" x14ac:dyDescent="0.25">
      <c r="D485" t="s">
        <v>47</v>
      </c>
      <c r="E485">
        <v>0.6</v>
      </c>
      <c r="F485">
        <v>71</v>
      </c>
      <c r="G485">
        <v>724</v>
      </c>
      <c r="H485">
        <v>635</v>
      </c>
      <c r="I485" s="11">
        <f t="shared" si="23"/>
        <v>87.707182320441987</v>
      </c>
      <c r="J485">
        <v>0</v>
      </c>
      <c r="K485" t="s">
        <v>35</v>
      </c>
      <c r="L485">
        <v>0</v>
      </c>
      <c r="M485" t="s">
        <v>35</v>
      </c>
      <c r="N485">
        <v>9</v>
      </c>
      <c r="O485">
        <v>0</v>
      </c>
      <c r="P485">
        <v>12</v>
      </c>
      <c r="Q485">
        <v>9</v>
      </c>
      <c r="R485">
        <v>4</v>
      </c>
      <c r="S485">
        <v>0</v>
      </c>
      <c r="AB485" t="str">
        <f t="shared" si="21"/>
        <v>Normal</v>
      </c>
      <c r="AC485" t="str">
        <f t="shared" si="22"/>
        <v>Normal</v>
      </c>
    </row>
    <row r="486" spans="4:29" x14ac:dyDescent="0.25">
      <c r="D486" t="s">
        <v>58</v>
      </c>
      <c r="E486">
        <v>2.1</v>
      </c>
      <c r="F486">
        <v>60</v>
      </c>
      <c r="G486">
        <v>689</v>
      </c>
      <c r="H486">
        <v>613</v>
      </c>
      <c r="I486" s="11">
        <f t="shared" si="23"/>
        <v>88.969521044992746</v>
      </c>
      <c r="J486">
        <v>1</v>
      </c>
      <c r="K486" t="s">
        <v>35</v>
      </c>
      <c r="L486">
        <v>1</v>
      </c>
      <c r="M486" t="s">
        <v>40</v>
      </c>
      <c r="N486">
        <v>15</v>
      </c>
      <c r="O486">
        <v>6</v>
      </c>
      <c r="P486">
        <v>10</v>
      </c>
      <c r="Q486">
        <v>4</v>
      </c>
      <c r="R486">
        <v>3</v>
      </c>
      <c r="S486">
        <v>0</v>
      </c>
      <c r="AB486" t="str">
        <f t="shared" si="21"/>
        <v>Normal</v>
      </c>
      <c r="AC486" t="str">
        <f t="shared" si="22"/>
        <v>Normal</v>
      </c>
    </row>
    <row r="487" spans="4:29" x14ac:dyDescent="0.25">
      <c r="D487" t="s">
        <v>52</v>
      </c>
      <c r="E487">
        <v>1.2</v>
      </c>
      <c r="F487">
        <v>38</v>
      </c>
      <c r="G487">
        <v>389</v>
      </c>
      <c r="H487">
        <v>306</v>
      </c>
      <c r="I487" s="11">
        <f t="shared" si="23"/>
        <v>78.663239074550134</v>
      </c>
      <c r="J487">
        <v>0</v>
      </c>
      <c r="K487" t="s">
        <v>35</v>
      </c>
      <c r="L487">
        <v>0</v>
      </c>
      <c r="M487" t="s">
        <v>35</v>
      </c>
      <c r="N487">
        <v>12</v>
      </c>
      <c r="O487">
        <v>2</v>
      </c>
      <c r="P487">
        <v>15</v>
      </c>
      <c r="Q487">
        <v>9</v>
      </c>
      <c r="R487">
        <v>3</v>
      </c>
      <c r="S487">
        <v>0</v>
      </c>
      <c r="AB487" t="str">
        <f t="shared" si="21"/>
        <v>Normal</v>
      </c>
      <c r="AC487" t="str">
        <f t="shared" si="22"/>
        <v>Normal</v>
      </c>
    </row>
    <row r="488" spans="4:29" x14ac:dyDescent="0.25">
      <c r="D488" t="s">
        <v>59</v>
      </c>
      <c r="E488">
        <v>0.6</v>
      </c>
      <c r="F488">
        <v>49</v>
      </c>
      <c r="G488">
        <v>516</v>
      </c>
      <c r="H488">
        <v>421</v>
      </c>
      <c r="I488" s="11">
        <f t="shared" si="23"/>
        <v>81.589147286821699</v>
      </c>
      <c r="J488">
        <v>0</v>
      </c>
      <c r="K488" t="s">
        <v>35</v>
      </c>
      <c r="L488">
        <v>0</v>
      </c>
      <c r="M488" t="s">
        <v>35</v>
      </c>
      <c r="N488">
        <v>6</v>
      </c>
      <c r="O488">
        <v>5</v>
      </c>
      <c r="P488">
        <v>5</v>
      </c>
      <c r="Q488">
        <v>5</v>
      </c>
      <c r="R488">
        <v>1</v>
      </c>
      <c r="S488">
        <v>0</v>
      </c>
      <c r="AB488" t="str">
        <f t="shared" si="21"/>
        <v>Normal</v>
      </c>
      <c r="AC488" t="str">
        <f t="shared" si="22"/>
        <v>Normal</v>
      </c>
    </row>
    <row r="489" spans="4:29" x14ac:dyDescent="0.25">
      <c r="D489" t="s">
        <v>46</v>
      </c>
      <c r="E489">
        <v>1.6</v>
      </c>
      <c r="F489">
        <v>56</v>
      </c>
      <c r="G489">
        <v>546</v>
      </c>
      <c r="H489">
        <v>453</v>
      </c>
      <c r="I489" s="11">
        <f t="shared" si="23"/>
        <v>82.967032967032978</v>
      </c>
      <c r="J489">
        <v>3</v>
      </c>
      <c r="K489" t="s">
        <v>40</v>
      </c>
      <c r="L489">
        <v>0</v>
      </c>
      <c r="M489" t="s">
        <v>35</v>
      </c>
      <c r="N489">
        <v>17</v>
      </c>
      <c r="O489">
        <v>6</v>
      </c>
      <c r="P489">
        <v>6</v>
      </c>
      <c r="Q489">
        <v>5</v>
      </c>
      <c r="R489">
        <v>1</v>
      </c>
      <c r="S489">
        <v>0</v>
      </c>
      <c r="AB489" t="str">
        <f t="shared" si="21"/>
        <v>Normal</v>
      </c>
      <c r="AC489" t="str">
        <f t="shared" si="22"/>
        <v>Normal</v>
      </c>
    </row>
    <row r="490" spans="4:29" x14ac:dyDescent="0.25">
      <c r="D490" t="s">
        <v>38</v>
      </c>
      <c r="E490">
        <v>1.6</v>
      </c>
      <c r="F490">
        <v>34</v>
      </c>
      <c r="G490">
        <v>312</v>
      </c>
      <c r="H490">
        <v>210</v>
      </c>
      <c r="I490" s="11">
        <f t="shared" si="23"/>
        <v>67.307692307692307</v>
      </c>
      <c r="J490">
        <v>2</v>
      </c>
      <c r="K490" t="s">
        <v>40</v>
      </c>
      <c r="L490">
        <v>2</v>
      </c>
      <c r="M490" t="s">
        <v>40</v>
      </c>
      <c r="N490">
        <v>8</v>
      </c>
      <c r="O490">
        <v>3</v>
      </c>
      <c r="P490">
        <v>19</v>
      </c>
      <c r="Q490">
        <v>2</v>
      </c>
      <c r="R490">
        <v>5</v>
      </c>
      <c r="S490">
        <v>0</v>
      </c>
      <c r="AB490" t="str">
        <f t="shared" si="21"/>
        <v>Normal</v>
      </c>
      <c r="AC490" t="str">
        <f t="shared" si="22"/>
        <v>Normal</v>
      </c>
    </row>
    <row r="491" spans="4:29" x14ac:dyDescent="0.25">
      <c r="D491" t="s">
        <v>42</v>
      </c>
      <c r="E491">
        <v>1.5</v>
      </c>
      <c r="F491">
        <v>51</v>
      </c>
      <c r="G491">
        <v>474</v>
      </c>
      <c r="H491">
        <v>400</v>
      </c>
      <c r="I491" s="11">
        <f t="shared" si="23"/>
        <v>84.388185654008439</v>
      </c>
      <c r="J491">
        <v>1</v>
      </c>
      <c r="K491" t="s">
        <v>36</v>
      </c>
      <c r="L491">
        <v>0</v>
      </c>
      <c r="M491" t="s">
        <v>36</v>
      </c>
      <c r="N491">
        <v>13</v>
      </c>
      <c r="O491">
        <v>3</v>
      </c>
      <c r="P491">
        <v>12</v>
      </c>
      <c r="Q491">
        <v>3</v>
      </c>
      <c r="R491">
        <v>2</v>
      </c>
      <c r="S491">
        <v>0</v>
      </c>
      <c r="AB491" t="str">
        <f t="shared" si="21"/>
        <v>Normal</v>
      </c>
      <c r="AC491" t="str">
        <f t="shared" si="22"/>
        <v>Normal</v>
      </c>
    </row>
    <row r="492" spans="4:29" x14ac:dyDescent="0.25">
      <c r="D492" t="s">
        <v>57</v>
      </c>
      <c r="E492">
        <v>2.7</v>
      </c>
      <c r="F492">
        <v>63</v>
      </c>
      <c r="G492">
        <v>645</v>
      </c>
      <c r="H492">
        <v>545</v>
      </c>
      <c r="I492" s="11">
        <f t="shared" si="23"/>
        <v>84.496124031007753</v>
      </c>
      <c r="J492">
        <v>2</v>
      </c>
      <c r="K492" t="s">
        <v>40</v>
      </c>
      <c r="L492">
        <v>1</v>
      </c>
      <c r="M492" t="s">
        <v>40</v>
      </c>
      <c r="N492">
        <v>16</v>
      </c>
      <c r="O492">
        <v>7</v>
      </c>
      <c r="P492">
        <v>12</v>
      </c>
      <c r="Q492">
        <v>9</v>
      </c>
      <c r="R492">
        <v>3</v>
      </c>
      <c r="S492">
        <v>0</v>
      </c>
      <c r="AB492" t="str">
        <f t="shared" si="21"/>
        <v>Normal</v>
      </c>
      <c r="AC492" t="str">
        <f t="shared" si="22"/>
        <v>Normal</v>
      </c>
    </row>
    <row r="493" spans="4:29" x14ac:dyDescent="0.25">
      <c r="D493" t="s">
        <v>48</v>
      </c>
      <c r="E493">
        <v>0.3</v>
      </c>
      <c r="F493">
        <v>34</v>
      </c>
      <c r="G493">
        <v>327</v>
      </c>
      <c r="H493">
        <v>253</v>
      </c>
      <c r="I493" s="11">
        <f t="shared" si="23"/>
        <v>77.370030581039757</v>
      </c>
      <c r="J493">
        <v>0</v>
      </c>
      <c r="K493" t="s">
        <v>35</v>
      </c>
      <c r="L493">
        <v>0</v>
      </c>
      <c r="M493" t="s">
        <v>35</v>
      </c>
      <c r="N493">
        <v>7</v>
      </c>
      <c r="O493">
        <v>0</v>
      </c>
      <c r="P493">
        <v>1</v>
      </c>
      <c r="Q493">
        <v>1</v>
      </c>
      <c r="R493">
        <v>2</v>
      </c>
      <c r="S493">
        <v>0</v>
      </c>
      <c r="AB493" t="str">
        <f t="shared" si="21"/>
        <v>Normal</v>
      </c>
      <c r="AC493" t="str">
        <f t="shared" si="22"/>
        <v>Normal</v>
      </c>
    </row>
    <row r="494" spans="4:29" x14ac:dyDescent="0.25">
      <c r="D494" t="s">
        <v>55</v>
      </c>
      <c r="E494">
        <v>1.3</v>
      </c>
      <c r="F494">
        <v>31</v>
      </c>
      <c r="G494">
        <v>293</v>
      </c>
      <c r="H494">
        <v>193</v>
      </c>
      <c r="I494" s="11">
        <f t="shared" si="23"/>
        <v>65.870307167235495</v>
      </c>
      <c r="J494">
        <v>2</v>
      </c>
      <c r="K494" t="s">
        <v>36</v>
      </c>
      <c r="L494">
        <v>2</v>
      </c>
      <c r="M494" t="s">
        <v>40</v>
      </c>
      <c r="N494">
        <v>13</v>
      </c>
      <c r="O494">
        <v>6</v>
      </c>
      <c r="P494">
        <v>11</v>
      </c>
      <c r="Q494">
        <v>1</v>
      </c>
      <c r="R494">
        <v>2</v>
      </c>
      <c r="S494">
        <v>0</v>
      </c>
      <c r="AB494" t="str">
        <f t="shared" si="21"/>
        <v>Normal</v>
      </c>
      <c r="AC494" t="str">
        <f t="shared" si="22"/>
        <v>Normal</v>
      </c>
    </row>
    <row r="495" spans="4:29" x14ac:dyDescent="0.25">
      <c r="D495" t="s">
        <v>45</v>
      </c>
      <c r="E495">
        <v>0.9</v>
      </c>
      <c r="F495">
        <v>45</v>
      </c>
      <c r="G495">
        <v>446</v>
      </c>
      <c r="H495">
        <v>358</v>
      </c>
      <c r="I495" s="11">
        <f t="shared" si="23"/>
        <v>80.269058295964129</v>
      </c>
      <c r="J495">
        <v>2</v>
      </c>
      <c r="K495" t="s">
        <v>40</v>
      </c>
      <c r="L495">
        <v>1</v>
      </c>
      <c r="M495" t="s">
        <v>40</v>
      </c>
      <c r="N495">
        <v>6</v>
      </c>
      <c r="O495">
        <v>4</v>
      </c>
      <c r="P495">
        <v>10</v>
      </c>
      <c r="Q495">
        <v>0</v>
      </c>
      <c r="R495">
        <v>2</v>
      </c>
      <c r="S495">
        <v>1</v>
      </c>
      <c r="AB495" t="str">
        <f t="shared" si="21"/>
        <v>Normal</v>
      </c>
      <c r="AC495" t="str">
        <f t="shared" si="22"/>
        <v>Normal</v>
      </c>
    </row>
    <row r="496" spans="4:29" x14ac:dyDescent="0.25">
      <c r="D496" t="s">
        <v>54</v>
      </c>
      <c r="E496">
        <v>1.1000000000000001</v>
      </c>
      <c r="F496">
        <v>41</v>
      </c>
      <c r="G496">
        <v>369</v>
      </c>
      <c r="H496">
        <v>282</v>
      </c>
      <c r="I496" s="11">
        <f t="shared" si="23"/>
        <v>76.422764227642276</v>
      </c>
      <c r="J496">
        <v>0</v>
      </c>
      <c r="K496" t="s">
        <v>36</v>
      </c>
      <c r="L496">
        <v>0</v>
      </c>
      <c r="M496" t="s">
        <v>36</v>
      </c>
      <c r="N496">
        <v>9</v>
      </c>
      <c r="O496">
        <v>2</v>
      </c>
      <c r="P496">
        <v>10</v>
      </c>
      <c r="Q496">
        <v>4</v>
      </c>
      <c r="R496">
        <v>0</v>
      </c>
      <c r="S496">
        <v>1</v>
      </c>
      <c r="AB496" t="str">
        <f t="shared" si="21"/>
        <v>Normal</v>
      </c>
      <c r="AC496" t="str">
        <f t="shared" si="22"/>
        <v>Normal</v>
      </c>
    </row>
    <row r="497" spans="4:29" x14ac:dyDescent="0.25">
      <c r="D497" t="s">
        <v>43</v>
      </c>
      <c r="E497">
        <v>1.3</v>
      </c>
      <c r="F497">
        <v>41</v>
      </c>
      <c r="G497">
        <v>426</v>
      </c>
      <c r="H497">
        <v>349</v>
      </c>
      <c r="I497" s="11">
        <f t="shared" si="23"/>
        <v>81.924882629107969</v>
      </c>
      <c r="J497">
        <v>4</v>
      </c>
      <c r="K497" t="s">
        <v>40</v>
      </c>
      <c r="L497">
        <v>1</v>
      </c>
      <c r="M497" t="s">
        <v>36</v>
      </c>
      <c r="N497">
        <v>10</v>
      </c>
      <c r="O497">
        <v>5</v>
      </c>
      <c r="P497">
        <v>14</v>
      </c>
      <c r="Q497">
        <v>2</v>
      </c>
      <c r="R497">
        <v>0</v>
      </c>
      <c r="S497">
        <v>0</v>
      </c>
      <c r="AB497" t="str">
        <f t="shared" si="21"/>
        <v>Normal</v>
      </c>
      <c r="AC497" t="str">
        <f t="shared" si="22"/>
        <v>Normal</v>
      </c>
    </row>
    <row r="498" spans="4:29" x14ac:dyDescent="0.25">
      <c r="D498" t="s">
        <v>60</v>
      </c>
      <c r="E498">
        <v>2.5</v>
      </c>
      <c r="F498">
        <v>42</v>
      </c>
      <c r="G498">
        <v>453</v>
      </c>
      <c r="H498">
        <v>373</v>
      </c>
      <c r="I498" s="11">
        <f t="shared" si="23"/>
        <v>82.33995584988962</v>
      </c>
      <c r="J498">
        <v>4</v>
      </c>
      <c r="K498" t="s">
        <v>40</v>
      </c>
      <c r="L498">
        <v>2</v>
      </c>
      <c r="M498" t="s">
        <v>40</v>
      </c>
      <c r="N498">
        <v>9</v>
      </c>
      <c r="O498">
        <v>7</v>
      </c>
      <c r="P498">
        <v>9</v>
      </c>
      <c r="Q498">
        <v>3</v>
      </c>
      <c r="R498">
        <v>2</v>
      </c>
      <c r="S498">
        <v>0</v>
      </c>
      <c r="AB498" t="str">
        <f t="shared" si="21"/>
        <v>Normal</v>
      </c>
      <c r="AC498" t="str">
        <f t="shared" si="22"/>
        <v>Normal</v>
      </c>
    </row>
    <row r="499" spans="4:29" x14ac:dyDescent="0.25">
      <c r="D499" t="s">
        <v>39</v>
      </c>
      <c r="E499">
        <v>3.1</v>
      </c>
      <c r="F499">
        <v>62</v>
      </c>
      <c r="G499">
        <v>650</v>
      </c>
      <c r="H499">
        <v>559</v>
      </c>
      <c r="I499" s="11">
        <f t="shared" si="23"/>
        <v>86</v>
      </c>
      <c r="J499">
        <v>3</v>
      </c>
      <c r="K499" t="s">
        <v>40</v>
      </c>
      <c r="L499">
        <v>1</v>
      </c>
      <c r="M499" t="s">
        <v>36</v>
      </c>
      <c r="N499">
        <v>27</v>
      </c>
      <c r="O499">
        <v>11</v>
      </c>
      <c r="P499">
        <v>9</v>
      </c>
      <c r="Q499">
        <v>10</v>
      </c>
      <c r="R499">
        <v>4</v>
      </c>
      <c r="S499">
        <v>0</v>
      </c>
      <c r="AB499" t="str">
        <f t="shared" si="21"/>
        <v>Normal</v>
      </c>
      <c r="AC499" t="str">
        <f t="shared" si="22"/>
        <v>Normal</v>
      </c>
    </row>
    <row r="500" spans="4:29" x14ac:dyDescent="0.25">
      <c r="D500" t="s">
        <v>33</v>
      </c>
      <c r="E500">
        <v>0.8</v>
      </c>
      <c r="F500">
        <v>60</v>
      </c>
      <c r="G500">
        <v>682</v>
      </c>
      <c r="H500">
        <v>592</v>
      </c>
      <c r="I500" s="11">
        <f t="shared" si="23"/>
        <v>86.803519061583572</v>
      </c>
      <c r="J500">
        <v>1</v>
      </c>
      <c r="K500" t="s">
        <v>36</v>
      </c>
      <c r="L500">
        <v>1</v>
      </c>
      <c r="M500" t="s">
        <v>36</v>
      </c>
      <c r="N500">
        <v>11</v>
      </c>
      <c r="O500">
        <v>4</v>
      </c>
      <c r="P500">
        <v>10</v>
      </c>
      <c r="Q500">
        <v>3</v>
      </c>
      <c r="R500">
        <v>0</v>
      </c>
      <c r="S500">
        <v>0</v>
      </c>
      <c r="AB500" t="str">
        <f t="shared" si="21"/>
        <v>Normal</v>
      </c>
      <c r="AC500" t="str">
        <f t="shared" si="22"/>
        <v>Normal</v>
      </c>
    </row>
    <row r="501" spans="4:29" x14ac:dyDescent="0.25">
      <c r="D501" t="s">
        <v>51</v>
      </c>
      <c r="E501">
        <v>0.9</v>
      </c>
      <c r="F501">
        <v>47</v>
      </c>
      <c r="G501">
        <v>511</v>
      </c>
      <c r="H501">
        <v>414</v>
      </c>
      <c r="I501" s="11">
        <f t="shared" si="23"/>
        <v>81.017612524461839</v>
      </c>
      <c r="J501">
        <v>2</v>
      </c>
      <c r="K501" t="s">
        <v>40</v>
      </c>
      <c r="L501">
        <v>1</v>
      </c>
      <c r="M501" t="s">
        <v>40</v>
      </c>
      <c r="N501">
        <v>15</v>
      </c>
      <c r="O501">
        <v>6</v>
      </c>
      <c r="P501">
        <v>8</v>
      </c>
      <c r="Q501">
        <v>3</v>
      </c>
      <c r="R501">
        <v>0</v>
      </c>
      <c r="S501">
        <v>0</v>
      </c>
      <c r="AB501" t="str">
        <f t="shared" si="21"/>
        <v>Normal</v>
      </c>
      <c r="AC501" t="str">
        <f t="shared" si="22"/>
        <v>Normal</v>
      </c>
    </row>
    <row r="502" spans="4:29" x14ac:dyDescent="0.25">
      <c r="D502" t="s">
        <v>47</v>
      </c>
      <c r="E502">
        <v>1</v>
      </c>
      <c r="F502">
        <v>47</v>
      </c>
      <c r="G502">
        <v>459</v>
      </c>
      <c r="H502">
        <v>386</v>
      </c>
      <c r="I502" s="11">
        <f t="shared" si="23"/>
        <v>84.095860566448806</v>
      </c>
      <c r="J502">
        <v>1</v>
      </c>
      <c r="K502" t="s">
        <v>36</v>
      </c>
      <c r="L502">
        <v>0</v>
      </c>
      <c r="M502" t="s">
        <v>35</v>
      </c>
      <c r="N502">
        <v>10</v>
      </c>
      <c r="O502">
        <v>2</v>
      </c>
      <c r="P502">
        <v>16</v>
      </c>
      <c r="Q502">
        <v>6</v>
      </c>
      <c r="R502">
        <v>4</v>
      </c>
      <c r="S502">
        <v>0</v>
      </c>
      <c r="AB502" t="str">
        <f t="shared" si="21"/>
        <v>Normal</v>
      </c>
      <c r="AC502" t="str">
        <f t="shared" si="22"/>
        <v>Normal</v>
      </c>
    </row>
    <row r="503" spans="4:29" x14ac:dyDescent="0.25">
      <c r="D503" t="s">
        <v>59</v>
      </c>
      <c r="E503">
        <v>1.1000000000000001</v>
      </c>
      <c r="F503">
        <v>40</v>
      </c>
      <c r="G503">
        <v>419</v>
      </c>
      <c r="H503">
        <v>310</v>
      </c>
      <c r="I503" s="11">
        <f t="shared" si="23"/>
        <v>73.985680190930793</v>
      </c>
      <c r="J503">
        <v>1</v>
      </c>
      <c r="K503" t="s">
        <v>35</v>
      </c>
      <c r="L503">
        <v>1</v>
      </c>
      <c r="M503" t="s">
        <v>35</v>
      </c>
      <c r="N503">
        <v>7</v>
      </c>
      <c r="O503">
        <v>3</v>
      </c>
      <c r="P503">
        <v>10</v>
      </c>
      <c r="Q503">
        <v>4</v>
      </c>
      <c r="R503">
        <v>1</v>
      </c>
      <c r="S503">
        <v>0</v>
      </c>
      <c r="AB503" t="str">
        <f t="shared" si="21"/>
        <v>Normal</v>
      </c>
      <c r="AC503" t="str">
        <f t="shared" si="22"/>
        <v>Normal</v>
      </c>
    </row>
    <row r="504" spans="4:29" x14ac:dyDescent="0.25">
      <c r="D504" t="s">
        <v>46</v>
      </c>
      <c r="E504">
        <v>0</v>
      </c>
      <c r="F504">
        <v>51</v>
      </c>
      <c r="G504">
        <v>471</v>
      </c>
      <c r="H504">
        <v>367</v>
      </c>
      <c r="I504" s="11">
        <f t="shared" si="23"/>
        <v>77.919320594479842</v>
      </c>
      <c r="J504">
        <v>1</v>
      </c>
      <c r="K504" t="s">
        <v>36</v>
      </c>
      <c r="L504">
        <v>0</v>
      </c>
      <c r="M504" t="s">
        <v>36</v>
      </c>
      <c r="N504">
        <v>1</v>
      </c>
      <c r="O504">
        <v>0</v>
      </c>
      <c r="P504">
        <v>11</v>
      </c>
      <c r="Q504">
        <v>9</v>
      </c>
      <c r="R504">
        <v>3</v>
      </c>
      <c r="S504">
        <v>0</v>
      </c>
      <c r="AB504" t="str">
        <f t="shared" si="21"/>
        <v>Normal</v>
      </c>
      <c r="AC504" t="str">
        <f t="shared" si="22"/>
        <v>Normal</v>
      </c>
    </row>
    <row r="505" spans="4:29" x14ac:dyDescent="0.25">
      <c r="D505" t="s">
        <v>38</v>
      </c>
      <c r="E505">
        <v>0.6</v>
      </c>
      <c r="F505">
        <v>55</v>
      </c>
      <c r="G505">
        <v>438</v>
      </c>
      <c r="H505">
        <v>333</v>
      </c>
      <c r="I505" s="11">
        <f t="shared" si="23"/>
        <v>76.027397260273972</v>
      </c>
      <c r="J505">
        <v>0</v>
      </c>
      <c r="K505" t="s">
        <v>35</v>
      </c>
      <c r="L505">
        <v>0</v>
      </c>
      <c r="M505" t="s">
        <v>36</v>
      </c>
      <c r="N505">
        <v>7</v>
      </c>
      <c r="O505">
        <v>3</v>
      </c>
      <c r="P505">
        <v>16</v>
      </c>
      <c r="Q505">
        <v>7</v>
      </c>
      <c r="R505">
        <v>3</v>
      </c>
      <c r="S505">
        <v>0</v>
      </c>
      <c r="AB505" t="str">
        <f t="shared" si="21"/>
        <v>Normal</v>
      </c>
      <c r="AC505" t="str">
        <f t="shared" si="22"/>
        <v>Normal</v>
      </c>
    </row>
    <row r="506" spans="4:29" x14ac:dyDescent="0.25">
      <c r="D506" t="s">
        <v>49</v>
      </c>
      <c r="E506">
        <v>3.3</v>
      </c>
      <c r="F506">
        <v>40</v>
      </c>
      <c r="G506">
        <v>375</v>
      </c>
      <c r="H506">
        <v>279</v>
      </c>
      <c r="I506" s="11">
        <f t="shared" si="23"/>
        <v>74.400000000000006</v>
      </c>
      <c r="J506">
        <v>4</v>
      </c>
      <c r="K506" t="s">
        <v>40</v>
      </c>
      <c r="L506">
        <v>3</v>
      </c>
      <c r="M506" t="s">
        <v>40</v>
      </c>
      <c r="N506">
        <v>12</v>
      </c>
      <c r="O506">
        <v>8</v>
      </c>
      <c r="P506">
        <v>11</v>
      </c>
      <c r="Q506">
        <v>4</v>
      </c>
      <c r="R506">
        <v>1</v>
      </c>
      <c r="S506">
        <v>0</v>
      </c>
      <c r="AB506" t="str">
        <f t="shared" si="21"/>
        <v>Normal</v>
      </c>
      <c r="AC506" t="str">
        <f t="shared" si="22"/>
        <v>Normal</v>
      </c>
    </row>
    <row r="507" spans="4:29" x14ac:dyDescent="0.25">
      <c r="D507" t="s">
        <v>42</v>
      </c>
      <c r="E507">
        <v>3.5</v>
      </c>
      <c r="F507">
        <v>60</v>
      </c>
      <c r="G507">
        <v>526</v>
      </c>
      <c r="H507">
        <v>425</v>
      </c>
      <c r="I507" s="11">
        <f t="shared" si="23"/>
        <v>80.798479087452463</v>
      </c>
      <c r="J507">
        <v>5</v>
      </c>
      <c r="K507" t="s">
        <v>40</v>
      </c>
      <c r="L507">
        <v>5</v>
      </c>
      <c r="M507" t="s">
        <v>40</v>
      </c>
      <c r="N507">
        <v>16</v>
      </c>
      <c r="O507">
        <v>7</v>
      </c>
      <c r="P507">
        <v>13</v>
      </c>
      <c r="Q507">
        <v>10</v>
      </c>
      <c r="R507">
        <v>1</v>
      </c>
      <c r="S507">
        <v>0</v>
      </c>
      <c r="AB507" t="str">
        <f t="shared" si="21"/>
        <v>Normal</v>
      </c>
      <c r="AC507" t="str">
        <f t="shared" si="22"/>
        <v>Normal</v>
      </c>
    </row>
    <row r="508" spans="4:29" x14ac:dyDescent="0.25">
      <c r="D508" t="s">
        <v>52</v>
      </c>
      <c r="E508">
        <v>1.2</v>
      </c>
      <c r="F508">
        <v>36</v>
      </c>
      <c r="G508">
        <v>370</v>
      </c>
      <c r="H508">
        <v>307</v>
      </c>
      <c r="I508" s="11">
        <f t="shared" si="23"/>
        <v>82.972972972972968</v>
      </c>
      <c r="J508">
        <v>0</v>
      </c>
      <c r="K508" t="s">
        <v>35</v>
      </c>
      <c r="L508">
        <v>0</v>
      </c>
      <c r="M508" t="s">
        <v>35</v>
      </c>
      <c r="N508">
        <v>10</v>
      </c>
      <c r="O508">
        <v>4</v>
      </c>
      <c r="P508">
        <v>6</v>
      </c>
      <c r="Q508">
        <v>4</v>
      </c>
      <c r="R508">
        <v>2</v>
      </c>
      <c r="S508">
        <v>0</v>
      </c>
      <c r="AB508" t="str">
        <f t="shared" si="21"/>
        <v>Normal</v>
      </c>
      <c r="AC508" t="str">
        <f t="shared" si="22"/>
        <v>Normal</v>
      </c>
    </row>
    <row r="509" spans="4:29" x14ac:dyDescent="0.25">
      <c r="D509" t="s">
        <v>44</v>
      </c>
      <c r="E509">
        <v>0.6</v>
      </c>
      <c r="F509">
        <v>40</v>
      </c>
      <c r="G509">
        <v>442</v>
      </c>
      <c r="H509">
        <v>372</v>
      </c>
      <c r="I509" s="11">
        <f t="shared" si="23"/>
        <v>84.162895927601809</v>
      </c>
      <c r="J509">
        <v>0</v>
      </c>
      <c r="K509" t="s">
        <v>35</v>
      </c>
      <c r="L509">
        <v>0</v>
      </c>
      <c r="M509" t="s">
        <v>35</v>
      </c>
      <c r="N509">
        <v>8</v>
      </c>
      <c r="O509">
        <v>2</v>
      </c>
      <c r="P509">
        <v>12</v>
      </c>
      <c r="Q509">
        <v>2</v>
      </c>
      <c r="R509">
        <v>3</v>
      </c>
      <c r="S509">
        <v>0</v>
      </c>
      <c r="AB509" t="str">
        <f t="shared" si="21"/>
        <v>Normal</v>
      </c>
      <c r="AC509" t="str">
        <f t="shared" si="22"/>
        <v>Normal</v>
      </c>
    </row>
    <row r="510" spans="4:29" x14ac:dyDescent="0.25">
      <c r="D510" t="s">
        <v>34</v>
      </c>
      <c r="E510">
        <v>1.5</v>
      </c>
      <c r="F510">
        <v>49</v>
      </c>
      <c r="G510">
        <v>502</v>
      </c>
      <c r="H510">
        <v>409</v>
      </c>
      <c r="I510" s="11">
        <f t="shared" si="23"/>
        <v>81.474103585657375</v>
      </c>
      <c r="J510">
        <v>1</v>
      </c>
      <c r="K510" t="s">
        <v>36</v>
      </c>
      <c r="L510">
        <v>0</v>
      </c>
      <c r="M510" t="s">
        <v>36</v>
      </c>
      <c r="N510">
        <v>14</v>
      </c>
      <c r="O510">
        <v>6</v>
      </c>
      <c r="P510">
        <v>14</v>
      </c>
      <c r="Q510">
        <v>11</v>
      </c>
      <c r="R510">
        <v>1</v>
      </c>
      <c r="S510">
        <v>1</v>
      </c>
      <c r="AB510" t="str">
        <f t="shared" si="21"/>
        <v>Normal</v>
      </c>
      <c r="AC510" t="str">
        <f t="shared" si="22"/>
        <v>Normal</v>
      </c>
    </row>
    <row r="511" spans="4:29" x14ac:dyDescent="0.25">
      <c r="D511" t="s">
        <v>58</v>
      </c>
      <c r="E511">
        <v>0.8</v>
      </c>
      <c r="F511">
        <v>56</v>
      </c>
      <c r="G511">
        <v>573</v>
      </c>
      <c r="H511">
        <v>498</v>
      </c>
      <c r="I511" s="11">
        <f t="shared" si="23"/>
        <v>86.910994764397913</v>
      </c>
      <c r="J511">
        <v>0</v>
      </c>
      <c r="K511" t="s">
        <v>35</v>
      </c>
      <c r="L511">
        <v>0</v>
      </c>
      <c r="M511" t="s">
        <v>35</v>
      </c>
      <c r="N511">
        <v>8</v>
      </c>
      <c r="O511">
        <v>2</v>
      </c>
      <c r="P511">
        <v>8</v>
      </c>
      <c r="Q511">
        <v>4</v>
      </c>
      <c r="R511">
        <v>3</v>
      </c>
      <c r="S511">
        <v>0</v>
      </c>
      <c r="AB511" t="str">
        <f t="shared" si="21"/>
        <v>Normal</v>
      </c>
      <c r="AC511" t="str">
        <f t="shared" si="22"/>
        <v>Normal</v>
      </c>
    </row>
    <row r="512" spans="4:29" x14ac:dyDescent="0.25">
      <c r="D512" t="s">
        <v>55</v>
      </c>
      <c r="E512">
        <v>1.6</v>
      </c>
      <c r="F512">
        <v>46</v>
      </c>
      <c r="G512">
        <v>474</v>
      </c>
      <c r="H512">
        <v>371</v>
      </c>
      <c r="I512" s="11">
        <f t="shared" si="23"/>
        <v>78.270042194092824</v>
      </c>
      <c r="J512">
        <v>1</v>
      </c>
      <c r="K512" t="s">
        <v>40</v>
      </c>
      <c r="L512">
        <v>0</v>
      </c>
      <c r="M512" t="s">
        <v>36</v>
      </c>
      <c r="N512">
        <v>13</v>
      </c>
      <c r="O512">
        <v>3</v>
      </c>
      <c r="P512">
        <v>13</v>
      </c>
      <c r="Q512">
        <v>7</v>
      </c>
      <c r="R512">
        <v>4</v>
      </c>
      <c r="S512">
        <v>0</v>
      </c>
      <c r="AB512" t="str">
        <f t="shared" si="21"/>
        <v>Normal</v>
      </c>
      <c r="AC512" t="str">
        <f t="shared" si="22"/>
        <v>Normal</v>
      </c>
    </row>
    <row r="513" spans="4:29" x14ac:dyDescent="0.25">
      <c r="D513" t="s">
        <v>51</v>
      </c>
      <c r="E513">
        <v>3</v>
      </c>
      <c r="F513">
        <v>61</v>
      </c>
      <c r="G513">
        <v>649</v>
      </c>
      <c r="H513">
        <v>544</v>
      </c>
      <c r="I513" s="11">
        <f t="shared" si="23"/>
        <v>83.821263482280429</v>
      </c>
      <c r="J513">
        <v>1</v>
      </c>
      <c r="K513" t="s">
        <v>35</v>
      </c>
      <c r="L513">
        <v>0</v>
      </c>
      <c r="M513" t="s">
        <v>35</v>
      </c>
      <c r="N513">
        <v>31</v>
      </c>
      <c r="O513">
        <v>10</v>
      </c>
      <c r="P513">
        <v>7</v>
      </c>
      <c r="Q513">
        <v>9</v>
      </c>
      <c r="R513">
        <v>2</v>
      </c>
      <c r="S513">
        <v>0</v>
      </c>
      <c r="AB513" t="str">
        <f t="shared" si="21"/>
        <v>Normal</v>
      </c>
      <c r="AC513" t="str">
        <f t="shared" si="22"/>
        <v>Normal</v>
      </c>
    </row>
    <row r="514" spans="4:29" x14ac:dyDescent="0.25">
      <c r="D514" t="s">
        <v>43</v>
      </c>
      <c r="E514">
        <v>0.8</v>
      </c>
      <c r="F514">
        <v>56</v>
      </c>
      <c r="G514">
        <v>521</v>
      </c>
      <c r="H514">
        <v>415</v>
      </c>
      <c r="I514" s="11">
        <f t="shared" si="23"/>
        <v>79.654510556621887</v>
      </c>
      <c r="J514">
        <v>0</v>
      </c>
      <c r="K514" t="s">
        <v>35</v>
      </c>
      <c r="L514">
        <v>0</v>
      </c>
      <c r="M514" t="s">
        <v>35</v>
      </c>
      <c r="N514">
        <v>6</v>
      </c>
      <c r="O514">
        <v>2</v>
      </c>
      <c r="P514">
        <v>8</v>
      </c>
      <c r="Q514">
        <v>4</v>
      </c>
      <c r="R514">
        <v>0</v>
      </c>
      <c r="S514">
        <v>0</v>
      </c>
      <c r="AB514" t="str">
        <f t="shared" ref="AB514:AB577" si="24">IF(E514 &lt; _xlfn.PERCENTILE.INC($E$2:$E$761,0),
    "Ekstrem Rendah",
    IF(E514 &gt; _xlfn.PERCENTILE.INC($E$2:$E$761,1),
        "Ekstrem Tinggi",
        "Normal"
    )
)</f>
        <v>Normal</v>
      </c>
      <c r="AC514" t="str">
        <f t="shared" ref="AC514:AC577" si="25">IF(F514 &lt; _xlfn.PERCENTILE.INC($F$2:$F$761,0.001),
    "Ekstrem Rendah",
    IF(F514 &gt; _xlfn.PERCENTILE.INC($F$2:$F$761,0.999),
        "Ekstrem Tinggi",
        "Normal"
    )
)</f>
        <v>Normal</v>
      </c>
    </row>
    <row r="515" spans="4:29" x14ac:dyDescent="0.25">
      <c r="D515" t="s">
        <v>48</v>
      </c>
      <c r="E515">
        <v>1</v>
      </c>
      <c r="F515">
        <v>34</v>
      </c>
      <c r="G515">
        <v>318</v>
      </c>
      <c r="H515">
        <v>245</v>
      </c>
      <c r="I515" s="11">
        <f t="shared" ref="I515:I578" si="26">H515/G515*100</f>
        <v>77.04402515723271</v>
      </c>
      <c r="J515">
        <v>0</v>
      </c>
      <c r="K515" t="s">
        <v>35</v>
      </c>
      <c r="L515">
        <v>0</v>
      </c>
      <c r="M515" t="s">
        <v>35</v>
      </c>
      <c r="N515">
        <v>12</v>
      </c>
      <c r="O515">
        <v>3</v>
      </c>
      <c r="P515">
        <v>15</v>
      </c>
      <c r="Q515">
        <v>2</v>
      </c>
      <c r="R515">
        <v>4</v>
      </c>
      <c r="S515">
        <v>0</v>
      </c>
      <c r="AB515" t="str">
        <f t="shared" si="24"/>
        <v>Normal</v>
      </c>
      <c r="AC515" t="str">
        <f t="shared" si="25"/>
        <v>Normal</v>
      </c>
    </row>
    <row r="516" spans="4:29" x14ac:dyDescent="0.25">
      <c r="D516" t="s">
        <v>39</v>
      </c>
      <c r="E516">
        <v>1.9</v>
      </c>
      <c r="F516">
        <v>58</v>
      </c>
      <c r="G516">
        <v>553</v>
      </c>
      <c r="H516">
        <v>473</v>
      </c>
      <c r="I516" s="11">
        <f t="shared" si="26"/>
        <v>85.533453887884264</v>
      </c>
      <c r="J516">
        <v>3</v>
      </c>
      <c r="K516" t="s">
        <v>36</v>
      </c>
      <c r="L516">
        <v>0</v>
      </c>
      <c r="M516" t="s">
        <v>35</v>
      </c>
      <c r="N516">
        <v>16</v>
      </c>
      <c r="O516">
        <v>5</v>
      </c>
      <c r="P516">
        <v>17</v>
      </c>
      <c r="Q516">
        <v>6</v>
      </c>
      <c r="R516">
        <v>5</v>
      </c>
      <c r="S516">
        <v>0</v>
      </c>
      <c r="AB516" t="str">
        <f t="shared" si="24"/>
        <v>Normal</v>
      </c>
      <c r="AC516" t="str">
        <f t="shared" si="25"/>
        <v>Normal</v>
      </c>
    </row>
    <row r="517" spans="4:29" x14ac:dyDescent="0.25">
      <c r="D517" t="s">
        <v>57</v>
      </c>
      <c r="E517">
        <v>5.2</v>
      </c>
      <c r="F517">
        <v>55</v>
      </c>
      <c r="G517">
        <v>560</v>
      </c>
      <c r="H517">
        <v>508</v>
      </c>
      <c r="I517" s="11">
        <f t="shared" si="26"/>
        <v>90.714285714285708</v>
      </c>
      <c r="J517">
        <v>5</v>
      </c>
      <c r="K517" t="s">
        <v>40</v>
      </c>
      <c r="L517">
        <v>3</v>
      </c>
      <c r="M517" t="s">
        <v>40</v>
      </c>
      <c r="N517">
        <v>26</v>
      </c>
      <c r="O517">
        <v>13</v>
      </c>
      <c r="P517">
        <v>14</v>
      </c>
      <c r="Q517">
        <v>7</v>
      </c>
      <c r="R517">
        <v>0</v>
      </c>
      <c r="S517">
        <v>0</v>
      </c>
      <c r="AB517" t="str">
        <f t="shared" si="24"/>
        <v>Normal</v>
      </c>
      <c r="AC517" t="str">
        <f t="shared" si="25"/>
        <v>Normal</v>
      </c>
    </row>
    <row r="518" spans="4:29" x14ac:dyDescent="0.25">
      <c r="D518" t="s">
        <v>33</v>
      </c>
      <c r="E518">
        <v>0.2</v>
      </c>
      <c r="F518">
        <v>49</v>
      </c>
      <c r="G518">
        <v>497</v>
      </c>
      <c r="H518">
        <v>425</v>
      </c>
      <c r="I518" s="11">
        <f t="shared" si="26"/>
        <v>85.513078470824951</v>
      </c>
      <c r="J518">
        <v>0</v>
      </c>
      <c r="K518" t="s">
        <v>35</v>
      </c>
      <c r="L518">
        <v>0</v>
      </c>
      <c r="M518" t="s">
        <v>36</v>
      </c>
      <c r="N518">
        <v>5</v>
      </c>
      <c r="O518">
        <v>2</v>
      </c>
      <c r="P518">
        <v>8</v>
      </c>
      <c r="Q518">
        <v>0</v>
      </c>
      <c r="R518">
        <v>3</v>
      </c>
      <c r="S518">
        <v>0</v>
      </c>
      <c r="AB518" t="str">
        <f t="shared" si="24"/>
        <v>Normal</v>
      </c>
      <c r="AC518" t="str">
        <f t="shared" si="25"/>
        <v>Normal</v>
      </c>
    </row>
    <row r="519" spans="4:29" x14ac:dyDescent="0.25">
      <c r="D519" t="s">
        <v>54</v>
      </c>
      <c r="E519">
        <v>0.9</v>
      </c>
      <c r="F519">
        <v>51</v>
      </c>
      <c r="G519">
        <v>443</v>
      </c>
      <c r="H519">
        <v>360</v>
      </c>
      <c r="I519" s="11">
        <f t="shared" si="26"/>
        <v>81.264108352144476</v>
      </c>
      <c r="J519">
        <v>1</v>
      </c>
      <c r="K519" t="s">
        <v>35</v>
      </c>
      <c r="L519">
        <v>0</v>
      </c>
      <c r="M519" t="s">
        <v>35</v>
      </c>
      <c r="N519">
        <v>9</v>
      </c>
      <c r="O519">
        <v>1</v>
      </c>
      <c r="P519">
        <v>15</v>
      </c>
      <c r="Q519">
        <v>5</v>
      </c>
      <c r="R519">
        <v>2</v>
      </c>
      <c r="S519">
        <v>0</v>
      </c>
      <c r="AB519" t="str">
        <f t="shared" si="24"/>
        <v>Normal</v>
      </c>
      <c r="AC519" t="str">
        <f t="shared" si="25"/>
        <v>Normal</v>
      </c>
    </row>
    <row r="520" spans="4:29" x14ac:dyDescent="0.25">
      <c r="D520" t="s">
        <v>45</v>
      </c>
      <c r="E520">
        <v>1.4</v>
      </c>
      <c r="F520">
        <v>57</v>
      </c>
      <c r="G520">
        <v>548</v>
      </c>
      <c r="H520">
        <v>468</v>
      </c>
      <c r="I520" s="11">
        <f t="shared" si="26"/>
        <v>85.40145985401459</v>
      </c>
      <c r="J520">
        <v>1</v>
      </c>
      <c r="K520" t="s">
        <v>35</v>
      </c>
      <c r="L520">
        <v>0</v>
      </c>
      <c r="M520" t="s">
        <v>35</v>
      </c>
      <c r="N520">
        <v>13</v>
      </c>
      <c r="O520">
        <v>3</v>
      </c>
      <c r="P520">
        <v>8</v>
      </c>
      <c r="Q520">
        <v>6</v>
      </c>
      <c r="R520">
        <v>2</v>
      </c>
      <c r="S520">
        <v>0</v>
      </c>
      <c r="AB520" t="str">
        <f t="shared" si="24"/>
        <v>Normal</v>
      </c>
      <c r="AC520" t="str">
        <f t="shared" si="25"/>
        <v>Normal</v>
      </c>
    </row>
    <row r="521" spans="4:29" x14ac:dyDescent="0.25">
      <c r="D521" t="s">
        <v>60</v>
      </c>
      <c r="E521">
        <v>0.9</v>
      </c>
      <c r="F521">
        <v>65</v>
      </c>
      <c r="G521">
        <v>538</v>
      </c>
      <c r="H521">
        <v>428</v>
      </c>
      <c r="I521" s="11">
        <f t="shared" si="26"/>
        <v>79.553903345724905</v>
      </c>
      <c r="J521">
        <v>0</v>
      </c>
      <c r="K521" t="s">
        <v>35</v>
      </c>
      <c r="L521">
        <v>0</v>
      </c>
      <c r="M521" t="s">
        <v>35</v>
      </c>
      <c r="N521">
        <v>12</v>
      </c>
      <c r="O521">
        <v>4</v>
      </c>
      <c r="P521">
        <v>8</v>
      </c>
      <c r="Q521">
        <v>9</v>
      </c>
      <c r="R521">
        <v>2</v>
      </c>
      <c r="S521">
        <v>0</v>
      </c>
      <c r="AB521" t="str">
        <f t="shared" si="24"/>
        <v>Normal</v>
      </c>
      <c r="AC521" t="str">
        <f t="shared" si="25"/>
        <v>Normal</v>
      </c>
    </row>
    <row r="522" spans="4:29" x14ac:dyDescent="0.25">
      <c r="D522" t="s">
        <v>47</v>
      </c>
      <c r="E522">
        <v>0.3</v>
      </c>
      <c r="F522">
        <v>53</v>
      </c>
      <c r="G522">
        <v>524</v>
      </c>
      <c r="H522">
        <v>456</v>
      </c>
      <c r="I522" s="11">
        <f t="shared" si="26"/>
        <v>87.022900763358777</v>
      </c>
      <c r="J522">
        <v>0</v>
      </c>
      <c r="K522" t="s">
        <v>35</v>
      </c>
      <c r="L522">
        <v>0</v>
      </c>
      <c r="M522" t="s">
        <v>35</v>
      </c>
      <c r="N522">
        <v>4</v>
      </c>
      <c r="O522">
        <v>0</v>
      </c>
      <c r="P522">
        <v>15</v>
      </c>
      <c r="Q522">
        <v>1</v>
      </c>
      <c r="R522">
        <v>3</v>
      </c>
      <c r="S522">
        <v>0</v>
      </c>
      <c r="AB522" t="str">
        <f t="shared" si="24"/>
        <v>Normal</v>
      </c>
      <c r="AC522" t="str">
        <f t="shared" si="25"/>
        <v>Normal</v>
      </c>
    </row>
    <row r="523" spans="4:29" x14ac:dyDescent="0.25">
      <c r="D523" t="s">
        <v>46</v>
      </c>
      <c r="E523">
        <v>1.5</v>
      </c>
      <c r="F523">
        <v>57</v>
      </c>
      <c r="G523">
        <v>555</v>
      </c>
      <c r="H523">
        <v>462</v>
      </c>
      <c r="I523" s="11">
        <f t="shared" si="26"/>
        <v>83.243243243243242</v>
      </c>
      <c r="J523">
        <v>2</v>
      </c>
      <c r="K523" t="s">
        <v>35</v>
      </c>
      <c r="L523">
        <v>2</v>
      </c>
      <c r="M523" t="s">
        <v>36</v>
      </c>
      <c r="N523">
        <v>16</v>
      </c>
      <c r="O523">
        <v>3</v>
      </c>
      <c r="P523">
        <v>7</v>
      </c>
      <c r="Q523">
        <v>4</v>
      </c>
      <c r="R523">
        <v>0</v>
      </c>
      <c r="S523">
        <v>0</v>
      </c>
      <c r="AB523" t="str">
        <f t="shared" si="24"/>
        <v>Normal</v>
      </c>
      <c r="AC523" t="str">
        <f t="shared" si="25"/>
        <v>Normal</v>
      </c>
    </row>
    <row r="524" spans="4:29" x14ac:dyDescent="0.25">
      <c r="D524" t="s">
        <v>58</v>
      </c>
      <c r="E524">
        <v>1.4</v>
      </c>
      <c r="F524">
        <v>68</v>
      </c>
      <c r="G524">
        <v>762</v>
      </c>
      <c r="H524">
        <v>665</v>
      </c>
      <c r="I524" s="11">
        <f t="shared" si="26"/>
        <v>87.270341207349077</v>
      </c>
      <c r="J524">
        <v>2</v>
      </c>
      <c r="K524" t="s">
        <v>36</v>
      </c>
      <c r="L524">
        <v>1</v>
      </c>
      <c r="M524" t="s">
        <v>36</v>
      </c>
      <c r="N524">
        <v>12</v>
      </c>
      <c r="O524">
        <v>4</v>
      </c>
      <c r="P524">
        <v>10</v>
      </c>
      <c r="Q524">
        <v>8</v>
      </c>
      <c r="R524">
        <v>0</v>
      </c>
      <c r="S524">
        <v>1</v>
      </c>
      <c r="AB524" t="str">
        <f t="shared" si="24"/>
        <v>Normal</v>
      </c>
      <c r="AC524" t="str">
        <f t="shared" si="25"/>
        <v>Normal</v>
      </c>
    </row>
    <row r="525" spans="4:29" x14ac:dyDescent="0.25">
      <c r="D525" t="s">
        <v>48</v>
      </c>
      <c r="E525">
        <v>0.8</v>
      </c>
      <c r="F525">
        <v>29</v>
      </c>
      <c r="G525">
        <v>263</v>
      </c>
      <c r="H525">
        <v>172</v>
      </c>
      <c r="I525" s="11">
        <f t="shared" si="26"/>
        <v>65.399239543726239</v>
      </c>
      <c r="J525">
        <v>3</v>
      </c>
      <c r="K525" t="s">
        <v>40</v>
      </c>
      <c r="L525">
        <v>1</v>
      </c>
      <c r="M525" t="s">
        <v>36</v>
      </c>
      <c r="N525">
        <v>11</v>
      </c>
      <c r="O525">
        <v>3</v>
      </c>
      <c r="P525">
        <v>13</v>
      </c>
      <c r="Q525">
        <v>3</v>
      </c>
      <c r="R525">
        <v>2</v>
      </c>
      <c r="S525">
        <v>0</v>
      </c>
      <c r="AB525" t="str">
        <f t="shared" si="24"/>
        <v>Normal</v>
      </c>
      <c r="AC525" t="str">
        <f t="shared" si="25"/>
        <v>Normal</v>
      </c>
    </row>
    <row r="526" spans="4:29" x14ac:dyDescent="0.25">
      <c r="D526" t="s">
        <v>42</v>
      </c>
      <c r="E526">
        <v>1.8</v>
      </c>
      <c r="F526">
        <v>66</v>
      </c>
      <c r="G526">
        <v>650</v>
      </c>
      <c r="H526">
        <v>556</v>
      </c>
      <c r="I526" s="11">
        <f t="shared" si="26"/>
        <v>85.538461538461547</v>
      </c>
      <c r="J526">
        <v>1</v>
      </c>
      <c r="K526" t="s">
        <v>36</v>
      </c>
      <c r="L526">
        <v>0</v>
      </c>
      <c r="M526" t="s">
        <v>35</v>
      </c>
      <c r="N526">
        <v>12</v>
      </c>
      <c r="O526">
        <v>4</v>
      </c>
      <c r="P526">
        <v>9</v>
      </c>
      <c r="Q526">
        <v>6</v>
      </c>
      <c r="R526">
        <v>2</v>
      </c>
      <c r="S526">
        <v>0</v>
      </c>
      <c r="AB526" t="str">
        <f t="shared" si="24"/>
        <v>Normal</v>
      </c>
      <c r="AC526" t="str">
        <f t="shared" si="25"/>
        <v>Normal</v>
      </c>
    </row>
    <row r="527" spans="4:29" x14ac:dyDescent="0.25">
      <c r="D527" t="s">
        <v>49</v>
      </c>
      <c r="E527">
        <v>3.2</v>
      </c>
      <c r="F527">
        <v>56</v>
      </c>
      <c r="G527">
        <v>488</v>
      </c>
      <c r="H527">
        <v>379</v>
      </c>
      <c r="I527" s="11">
        <f t="shared" si="26"/>
        <v>77.663934426229503</v>
      </c>
      <c r="J527">
        <v>2</v>
      </c>
      <c r="K527" t="s">
        <v>40</v>
      </c>
      <c r="L527">
        <v>0</v>
      </c>
      <c r="M527" t="s">
        <v>35</v>
      </c>
      <c r="N527">
        <v>22</v>
      </c>
      <c r="O527">
        <v>6</v>
      </c>
      <c r="P527">
        <v>13</v>
      </c>
      <c r="Q527">
        <v>13</v>
      </c>
      <c r="R527">
        <v>1</v>
      </c>
      <c r="S527">
        <v>0</v>
      </c>
      <c r="AB527" t="str">
        <f t="shared" si="24"/>
        <v>Normal</v>
      </c>
      <c r="AC527" t="str">
        <f t="shared" si="25"/>
        <v>Normal</v>
      </c>
    </row>
    <row r="528" spans="4:29" x14ac:dyDescent="0.25">
      <c r="D528" t="s">
        <v>45</v>
      </c>
      <c r="E528">
        <v>1.5</v>
      </c>
      <c r="F528">
        <v>44</v>
      </c>
      <c r="G528">
        <v>457</v>
      </c>
      <c r="H528">
        <v>381</v>
      </c>
      <c r="I528" s="11">
        <f t="shared" si="26"/>
        <v>83.369803063457326</v>
      </c>
      <c r="J528">
        <v>2</v>
      </c>
      <c r="K528" t="s">
        <v>36</v>
      </c>
      <c r="L528">
        <v>1</v>
      </c>
      <c r="M528" t="s">
        <v>40</v>
      </c>
      <c r="N528">
        <v>16</v>
      </c>
      <c r="O528">
        <v>7</v>
      </c>
      <c r="P528">
        <v>10</v>
      </c>
      <c r="Q528">
        <v>5</v>
      </c>
      <c r="R528">
        <v>2</v>
      </c>
      <c r="S528">
        <v>0</v>
      </c>
      <c r="AB528" t="str">
        <f t="shared" si="24"/>
        <v>Normal</v>
      </c>
      <c r="AC528" t="str">
        <f t="shared" si="25"/>
        <v>Normal</v>
      </c>
    </row>
    <row r="529" spans="4:29" x14ac:dyDescent="0.25">
      <c r="D529" t="s">
        <v>57</v>
      </c>
      <c r="E529">
        <v>2.8</v>
      </c>
      <c r="F529">
        <v>61</v>
      </c>
      <c r="G529">
        <v>556</v>
      </c>
      <c r="H529">
        <v>471</v>
      </c>
      <c r="I529" s="11">
        <f t="shared" si="26"/>
        <v>84.712230215827333</v>
      </c>
      <c r="J529">
        <v>4</v>
      </c>
      <c r="K529" t="s">
        <v>40</v>
      </c>
      <c r="L529">
        <v>1</v>
      </c>
      <c r="M529" t="s">
        <v>35</v>
      </c>
      <c r="N529">
        <v>17</v>
      </c>
      <c r="O529">
        <v>8</v>
      </c>
      <c r="P529">
        <v>11</v>
      </c>
      <c r="Q529">
        <v>10</v>
      </c>
      <c r="R529">
        <v>2</v>
      </c>
      <c r="S529">
        <v>0</v>
      </c>
      <c r="AB529" t="str">
        <f t="shared" si="24"/>
        <v>Normal</v>
      </c>
      <c r="AC529" t="str">
        <f t="shared" si="25"/>
        <v>Normal</v>
      </c>
    </row>
    <row r="530" spans="4:29" x14ac:dyDescent="0.25">
      <c r="D530" t="s">
        <v>43</v>
      </c>
      <c r="E530">
        <v>1.4</v>
      </c>
      <c r="F530">
        <v>46</v>
      </c>
      <c r="G530">
        <v>409</v>
      </c>
      <c r="H530">
        <v>311</v>
      </c>
      <c r="I530" s="11">
        <f t="shared" si="26"/>
        <v>76.039119804400983</v>
      </c>
      <c r="J530">
        <v>1</v>
      </c>
      <c r="K530" t="s">
        <v>35</v>
      </c>
      <c r="L530">
        <v>0</v>
      </c>
      <c r="M530" t="s">
        <v>36</v>
      </c>
      <c r="N530">
        <v>19</v>
      </c>
      <c r="O530">
        <v>5</v>
      </c>
      <c r="P530">
        <v>17</v>
      </c>
      <c r="Q530">
        <v>0</v>
      </c>
      <c r="R530">
        <v>4</v>
      </c>
      <c r="S530">
        <v>0</v>
      </c>
      <c r="AB530" t="str">
        <f t="shared" si="24"/>
        <v>Normal</v>
      </c>
      <c r="AC530" t="str">
        <f t="shared" si="25"/>
        <v>Normal</v>
      </c>
    </row>
    <row r="531" spans="4:29" x14ac:dyDescent="0.25">
      <c r="D531" t="s">
        <v>44</v>
      </c>
      <c r="E531">
        <v>0.1</v>
      </c>
      <c r="F531">
        <v>24</v>
      </c>
      <c r="G531">
        <v>239</v>
      </c>
      <c r="H531">
        <v>162</v>
      </c>
      <c r="I531" s="11">
        <f t="shared" si="26"/>
        <v>67.78242677824268</v>
      </c>
      <c r="J531">
        <v>0</v>
      </c>
      <c r="K531" t="s">
        <v>36</v>
      </c>
      <c r="L531">
        <v>0</v>
      </c>
      <c r="M531" t="s">
        <v>36</v>
      </c>
      <c r="N531">
        <v>2</v>
      </c>
      <c r="O531">
        <v>0</v>
      </c>
      <c r="P531">
        <v>9</v>
      </c>
      <c r="Q531">
        <v>2</v>
      </c>
      <c r="R531">
        <v>3</v>
      </c>
      <c r="S531">
        <v>0</v>
      </c>
      <c r="AB531" t="str">
        <f t="shared" si="24"/>
        <v>Normal</v>
      </c>
      <c r="AC531" t="str">
        <f t="shared" si="25"/>
        <v>Normal</v>
      </c>
    </row>
    <row r="532" spans="4:29" x14ac:dyDescent="0.25">
      <c r="D532" t="s">
        <v>34</v>
      </c>
      <c r="E532">
        <v>1.2</v>
      </c>
      <c r="F532">
        <v>39</v>
      </c>
      <c r="G532">
        <v>371</v>
      </c>
      <c r="H532">
        <v>295</v>
      </c>
      <c r="I532" s="11">
        <f t="shared" si="26"/>
        <v>79.514824797843659</v>
      </c>
      <c r="J532">
        <v>2</v>
      </c>
      <c r="K532" t="s">
        <v>36</v>
      </c>
      <c r="L532">
        <v>1</v>
      </c>
      <c r="M532" t="s">
        <v>40</v>
      </c>
      <c r="N532">
        <v>12</v>
      </c>
      <c r="O532">
        <v>3</v>
      </c>
      <c r="P532">
        <v>7</v>
      </c>
      <c r="Q532">
        <v>4</v>
      </c>
      <c r="R532">
        <v>4</v>
      </c>
      <c r="S532">
        <v>0</v>
      </c>
      <c r="AB532" t="str">
        <f t="shared" si="24"/>
        <v>Normal</v>
      </c>
      <c r="AC532" t="str">
        <f t="shared" si="25"/>
        <v>Normal</v>
      </c>
    </row>
    <row r="533" spans="4:29" x14ac:dyDescent="0.25">
      <c r="D533" t="s">
        <v>59</v>
      </c>
      <c r="E533">
        <v>0.2</v>
      </c>
      <c r="F533">
        <v>41</v>
      </c>
      <c r="G533">
        <v>466</v>
      </c>
      <c r="H533">
        <v>361</v>
      </c>
      <c r="I533" s="11">
        <f t="shared" si="26"/>
        <v>77.467811158798284</v>
      </c>
      <c r="J533">
        <v>0</v>
      </c>
      <c r="K533" t="s">
        <v>35</v>
      </c>
      <c r="L533">
        <v>0</v>
      </c>
      <c r="M533" t="s">
        <v>35</v>
      </c>
      <c r="N533">
        <v>4</v>
      </c>
      <c r="O533">
        <v>1</v>
      </c>
      <c r="P533">
        <v>16</v>
      </c>
      <c r="Q533">
        <v>2</v>
      </c>
      <c r="R533">
        <v>3</v>
      </c>
      <c r="S533">
        <v>0</v>
      </c>
      <c r="AB533" t="str">
        <f t="shared" si="24"/>
        <v>Normal</v>
      </c>
      <c r="AC533" t="str">
        <f t="shared" si="25"/>
        <v>Normal</v>
      </c>
    </row>
    <row r="534" spans="4:29" x14ac:dyDescent="0.25">
      <c r="D534" t="s">
        <v>38</v>
      </c>
      <c r="E534">
        <v>1.1000000000000001</v>
      </c>
      <c r="F534">
        <v>46</v>
      </c>
      <c r="G534">
        <v>460</v>
      </c>
      <c r="H534">
        <v>371</v>
      </c>
      <c r="I534" s="11">
        <f t="shared" si="26"/>
        <v>80.652173913043484</v>
      </c>
      <c r="J534">
        <v>2</v>
      </c>
      <c r="K534" t="s">
        <v>40</v>
      </c>
      <c r="L534">
        <v>1</v>
      </c>
      <c r="M534" t="s">
        <v>40</v>
      </c>
      <c r="N534">
        <v>10</v>
      </c>
      <c r="O534">
        <v>5</v>
      </c>
      <c r="P534">
        <v>9</v>
      </c>
      <c r="Q534">
        <v>3</v>
      </c>
      <c r="R534">
        <v>2</v>
      </c>
      <c r="S534">
        <v>0</v>
      </c>
      <c r="AB534" t="str">
        <f t="shared" si="24"/>
        <v>Normal</v>
      </c>
      <c r="AC534" t="str">
        <f t="shared" si="25"/>
        <v>Normal</v>
      </c>
    </row>
    <row r="535" spans="4:29" x14ac:dyDescent="0.25">
      <c r="D535" t="s">
        <v>52</v>
      </c>
      <c r="E535">
        <v>0.4</v>
      </c>
      <c r="F535">
        <v>50</v>
      </c>
      <c r="G535">
        <v>501</v>
      </c>
      <c r="H535">
        <v>431</v>
      </c>
      <c r="I535" s="11">
        <f t="shared" si="26"/>
        <v>86.027944111776449</v>
      </c>
      <c r="J535">
        <v>1</v>
      </c>
      <c r="K535" t="s">
        <v>35</v>
      </c>
      <c r="L535">
        <v>0</v>
      </c>
      <c r="M535" t="s">
        <v>36</v>
      </c>
      <c r="N535">
        <v>8</v>
      </c>
      <c r="O535">
        <v>2</v>
      </c>
      <c r="P535">
        <v>6</v>
      </c>
      <c r="Q535">
        <v>3</v>
      </c>
      <c r="R535">
        <v>1</v>
      </c>
      <c r="S535">
        <v>0</v>
      </c>
      <c r="AB535" t="str">
        <f t="shared" si="24"/>
        <v>Normal</v>
      </c>
      <c r="AC535" t="str">
        <f t="shared" si="25"/>
        <v>Normal</v>
      </c>
    </row>
    <row r="536" spans="4:29" x14ac:dyDescent="0.25">
      <c r="D536" t="s">
        <v>55</v>
      </c>
      <c r="E536">
        <v>2.2000000000000002</v>
      </c>
      <c r="F536">
        <v>36</v>
      </c>
      <c r="G536">
        <v>339</v>
      </c>
      <c r="H536">
        <v>247</v>
      </c>
      <c r="I536" s="11">
        <f t="shared" si="26"/>
        <v>72.861356932153384</v>
      </c>
      <c r="J536">
        <v>3</v>
      </c>
      <c r="K536" t="s">
        <v>40</v>
      </c>
      <c r="L536">
        <v>2</v>
      </c>
      <c r="M536" t="s">
        <v>40</v>
      </c>
      <c r="N536">
        <v>13</v>
      </c>
      <c r="O536">
        <v>5</v>
      </c>
      <c r="P536">
        <v>15</v>
      </c>
      <c r="Q536">
        <v>5</v>
      </c>
      <c r="R536">
        <v>4</v>
      </c>
      <c r="S536">
        <v>0</v>
      </c>
      <c r="AB536" t="str">
        <f t="shared" si="24"/>
        <v>Normal</v>
      </c>
      <c r="AC536" t="str">
        <f t="shared" si="25"/>
        <v>Normal</v>
      </c>
    </row>
    <row r="537" spans="4:29" x14ac:dyDescent="0.25">
      <c r="D537" t="s">
        <v>33</v>
      </c>
      <c r="E537">
        <v>2.1</v>
      </c>
      <c r="F537">
        <v>48</v>
      </c>
      <c r="G537">
        <v>499</v>
      </c>
      <c r="H537">
        <v>431</v>
      </c>
      <c r="I537" s="11">
        <f t="shared" si="26"/>
        <v>86.372745490981956</v>
      </c>
      <c r="J537">
        <v>2</v>
      </c>
      <c r="K537" t="s">
        <v>40</v>
      </c>
      <c r="L537">
        <v>0</v>
      </c>
      <c r="M537" t="s">
        <v>35</v>
      </c>
      <c r="N537">
        <v>10</v>
      </c>
      <c r="O537">
        <v>3</v>
      </c>
      <c r="P537">
        <v>14</v>
      </c>
      <c r="Q537">
        <v>2</v>
      </c>
      <c r="R537">
        <v>1</v>
      </c>
      <c r="S537">
        <v>0</v>
      </c>
      <c r="AB537" t="str">
        <f t="shared" si="24"/>
        <v>Normal</v>
      </c>
      <c r="AC537" t="str">
        <f t="shared" si="25"/>
        <v>Normal</v>
      </c>
    </row>
    <row r="538" spans="4:29" x14ac:dyDescent="0.25">
      <c r="D538" t="s">
        <v>54</v>
      </c>
      <c r="E538">
        <v>1.6</v>
      </c>
      <c r="F538">
        <v>38</v>
      </c>
      <c r="G538">
        <v>363</v>
      </c>
      <c r="H538">
        <v>263</v>
      </c>
      <c r="I538" s="11">
        <f t="shared" si="26"/>
        <v>72.451790633608809</v>
      </c>
      <c r="J538">
        <v>1</v>
      </c>
      <c r="K538" t="s">
        <v>35</v>
      </c>
      <c r="L538">
        <v>0</v>
      </c>
      <c r="M538" t="s">
        <v>35</v>
      </c>
      <c r="N538">
        <v>9</v>
      </c>
      <c r="O538">
        <v>4</v>
      </c>
      <c r="P538">
        <v>7</v>
      </c>
      <c r="Q538">
        <v>5</v>
      </c>
      <c r="R538">
        <v>2</v>
      </c>
      <c r="S538">
        <v>0</v>
      </c>
      <c r="AB538" t="str">
        <f t="shared" si="24"/>
        <v>Normal</v>
      </c>
      <c r="AC538" t="str">
        <f t="shared" si="25"/>
        <v>Normal</v>
      </c>
    </row>
    <row r="539" spans="4:29" x14ac:dyDescent="0.25">
      <c r="D539" t="s">
        <v>60</v>
      </c>
      <c r="E539">
        <v>2.2999999999999998</v>
      </c>
      <c r="F539">
        <v>58</v>
      </c>
      <c r="G539">
        <v>632</v>
      </c>
      <c r="H539">
        <v>566</v>
      </c>
      <c r="I539" s="11">
        <f t="shared" si="26"/>
        <v>89.556962025316452</v>
      </c>
      <c r="J539">
        <v>5</v>
      </c>
      <c r="K539" t="s">
        <v>40</v>
      </c>
      <c r="L539">
        <v>5</v>
      </c>
      <c r="M539" t="s">
        <v>40</v>
      </c>
      <c r="N539">
        <v>18</v>
      </c>
      <c r="O539">
        <v>9</v>
      </c>
      <c r="P539">
        <v>15</v>
      </c>
      <c r="Q539">
        <v>5</v>
      </c>
      <c r="R539">
        <v>3</v>
      </c>
      <c r="S539">
        <v>0</v>
      </c>
      <c r="AB539" t="str">
        <f t="shared" si="24"/>
        <v>Normal</v>
      </c>
      <c r="AC539" t="str">
        <f t="shared" si="25"/>
        <v>Normal</v>
      </c>
    </row>
    <row r="540" spans="4:29" x14ac:dyDescent="0.25">
      <c r="D540" t="s">
        <v>51</v>
      </c>
      <c r="E540">
        <v>2.1</v>
      </c>
      <c r="F540">
        <v>48</v>
      </c>
      <c r="G540">
        <v>461</v>
      </c>
      <c r="H540">
        <v>326</v>
      </c>
      <c r="I540" s="11">
        <f t="shared" si="26"/>
        <v>70.715835140997825</v>
      </c>
      <c r="J540">
        <v>1</v>
      </c>
      <c r="K540" t="s">
        <v>36</v>
      </c>
      <c r="L540">
        <v>0</v>
      </c>
      <c r="M540" t="s">
        <v>36</v>
      </c>
      <c r="N540">
        <v>16</v>
      </c>
      <c r="O540">
        <v>3</v>
      </c>
      <c r="P540">
        <v>11</v>
      </c>
      <c r="Q540">
        <v>6</v>
      </c>
      <c r="R540">
        <v>2</v>
      </c>
      <c r="S540">
        <v>0</v>
      </c>
      <c r="AB540" t="str">
        <f t="shared" si="24"/>
        <v>Normal</v>
      </c>
      <c r="AC540" t="str">
        <f t="shared" si="25"/>
        <v>Normal</v>
      </c>
    </row>
    <row r="541" spans="4:29" x14ac:dyDescent="0.25">
      <c r="D541" t="s">
        <v>58</v>
      </c>
      <c r="E541">
        <v>1</v>
      </c>
      <c r="F541">
        <v>56</v>
      </c>
      <c r="G541">
        <v>566</v>
      </c>
      <c r="H541">
        <v>513</v>
      </c>
      <c r="I541" s="11">
        <f t="shared" si="26"/>
        <v>90.63604240282686</v>
      </c>
      <c r="J541">
        <v>1</v>
      </c>
      <c r="K541" t="s">
        <v>35</v>
      </c>
      <c r="L541">
        <v>0</v>
      </c>
      <c r="M541" t="s">
        <v>35</v>
      </c>
      <c r="N541">
        <v>12</v>
      </c>
      <c r="O541">
        <v>6</v>
      </c>
      <c r="P541">
        <v>7</v>
      </c>
      <c r="Q541">
        <v>4</v>
      </c>
      <c r="R541">
        <v>3</v>
      </c>
      <c r="S541">
        <v>0</v>
      </c>
      <c r="AB541" t="str">
        <f t="shared" si="24"/>
        <v>Normal</v>
      </c>
      <c r="AC541" t="str">
        <f t="shared" si="25"/>
        <v>Normal</v>
      </c>
    </row>
    <row r="542" spans="4:29" x14ac:dyDescent="0.25">
      <c r="D542" t="s">
        <v>48</v>
      </c>
      <c r="E542">
        <v>0.9</v>
      </c>
      <c r="F542">
        <v>36</v>
      </c>
      <c r="G542">
        <v>336</v>
      </c>
      <c r="H542">
        <v>245</v>
      </c>
      <c r="I542" s="11">
        <f t="shared" si="26"/>
        <v>72.916666666666657</v>
      </c>
      <c r="J542">
        <v>2</v>
      </c>
      <c r="K542" t="s">
        <v>40</v>
      </c>
      <c r="L542">
        <v>1</v>
      </c>
      <c r="M542" t="s">
        <v>40</v>
      </c>
      <c r="N542">
        <v>10</v>
      </c>
      <c r="O542">
        <v>6</v>
      </c>
      <c r="P542">
        <v>14</v>
      </c>
      <c r="Q542">
        <v>5</v>
      </c>
      <c r="R542">
        <v>4</v>
      </c>
      <c r="S542">
        <v>0</v>
      </c>
      <c r="AB542" t="str">
        <f t="shared" si="24"/>
        <v>Normal</v>
      </c>
      <c r="AC542" t="str">
        <f t="shared" si="25"/>
        <v>Normal</v>
      </c>
    </row>
    <row r="543" spans="4:29" x14ac:dyDescent="0.25">
      <c r="D543" t="s">
        <v>46</v>
      </c>
      <c r="E543">
        <v>2.2999999999999998</v>
      </c>
      <c r="F543">
        <v>58</v>
      </c>
      <c r="G543">
        <v>649</v>
      </c>
      <c r="H543">
        <v>564</v>
      </c>
      <c r="I543" s="11">
        <f t="shared" si="26"/>
        <v>86.902927580893689</v>
      </c>
      <c r="J543">
        <v>4</v>
      </c>
      <c r="K543" t="s">
        <v>40</v>
      </c>
      <c r="L543">
        <v>3</v>
      </c>
      <c r="M543" t="s">
        <v>40</v>
      </c>
      <c r="N543">
        <v>15</v>
      </c>
      <c r="O543">
        <v>7</v>
      </c>
      <c r="P543">
        <v>7</v>
      </c>
      <c r="Q543">
        <v>1</v>
      </c>
      <c r="R543">
        <v>0</v>
      </c>
      <c r="S543">
        <v>0</v>
      </c>
      <c r="AB543" t="str">
        <f t="shared" si="24"/>
        <v>Normal</v>
      </c>
      <c r="AC543" t="str">
        <f t="shared" si="25"/>
        <v>Normal</v>
      </c>
    </row>
    <row r="544" spans="4:29" x14ac:dyDescent="0.25">
      <c r="D544" t="s">
        <v>45</v>
      </c>
      <c r="E544">
        <v>0.9</v>
      </c>
      <c r="F544">
        <v>53</v>
      </c>
      <c r="G544">
        <v>478</v>
      </c>
      <c r="H544">
        <v>393</v>
      </c>
      <c r="I544" s="11">
        <f t="shared" si="26"/>
        <v>82.21757322175732</v>
      </c>
      <c r="J544">
        <v>1</v>
      </c>
      <c r="K544" t="s">
        <v>36</v>
      </c>
      <c r="L544">
        <v>0</v>
      </c>
      <c r="M544" t="s">
        <v>36</v>
      </c>
      <c r="N544">
        <v>12</v>
      </c>
      <c r="O544">
        <v>6</v>
      </c>
      <c r="P544">
        <v>20</v>
      </c>
      <c r="Q544">
        <v>4</v>
      </c>
      <c r="R544">
        <v>2</v>
      </c>
      <c r="S544">
        <v>0</v>
      </c>
      <c r="AB544" t="str">
        <f t="shared" si="24"/>
        <v>Normal</v>
      </c>
      <c r="AC544" t="str">
        <f t="shared" si="25"/>
        <v>Normal</v>
      </c>
    </row>
    <row r="545" spans="4:29" x14ac:dyDescent="0.25">
      <c r="D545" t="s">
        <v>42</v>
      </c>
      <c r="E545">
        <v>2.5</v>
      </c>
      <c r="F545">
        <v>58</v>
      </c>
      <c r="G545">
        <v>593</v>
      </c>
      <c r="H545">
        <v>509</v>
      </c>
      <c r="I545" s="11">
        <f t="shared" si="26"/>
        <v>85.834738617200685</v>
      </c>
      <c r="J545">
        <v>5</v>
      </c>
      <c r="K545" t="s">
        <v>40</v>
      </c>
      <c r="L545">
        <v>3</v>
      </c>
      <c r="M545" t="s">
        <v>40</v>
      </c>
      <c r="N545">
        <v>14</v>
      </c>
      <c r="O545">
        <v>6</v>
      </c>
      <c r="P545">
        <v>8</v>
      </c>
      <c r="Q545">
        <v>3</v>
      </c>
      <c r="R545">
        <v>2</v>
      </c>
      <c r="S545">
        <v>0</v>
      </c>
      <c r="AB545" t="str">
        <f t="shared" si="24"/>
        <v>Normal</v>
      </c>
      <c r="AC545" t="str">
        <f t="shared" si="25"/>
        <v>Normal</v>
      </c>
    </row>
    <row r="546" spans="4:29" x14ac:dyDescent="0.25">
      <c r="D546" t="s">
        <v>57</v>
      </c>
      <c r="E546">
        <v>1.2</v>
      </c>
      <c r="F546">
        <v>75</v>
      </c>
      <c r="G546">
        <v>686</v>
      </c>
      <c r="H546">
        <v>605</v>
      </c>
      <c r="I546" s="11">
        <f t="shared" si="26"/>
        <v>88.192419825072889</v>
      </c>
      <c r="J546">
        <v>0</v>
      </c>
      <c r="K546" t="s">
        <v>36</v>
      </c>
      <c r="L546">
        <v>0</v>
      </c>
      <c r="M546" t="s">
        <v>36</v>
      </c>
      <c r="N546">
        <v>12</v>
      </c>
      <c r="O546">
        <v>5</v>
      </c>
      <c r="P546">
        <v>12</v>
      </c>
      <c r="Q546">
        <v>5</v>
      </c>
      <c r="R546">
        <v>1</v>
      </c>
      <c r="S546">
        <v>0</v>
      </c>
      <c r="AB546" t="str">
        <f t="shared" si="24"/>
        <v>Normal</v>
      </c>
      <c r="AC546" t="str">
        <f t="shared" si="25"/>
        <v>Normal</v>
      </c>
    </row>
    <row r="547" spans="4:29" x14ac:dyDescent="0.25">
      <c r="D547" t="s">
        <v>47</v>
      </c>
      <c r="E547">
        <v>0.3</v>
      </c>
      <c r="F547">
        <v>43</v>
      </c>
      <c r="G547">
        <v>450</v>
      </c>
      <c r="H547">
        <v>352</v>
      </c>
      <c r="I547" s="11">
        <f t="shared" si="26"/>
        <v>78.222222222222229</v>
      </c>
      <c r="J547">
        <v>0</v>
      </c>
      <c r="K547" t="s">
        <v>36</v>
      </c>
      <c r="L547">
        <v>0</v>
      </c>
      <c r="M547" t="s">
        <v>36</v>
      </c>
      <c r="N547">
        <v>5</v>
      </c>
      <c r="O547">
        <v>1</v>
      </c>
      <c r="P547">
        <v>15</v>
      </c>
      <c r="Q547">
        <v>5</v>
      </c>
      <c r="R547">
        <v>3</v>
      </c>
      <c r="S547">
        <v>0</v>
      </c>
      <c r="AB547" t="str">
        <f t="shared" si="24"/>
        <v>Normal</v>
      </c>
      <c r="AC547" t="str">
        <f t="shared" si="25"/>
        <v>Normal</v>
      </c>
    </row>
    <row r="548" spans="4:29" x14ac:dyDescent="0.25">
      <c r="D548" t="s">
        <v>43</v>
      </c>
      <c r="E548">
        <v>1.1000000000000001</v>
      </c>
      <c r="F548">
        <v>46</v>
      </c>
      <c r="G548">
        <v>505</v>
      </c>
      <c r="H548">
        <v>419</v>
      </c>
      <c r="I548" s="11">
        <f t="shared" si="26"/>
        <v>82.970297029702962</v>
      </c>
      <c r="J548">
        <v>3</v>
      </c>
      <c r="K548" t="s">
        <v>40</v>
      </c>
      <c r="L548">
        <v>3</v>
      </c>
      <c r="M548" t="s">
        <v>40</v>
      </c>
      <c r="N548">
        <v>8</v>
      </c>
      <c r="O548">
        <v>4</v>
      </c>
      <c r="P548">
        <v>16</v>
      </c>
      <c r="Q548">
        <v>1</v>
      </c>
      <c r="R548">
        <v>0</v>
      </c>
      <c r="S548">
        <v>0</v>
      </c>
      <c r="AB548" t="str">
        <f t="shared" si="24"/>
        <v>Normal</v>
      </c>
      <c r="AC548" t="str">
        <f t="shared" si="25"/>
        <v>Normal</v>
      </c>
    </row>
    <row r="549" spans="4:29" x14ac:dyDescent="0.25">
      <c r="D549" t="s">
        <v>49</v>
      </c>
      <c r="E549">
        <v>1.6</v>
      </c>
      <c r="F549">
        <v>40</v>
      </c>
      <c r="G549">
        <v>365</v>
      </c>
      <c r="H549">
        <v>267</v>
      </c>
      <c r="I549" s="11">
        <f t="shared" si="26"/>
        <v>73.150684931506845</v>
      </c>
      <c r="J549">
        <v>3</v>
      </c>
      <c r="K549" t="s">
        <v>40</v>
      </c>
      <c r="L549">
        <v>1</v>
      </c>
      <c r="M549" t="s">
        <v>40</v>
      </c>
      <c r="N549">
        <v>10</v>
      </c>
      <c r="O549">
        <v>5</v>
      </c>
      <c r="P549">
        <v>11</v>
      </c>
      <c r="Q549">
        <v>1</v>
      </c>
      <c r="R549">
        <v>3</v>
      </c>
      <c r="S549">
        <v>0</v>
      </c>
      <c r="AB549" t="str">
        <f t="shared" si="24"/>
        <v>Normal</v>
      </c>
      <c r="AC549" t="str">
        <f t="shared" si="25"/>
        <v>Normal</v>
      </c>
    </row>
    <row r="550" spans="4:29" x14ac:dyDescent="0.25">
      <c r="D550" t="s">
        <v>39</v>
      </c>
      <c r="E550">
        <v>5.6</v>
      </c>
      <c r="F550">
        <v>48</v>
      </c>
      <c r="G550">
        <v>540</v>
      </c>
      <c r="H550">
        <v>453</v>
      </c>
      <c r="I550" s="11">
        <f t="shared" si="26"/>
        <v>83.888888888888886</v>
      </c>
      <c r="J550">
        <v>6</v>
      </c>
      <c r="K550" t="s">
        <v>40</v>
      </c>
      <c r="L550">
        <v>3</v>
      </c>
      <c r="M550" t="s">
        <v>40</v>
      </c>
      <c r="N550">
        <v>24</v>
      </c>
      <c r="O550">
        <v>12</v>
      </c>
      <c r="P550">
        <v>9</v>
      </c>
      <c r="Q550">
        <v>5</v>
      </c>
      <c r="R550">
        <v>2</v>
      </c>
      <c r="S550">
        <v>0</v>
      </c>
      <c r="AB550" t="str">
        <f t="shared" si="24"/>
        <v>Normal</v>
      </c>
      <c r="AC550" t="str">
        <f t="shared" si="25"/>
        <v>Normal</v>
      </c>
    </row>
    <row r="551" spans="4:29" x14ac:dyDescent="0.25">
      <c r="D551" t="s">
        <v>44</v>
      </c>
      <c r="E551">
        <v>0.7</v>
      </c>
      <c r="F551">
        <v>34</v>
      </c>
      <c r="G551">
        <v>354</v>
      </c>
      <c r="H551">
        <v>281</v>
      </c>
      <c r="I551" s="11">
        <f t="shared" si="26"/>
        <v>79.378531073446325</v>
      </c>
      <c r="J551">
        <v>1</v>
      </c>
      <c r="K551" t="s">
        <v>36</v>
      </c>
      <c r="L551">
        <v>1</v>
      </c>
      <c r="M551" t="s">
        <v>36</v>
      </c>
      <c r="N551">
        <v>8</v>
      </c>
      <c r="O551">
        <v>3</v>
      </c>
      <c r="P551">
        <v>10</v>
      </c>
      <c r="Q551">
        <v>5</v>
      </c>
      <c r="R551">
        <v>4</v>
      </c>
      <c r="S551">
        <v>0</v>
      </c>
      <c r="AB551" t="str">
        <f t="shared" si="24"/>
        <v>Normal</v>
      </c>
      <c r="AC551" t="str">
        <f t="shared" si="25"/>
        <v>Normal</v>
      </c>
    </row>
    <row r="552" spans="4:29" x14ac:dyDescent="0.25">
      <c r="D552" t="s">
        <v>55</v>
      </c>
      <c r="E552">
        <v>0.4</v>
      </c>
      <c r="F552">
        <v>48</v>
      </c>
      <c r="G552">
        <v>465</v>
      </c>
      <c r="H552">
        <v>362</v>
      </c>
      <c r="I552" s="11">
        <f t="shared" si="26"/>
        <v>77.849462365591393</v>
      </c>
      <c r="J552">
        <v>0</v>
      </c>
      <c r="K552" t="s">
        <v>36</v>
      </c>
      <c r="L552">
        <v>0</v>
      </c>
      <c r="M552" t="s">
        <v>36</v>
      </c>
      <c r="N552">
        <v>10</v>
      </c>
      <c r="O552">
        <v>4</v>
      </c>
      <c r="P552">
        <v>12</v>
      </c>
      <c r="Q552">
        <v>2</v>
      </c>
      <c r="R552">
        <v>2</v>
      </c>
      <c r="S552">
        <v>0</v>
      </c>
      <c r="AB552" t="str">
        <f t="shared" si="24"/>
        <v>Normal</v>
      </c>
      <c r="AC552" t="str">
        <f t="shared" si="25"/>
        <v>Normal</v>
      </c>
    </row>
    <row r="553" spans="4:29" x14ac:dyDescent="0.25">
      <c r="D553" t="s">
        <v>34</v>
      </c>
      <c r="E553">
        <v>1.8</v>
      </c>
      <c r="F553">
        <v>53</v>
      </c>
      <c r="G553">
        <v>605</v>
      </c>
      <c r="H553">
        <v>513</v>
      </c>
      <c r="I553" s="11">
        <f t="shared" si="26"/>
        <v>84.793388429752071</v>
      </c>
      <c r="J553">
        <v>2</v>
      </c>
      <c r="K553" t="s">
        <v>40</v>
      </c>
      <c r="L553">
        <v>0</v>
      </c>
      <c r="M553" t="s">
        <v>35</v>
      </c>
      <c r="N553">
        <v>14</v>
      </c>
      <c r="O553">
        <v>7</v>
      </c>
      <c r="P553">
        <v>13</v>
      </c>
      <c r="Q553">
        <v>1</v>
      </c>
      <c r="R553">
        <v>3</v>
      </c>
      <c r="S553">
        <v>0</v>
      </c>
      <c r="AB553" t="str">
        <f t="shared" si="24"/>
        <v>Normal</v>
      </c>
      <c r="AC553" t="str">
        <f t="shared" si="25"/>
        <v>Normal</v>
      </c>
    </row>
    <row r="554" spans="4:29" x14ac:dyDescent="0.25">
      <c r="D554" t="s">
        <v>52</v>
      </c>
      <c r="E554">
        <v>0.3</v>
      </c>
      <c r="F554">
        <v>38</v>
      </c>
      <c r="G554">
        <v>353</v>
      </c>
      <c r="H554">
        <v>267</v>
      </c>
      <c r="I554" s="11">
        <f t="shared" si="26"/>
        <v>75.63739376770539</v>
      </c>
      <c r="J554">
        <v>0</v>
      </c>
      <c r="K554" t="s">
        <v>35</v>
      </c>
      <c r="L554">
        <v>0</v>
      </c>
      <c r="M554" t="s">
        <v>35</v>
      </c>
      <c r="N554">
        <v>4</v>
      </c>
      <c r="O554">
        <v>1</v>
      </c>
      <c r="P554">
        <v>10</v>
      </c>
      <c r="Q554">
        <v>6</v>
      </c>
      <c r="R554">
        <v>1</v>
      </c>
      <c r="S554">
        <v>1</v>
      </c>
      <c r="AB554" t="str">
        <f t="shared" si="24"/>
        <v>Normal</v>
      </c>
      <c r="AC554" t="str">
        <f t="shared" si="25"/>
        <v>Normal</v>
      </c>
    </row>
    <row r="555" spans="4:29" x14ac:dyDescent="0.25">
      <c r="D555" t="s">
        <v>60</v>
      </c>
      <c r="E555">
        <v>0.9</v>
      </c>
      <c r="F555">
        <v>70</v>
      </c>
      <c r="G555">
        <v>662</v>
      </c>
      <c r="H555">
        <v>567</v>
      </c>
      <c r="I555" s="11">
        <f t="shared" si="26"/>
        <v>85.649546827794566</v>
      </c>
      <c r="J555">
        <v>0</v>
      </c>
      <c r="K555" t="s">
        <v>35</v>
      </c>
      <c r="L555">
        <v>0</v>
      </c>
      <c r="M555" t="s">
        <v>35</v>
      </c>
      <c r="N555">
        <v>13</v>
      </c>
      <c r="O555">
        <v>4</v>
      </c>
      <c r="P555">
        <v>13</v>
      </c>
      <c r="Q555">
        <v>7</v>
      </c>
      <c r="R555">
        <v>2</v>
      </c>
      <c r="S555">
        <v>1</v>
      </c>
      <c r="AB555" t="str">
        <f t="shared" si="24"/>
        <v>Normal</v>
      </c>
      <c r="AC555" t="str">
        <f t="shared" si="25"/>
        <v>Normal</v>
      </c>
    </row>
    <row r="556" spans="4:29" x14ac:dyDescent="0.25">
      <c r="D556" t="s">
        <v>51</v>
      </c>
      <c r="E556">
        <v>1.7</v>
      </c>
      <c r="F556">
        <v>46</v>
      </c>
      <c r="G556">
        <v>437</v>
      </c>
      <c r="H556">
        <v>345</v>
      </c>
      <c r="I556" s="11">
        <f t="shared" si="26"/>
        <v>78.94736842105263</v>
      </c>
      <c r="J556">
        <v>1</v>
      </c>
      <c r="K556" t="s">
        <v>40</v>
      </c>
      <c r="L556">
        <v>0</v>
      </c>
      <c r="M556" t="s">
        <v>36</v>
      </c>
      <c r="N556">
        <v>16</v>
      </c>
      <c r="O556">
        <v>2</v>
      </c>
      <c r="P556">
        <v>8</v>
      </c>
      <c r="Q556">
        <v>2</v>
      </c>
      <c r="R556">
        <v>2</v>
      </c>
      <c r="S556">
        <v>0</v>
      </c>
      <c r="AB556" t="str">
        <f t="shared" si="24"/>
        <v>Normal</v>
      </c>
      <c r="AC556" t="str">
        <f t="shared" si="25"/>
        <v>Normal</v>
      </c>
    </row>
    <row r="557" spans="4:29" x14ac:dyDescent="0.25">
      <c r="D557" t="s">
        <v>33</v>
      </c>
      <c r="E557">
        <v>0.4</v>
      </c>
      <c r="F557">
        <v>49</v>
      </c>
      <c r="G557">
        <v>501</v>
      </c>
      <c r="H557">
        <v>391</v>
      </c>
      <c r="I557" s="11">
        <f t="shared" si="26"/>
        <v>78.0439121756487</v>
      </c>
      <c r="J557">
        <v>0</v>
      </c>
      <c r="K557" t="s">
        <v>35</v>
      </c>
      <c r="L557">
        <v>0</v>
      </c>
      <c r="M557" t="s">
        <v>36</v>
      </c>
      <c r="N557">
        <v>11</v>
      </c>
      <c r="O557">
        <v>4</v>
      </c>
      <c r="P557">
        <v>12</v>
      </c>
      <c r="Q557">
        <v>4</v>
      </c>
      <c r="R557">
        <v>2</v>
      </c>
      <c r="S557">
        <v>1</v>
      </c>
      <c r="AB557" t="str">
        <f t="shared" si="24"/>
        <v>Normal</v>
      </c>
      <c r="AC557" t="str">
        <f t="shared" si="25"/>
        <v>Normal</v>
      </c>
    </row>
    <row r="558" spans="4:29" x14ac:dyDescent="0.25">
      <c r="D558" t="s">
        <v>59</v>
      </c>
      <c r="E558">
        <v>0.3</v>
      </c>
      <c r="F558">
        <v>32</v>
      </c>
      <c r="G558">
        <v>338</v>
      </c>
      <c r="H558">
        <v>256</v>
      </c>
      <c r="I558" s="11">
        <f t="shared" si="26"/>
        <v>75.739644970414204</v>
      </c>
      <c r="J558">
        <v>1</v>
      </c>
      <c r="K558" t="s">
        <v>35</v>
      </c>
      <c r="L558">
        <v>1</v>
      </c>
      <c r="M558" t="s">
        <v>36</v>
      </c>
      <c r="N558">
        <v>4</v>
      </c>
      <c r="O558">
        <v>1</v>
      </c>
      <c r="P558">
        <v>5</v>
      </c>
      <c r="Q558">
        <v>1</v>
      </c>
      <c r="R558">
        <v>2</v>
      </c>
      <c r="S558">
        <v>0</v>
      </c>
      <c r="AB558" t="str">
        <f t="shared" si="24"/>
        <v>Normal</v>
      </c>
      <c r="AC558" t="str">
        <f t="shared" si="25"/>
        <v>Normal</v>
      </c>
    </row>
    <row r="559" spans="4:29" x14ac:dyDescent="0.25">
      <c r="D559" t="s">
        <v>54</v>
      </c>
      <c r="E559">
        <v>1.1000000000000001</v>
      </c>
      <c r="F559">
        <v>43</v>
      </c>
      <c r="G559">
        <v>393</v>
      </c>
      <c r="H559">
        <v>287</v>
      </c>
      <c r="I559" s="11">
        <f t="shared" si="26"/>
        <v>73.027989821882954</v>
      </c>
      <c r="J559">
        <v>0</v>
      </c>
      <c r="K559" t="s">
        <v>36</v>
      </c>
      <c r="L559">
        <v>0</v>
      </c>
      <c r="M559" t="s">
        <v>36</v>
      </c>
      <c r="N559">
        <v>8</v>
      </c>
      <c r="O559">
        <v>3</v>
      </c>
      <c r="P559">
        <v>12</v>
      </c>
      <c r="Q559">
        <v>3</v>
      </c>
      <c r="R559">
        <v>2</v>
      </c>
      <c r="S559">
        <v>0</v>
      </c>
      <c r="AB559" t="str">
        <f t="shared" si="24"/>
        <v>Normal</v>
      </c>
      <c r="AC559" t="str">
        <f t="shared" si="25"/>
        <v>Normal</v>
      </c>
    </row>
    <row r="560" spans="4:29" x14ac:dyDescent="0.25">
      <c r="D560" t="s">
        <v>38</v>
      </c>
      <c r="E560">
        <v>0.2</v>
      </c>
      <c r="F560">
        <v>32</v>
      </c>
      <c r="G560">
        <v>339</v>
      </c>
      <c r="H560">
        <v>264</v>
      </c>
      <c r="I560" s="11">
        <f t="shared" si="26"/>
        <v>77.876106194690266</v>
      </c>
      <c r="J560">
        <v>0</v>
      </c>
      <c r="K560" t="s">
        <v>35</v>
      </c>
      <c r="L560">
        <v>0</v>
      </c>
      <c r="M560" t="s">
        <v>35</v>
      </c>
      <c r="N560">
        <v>3</v>
      </c>
      <c r="O560">
        <v>0</v>
      </c>
      <c r="P560">
        <v>12</v>
      </c>
      <c r="Q560">
        <v>1</v>
      </c>
      <c r="R560">
        <v>1</v>
      </c>
      <c r="S560">
        <v>0</v>
      </c>
      <c r="AB560" t="str">
        <f t="shared" si="24"/>
        <v>Normal</v>
      </c>
      <c r="AC560" t="str">
        <f t="shared" si="25"/>
        <v>Normal</v>
      </c>
    </row>
    <row r="561" spans="4:29" x14ac:dyDescent="0.25">
      <c r="D561" t="s">
        <v>58</v>
      </c>
      <c r="E561">
        <v>1.3</v>
      </c>
      <c r="F561">
        <v>47</v>
      </c>
      <c r="G561">
        <v>541</v>
      </c>
      <c r="H561">
        <v>489</v>
      </c>
      <c r="I561" s="11">
        <f t="shared" si="26"/>
        <v>90.388170055452861</v>
      </c>
      <c r="J561">
        <v>2</v>
      </c>
      <c r="K561" t="s">
        <v>40</v>
      </c>
      <c r="L561">
        <v>1</v>
      </c>
      <c r="M561" t="s">
        <v>40</v>
      </c>
      <c r="N561">
        <v>14</v>
      </c>
      <c r="O561">
        <v>5</v>
      </c>
      <c r="P561">
        <v>6</v>
      </c>
      <c r="Q561">
        <v>4</v>
      </c>
      <c r="R561">
        <v>1</v>
      </c>
      <c r="S561">
        <v>0</v>
      </c>
      <c r="AB561" t="str">
        <f t="shared" si="24"/>
        <v>Normal</v>
      </c>
      <c r="AC561" t="str">
        <f t="shared" si="25"/>
        <v>Normal</v>
      </c>
    </row>
    <row r="562" spans="4:29" x14ac:dyDescent="0.25">
      <c r="D562" t="s">
        <v>47</v>
      </c>
      <c r="E562">
        <v>0.9</v>
      </c>
      <c r="F562">
        <v>53</v>
      </c>
      <c r="G562">
        <v>483</v>
      </c>
      <c r="H562">
        <v>375</v>
      </c>
      <c r="I562" s="11">
        <f t="shared" si="26"/>
        <v>77.639751552795033</v>
      </c>
      <c r="J562">
        <v>1</v>
      </c>
      <c r="K562" t="s">
        <v>35</v>
      </c>
      <c r="L562">
        <v>1</v>
      </c>
      <c r="M562" t="s">
        <v>36</v>
      </c>
      <c r="N562">
        <v>7</v>
      </c>
      <c r="O562">
        <v>3</v>
      </c>
      <c r="P562">
        <v>19</v>
      </c>
      <c r="Q562">
        <v>7</v>
      </c>
      <c r="R562">
        <v>3</v>
      </c>
      <c r="S562">
        <v>0</v>
      </c>
      <c r="AB562" t="str">
        <f t="shared" si="24"/>
        <v>Normal</v>
      </c>
      <c r="AC562" t="str">
        <f t="shared" si="25"/>
        <v>Normal</v>
      </c>
    </row>
    <row r="563" spans="4:29" x14ac:dyDescent="0.25">
      <c r="D563" t="s">
        <v>48</v>
      </c>
      <c r="E563">
        <v>1.5</v>
      </c>
      <c r="F563">
        <v>36</v>
      </c>
      <c r="G563">
        <v>315</v>
      </c>
      <c r="H563">
        <v>205</v>
      </c>
      <c r="I563" s="11">
        <f t="shared" si="26"/>
        <v>65.079365079365076</v>
      </c>
      <c r="J563">
        <v>2</v>
      </c>
      <c r="K563" t="s">
        <v>40</v>
      </c>
      <c r="L563">
        <v>1</v>
      </c>
      <c r="M563" t="s">
        <v>40</v>
      </c>
      <c r="N563">
        <v>11</v>
      </c>
      <c r="O563">
        <v>7</v>
      </c>
      <c r="P563">
        <v>10</v>
      </c>
      <c r="Q563">
        <v>4</v>
      </c>
      <c r="R563">
        <v>1</v>
      </c>
      <c r="S563">
        <v>0</v>
      </c>
      <c r="AB563" t="str">
        <f t="shared" si="24"/>
        <v>Normal</v>
      </c>
      <c r="AC563" t="str">
        <f t="shared" si="25"/>
        <v>Normal</v>
      </c>
    </row>
    <row r="564" spans="4:29" x14ac:dyDescent="0.25">
      <c r="D564" t="s">
        <v>49</v>
      </c>
      <c r="E564">
        <v>2</v>
      </c>
      <c r="F564">
        <v>48</v>
      </c>
      <c r="G564">
        <v>496</v>
      </c>
      <c r="H564">
        <v>380</v>
      </c>
      <c r="I564" s="11">
        <f t="shared" si="26"/>
        <v>76.612903225806448</v>
      </c>
      <c r="J564">
        <v>2</v>
      </c>
      <c r="K564" t="s">
        <v>36</v>
      </c>
      <c r="L564">
        <v>0</v>
      </c>
      <c r="M564" t="s">
        <v>35</v>
      </c>
      <c r="N564">
        <v>16</v>
      </c>
      <c r="O564">
        <v>9</v>
      </c>
      <c r="P564">
        <v>16</v>
      </c>
      <c r="Q564">
        <v>7</v>
      </c>
      <c r="R564">
        <v>3</v>
      </c>
      <c r="S564">
        <v>0</v>
      </c>
      <c r="AB564" t="str">
        <f t="shared" si="24"/>
        <v>Normal</v>
      </c>
      <c r="AC564" t="str">
        <f t="shared" si="25"/>
        <v>Normal</v>
      </c>
    </row>
    <row r="565" spans="4:29" x14ac:dyDescent="0.25">
      <c r="D565" t="s">
        <v>43</v>
      </c>
      <c r="E565">
        <v>0.7</v>
      </c>
      <c r="F565">
        <v>52</v>
      </c>
      <c r="G565">
        <v>501</v>
      </c>
      <c r="H565">
        <v>393</v>
      </c>
      <c r="I565" s="11">
        <f t="shared" si="26"/>
        <v>78.443113772455092</v>
      </c>
      <c r="J565">
        <v>2</v>
      </c>
      <c r="K565" t="s">
        <v>36</v>
      </c>
      <c r="L565">
        <v>1</v>
      </c>
      <c r="M565" t="s">
        <v>35</v>
      </c>
      <c r="N565">
        <v>11</v>
      </c>
      <c r="O565">
        <v>3</v>
      </c>
      <c r="P565">
        <v>10</v>
      </c>
      <c r="Q565">
        <v>5</v>
      </c>
      <c r="R565">
        <v>2</v>
      </c>
      <c r="S565">
        <v>0</v>
      </c>
      <c r="AB565" t="str">
        <f t="shared" si="24"/>
        <v>Normal</v>
      </c>
      <c r="AC565" t="str">
        <f t="shared" si="25"/>
        <v>Normal</v>
      </c>
    </row>
    <row r="566" spans="4:29" x14ac:dyDescent="0.25">
      <c r="D566" t="s">
        <v>39</v>
      </c>
      <c r="E566">
        <v>3.1</v>
      </c>
      <c r="F566">
        <v>54</v>
      </c>
      <c r="G566">
        <v>579</v>
      </c>
      <c r="H566">
        <v>497</v>
      </c>
      <c r="I566" s="11">
        <f t="shared" si="26"/>
        <v>85.837651122625218</v>
      </c>
      <c r="J566">
        <v>5</v>
      </c>
      <c r="K566" t="s">
        <v>40</v>
      </c>
      <c r="L566">
        <v>3</v>
      </c>
      <c r="M566" t="s">
        <v>40</v>
      </c>
      <c r="N566">
        <v>22</v>
      </c>
      <c r="O566">
        <v>13</v>
      </c>
      <c r="P566">
        <v>10</v>
      </c>
      <c r="Q566">
        <v>6</v>
      </c>
      <c r="R566">
        <v>0</v>
      </c>
      <c r="S566">
        <v>0</v>
      </c>
      <c r="AB566" t="str">
        <f t="shared" si="24"/>
        <v>Normal</v>
      </c>
      <c r="AC566" t="str">
        <f t="shared" si="25"/>
        <v>Normal</v>
      </c>
    </row>
    <row r="567" spans="4:29" x14ac:dyDescent="0.25">
      <c r="D567" t="s">
        <v>45</v>
      </c>
      <c r="E567">
        <v>1.1000000000000001</v>
      </c>
      <c r="F567">
        <v>41</v>
      </c>
      <c r="G567">
        <v>357</v>
      </c>
      <c r="H567">
        <v>280</v>
      </c>
      <c r="I567" s="11">
        <f t="shared" si="26"/>
        <v>78.431372549019613</v>
      </c>
      <c r="J567">
        <v>2</v>
      </c>
      <c r="K567" t="s">
        <v>36</v>
      </c>
      <c r="L567">
        <v>1</v>
      </c>
      <c r="M567" t="s">
        <v>36</v>
      </c>
      <c r="N567">
        <v>13</v>
      </c>
      <c r="O567">
        <v>4</v>
      </c>
      <c r="P567">
        <v>14</v>
      </c>
      <c r="Q567">
        <v>3</v>
      </c>
      <c r="R567">
        <v>3</v>
      </c>
      <c r="S567">
        <v>0</v>
      </c>
      <c r="AB567" t="str">
        <f t="shared" si="24"/>
        <v>Normal</v>
      </c>
      <c r="AC567" t="str">
        <f t="shared" si="25"/>
        <v>Normal</v>
      </c>
    </row>
    <row r="568" spans="4:29" x14ac:dyDescent="0.25">
      <c r="D568" t="s">
        <v>57</v>
      </c>
      <c r="E568">
        <v>2</v>
      </c>
      <c r="F568">
        <v>76</v>
      </c>
      <c r="G568">
        <v>774</v>
      </c>
      <c r="H568">
        <v>679</v>
      </c>
      <c r="I568" s="11">
        <f t="shared" si="26"/>
        <v>87.726098191214476</v>
      </c>
      <c r="J568">
        <v>0</v>
      </c>
      <c r="K568" t="s">
        <v>35</v>
      </c>
      <c r="L568">
        <v>0</v>
      </c>
      <c r="M568" t="s">
        <v>35</v>
      </c>
      <c r="N568">
        <v>20</v>
      </c>
      <c r="O568">
        <v>5</v>
      </c>
      <c r="P568">
        <v>5</v>
      </c>
      <c r="Q568">
        <v>7</v>
      </c>
      <c r="R568">
        <v>4</v>
      </c>
      <c r="S568">
        <v>0</v>
      </c>
      <c r="AB568" t="str">
        <f t="shared" si="24"/>
        <v>Normal</v>
      </c>
      <c r="AC568" t="str">
        <f t="shared" si="25"/>
        <v>Normal</v>
      </c>
    </row>
    <row r="569" spans="4:29" x14ac:dyDescent="0.25">
      <c r="D569" t="s">
        <v>46</v>
      </c>
      <c r="E569">
        <v>1.9</v>
      </c>
      <c r="F569">
        <v>48</v>
      </c>
      <c r="G569">
        <v>558</v>
      </c>
      <c r="H569">
        <v>471</v>
      </c>
      <c r="I569" s="11">
        <f t="shared" si="26"/>
        <v>84.408602150537632</v>
      </c>
      <c r="J569">
        <v>2</v>
      </c>
      <c r="K569" t="s">
        <v>40</v>
      </c>
      <c r="L569">
        <v>2</v>
      </c>
      <c r="M569" t="s">
        <v>40</v>
      </c>
      <c r="N569">
        <v>12</v>
      </c>
      <c r="O569">
        <v>4</v>
      </c>
      <c r="P569">
        <v>8</v>
      </c>
      <c r="Q569">
        <v>3</v>
      </c>
      <c r="R569">
        <v>1</v>
      </c>
      <c r="S569">
        <v>0</v>
      </c>
      <c r="AB569" t="str">
        <f t="shared" si="24"/>
        <v>Normal</v>
      </c>
      <c r="AC569" t="str">
        <f t="shared" si="25"/>
        <v>Normal</v>
      </c>
    </row>
    <row r="570" spans="4:29" x14ac:dyDescent="0.25">
      <c r="D570" t="s">
        <v>42</v>
      </c>
      <c r="E570">
        <v>1.9</v>
      </c>
      <c r="F570">
        <v>50</v>
      </c>
      <c r="G570">
        <v>506</v>
      </c>
      <c r="H570">
        <v>407</v>
      </c>
      <c r="I570" s="11">
        <f t="shared" si="26"/>
        <v>80.434782608695656</v>
      </c>
      <c r="J570">
        <v>3</v>
      </c>
      <c r="K570" t="s">
        <v>40</v>
      </c>
      <c r="L570">
        <v>1</v>
      </c>
      <c r="M570" t="s">
        <v>36</v>
      </c>
      <c r="N570">
        <v>14</v>
      </c>
      <c r="O570">
        <v>5</v>
      </c>
      <c r="P570">
        <v>8</v>
      </c>
      <c r="Q570">
        <v>3</v>
      </c>
      <c r="R570">
        <v>2</v>
      </c>
      <c r="S570">
        <v>0</v>
      </c>
      <c r="AB570" t="str">
        <f t="shared" si="24"/>
        <v>Normal</v>
      </c>
      <c r="AC570" t="str">
        <f t="shared" si="25"/>
        <v>Normal</v>
      </c>
    </row>
    <row r="571" spans="4:29" x14ac:dyDescent="0.25">
      <c r="D571" t="s">
        <v>46</v>
      </c>
      <c r="E571">
        <v>2.5</v>
      </c>
      <c r="F571">
        <v>44</v>
      </c>
      <c r="G571">
        <v>400</v>
      </c>
      <c r="H571">
        <v>308</v>
      </c>
      <c r="I571" s="11">
        <f t="shared" si="26"/>
        <v>77</v>
      </c>
      <c r="J571">
        <v>2</v>
      </c>
      <c r="K571" t="s">
        <v>40</v>
      </c>
      <c r="L571">
        <v>2</v>
      </c>
      <c r="M571" t="s">
        <v>40</v>
      </c>
      <c r="N571">
        <v>14</v>
      </c>
      <c r="O571">
        <v>4</v>
      </c>
      <c r="P571">
        <v>15</v>
      </c>
      <c r="Q571">
        <v>10</v>
      </c>
      <c r="R571">
        <v>4</v>
      </c>
      <c r="S571">
        <v>0</v>
      </c>
      <c r="AB571" t="str">
        <f t="shared" si="24"/>
        <v>Normal</v>
      </c>
      <c r="AC571" t="str">
        <f t="shared" si="25"/>
        <v>Normal</v>
      </c>
    </row>
    <row r="572" spans="4:29" x14ac:dyDescent="0.25">
      <c r="D572" t="s">
        <v>59</v>
      </c>
      <c r="E572">
        <v>0.4</v>
      </c>
      <c r="F572">
        <v>40</v>
      </c>
      <c r="G572">
        <v>430</v>
      </c>
      <c r="H572">
        <v>352</v>
      </c>
      <c r="I572" s="11">
        <f t="shared" si="26"/>
        <v>81.860465116279073</v>
      </c>
      <c r="J572">
        <v>1</v>
      </c>
      <c r="K572" t="s">
        <v>35</v>
      </c>
      <c r="L572">
        <v>0</v>
      </c>
      <c r="M572" t="s">
        <v>36</v>
      </c>
      <c r="N572">
        <v>4</v>
      </c>
      <c r="O572">
        <v>2</v>
      </c>
      <c r="P572">
        <v>11</v>
      </c>
      <c r="Q572">
        <v>2</v>
      </c>
      <c r="R572">
        <v>1</v>
      </c>
      <c r="S572">
        <v>0</v>
      </c>
      <c r="AB572" t="str">
        <f t="shared" si="24"/>
        <v>Normal</v>
      </c>
      <c r="AC572" t="str">
        <f t="shared" si="25"/>
        <v>Normal</v>
      </c>
    </row>
    <row r="573" spans="4:29" x14ac:dyDescent="0.25">
      <c r="D573" t="s">
        <v>44</v>
      </c>
      <c r="E573">
        <v>0.7</v>
      </c>
      <c r="F573">
        <v>42</v>
      </c>
      <c r="G573">
        <v>371</v>
      </c>
      <c r="H573">
        <v>239</v>
      </c>
      <c r="I573" s="11">
        <f t="shared" si="26"/>
        <v>64.42048517520216</v>
      </c>
      <c r="J573">
        <v>0</v>
      </c>
      <c r="K573" t="s">
        <v>35</v>
      </c>
      <c r="L573">
        <v>0</v>
      </c>
      <c r="M573" t="s">
        <v>36</v>
      </c>
      <c r="N573">
        <v>9</v>
      </c>
      <c r="O573">
        <v>0</v>
      </c>
      <c r="P573">
        <v>14</v>
      </c>
      <c r="Q573">
        <v>3</v>
      </c>
      <c r="R573">
        <v>2</v>
      </c>
      <c r="S573">
        <v>0</v>
      </c>
      <c r="AB573" t="str">
        <f t="shared" si="24"/>
        <v>Normal</v>
      </c>
      <c r="AC573" t="str">
        <f t="shared" si="25"/>
        <v>Normal</v>
      </c>
    </row>
    <row r="574" spans="4:29" x14ac:dyDescent="0.25">
      <c r="D574" t="s">
        <v>57</v>
      </c>
      <c r="E574">
        <v>1.2</v>
      </c>
      <c r="F574">
        <v>61</v>
      </c>
      <c r="G574">
        <v>608</v>
      </c>
      <c r="H574">
        <v>516</v>
      </c>
      <c r="I574" s="11">
        <f t="shared" si="26"/>
        <v>84.868421052631575</v>
      </c>
      <c r="J574">
        <v>1</v>
      </c>
      <c r="K574" t="s">
        <v>36</v>
      </c>
      <c r="L574">
        <v>1</v>
      </c>
      <c r="M574" t="s">
        <v>40</v>
      </c>
      <c r="N574">
        <v>15</v>
      </c>
      <c r="O574">
        <v>1</v>
      </c>
      <c r="P574">
        <v>12</v>
      </c>
      <c r="Q574">
        <v>6</v>
      </c>
      <c r="R574">
        <v>2</v>
      </c>
      <c r="S574">
        <v>0</v>
      </c>
      <c r="AB574" t="str">
        <f t="shared" si="24"/>
        <v>Normal</v>
      </c>
      <c r="AC574" t="str">
        <f t="shared" si="25"/>
        <v>Normal</v>
      </c>
    </row>
    <row r="575" spans="4:29" x14ac:dyDescent="0.25">
      <c r="D575" t="s">
        <v>51</v>
      </c>
      <c r="E575">
        <v>1.4</v>
      </c>
      <c r="F575">
        <v>44</v>
      </c>
      <c r="G575">
        <v>465</v>
      </c>
      <c r="H575">
        <v>394</v>
      </c>
      <c r="I575" s="11">
        <f t="shared" si="26"/>
        <v>84.731182795698928</v>
      </c>
      <c r="J575">
        <v>1</v>
      </c>
      <c r="K575" t="s">
        <v>35</v>
      </c>
      <c r="L575">
        <v>0</v>
      </c>
      <c r="M575" t="s">
        <v>35</v>
      </c>
      <c r="N575">
        <v>17</v>
      </c>
      <c r="O575">
        <v>4</v>
      </c>
      <c r="P575">
        <v>13</v>
      </c>
      <c r="Q575">
        <v>1</v>
      </c>
      <c r="R575">
        <v>1</v>
      </c>
      <c r="S575">
        <v>0</v>
      </c>
      <c r="AB575" t="str">
        <f t="shared" si="24"/>
        <v>Normal</v>
      </c>
      <c r="AC575" t="str">
        <f t="shared" si="25"/>
        <v>Normal</v>
      </c>
    </row>
    <row r="576" spans="4:29" x14ac:dyDescent="0.25">
      <c r="D576" t="s">
        <v>54</v>
      </c>
      <c r="E576">
        <v>4.4000000000000004</v>
      </c>
      <c r="F576">
        <v>50</v>
      </c>
      <c r="G576">
        <v>487</v>
      </c>
      <c r="H576">
        <v>409</v>
      </c>
      <c r="I576" s="11">
        <f t="shared" si="26"/>
        <v>83.983572895277206</v>
      </c>
      <c r="J576">
        <v>5</v>
      </c>
      <c r="K576" t="s">
        <v>40</v>
      </c>
      <c r="L576">
        <v>1</v>
      </c>
      <c r="M576" t="s">
        <v>40</v>
      </c>
      <c r="N576">
        <v>20</v>
      </c>
      <c r="O576">
        <v>11</v>
      </c>
      <c r="P576">
        <v>4</v>
      </c>
      <c r="Q576">
        <v>2</v>
      </c>
      <c r="R576">
        <v>0</v>
      </c>
      <c r="S576">
        <v>0</v>
      </c>
      <c r="AB576" t="str">
        <f t="shared" si="24"/>
        <v>Normal</v>
      </c>
      <c r="AC576" t="str">
        <f t="shared" si="25"/>
        <v>Normal</v>
      </c>
    </row>
    <row r="577" spans="4:29" x14ac:dyDescent="0.25">
      <c r="D577" t="s">
        <v>42</v>
      </c>
      <c r="E577">
        <v>0.9</v>
      </c>
      <c r="F577">
        <v>55</v>
      </c>
      <c r="G577">
        <v>555</v>
      </c>
      <c r="H577">
        <v>473</v>
      </c>
      <c r="I577" s="11">
        <f t="shared" si="26"/>
        <v>85.225225225225216</v>
      </c>
      <c r="J577">
        <v>1</v>
      </c>
      <c r="K577" t="s">
        <v>36</v>
      </c>
      <c r="L577">
        <v>1</v>
      </c>
      <c r="M577" t="s">
        <v>40</v>
      </c>
      <c r="N577">
        <v>9</v>
      </c>
      <c r="O577">
        <v>3</v>
      </c>
      <c r="P577">
        <v>14</v>
      </c>
      <c r="Q577">
        <v>5</v>
      </c>
      <c r="R577">
        <v>3</v>
      </c>
      <c r="S577">
        <v>0</v>
      </c>
      <c r="AB577" t="str">
        <f t="shared" si="24"/>
        <v>Normal</v>
      </c>
      <c r="AC577" t="str">
        <f t="shared" si="25"/>
        <v>Normal</v>
      </c>
    </row>
    <row r="578" spans="4:29" x14ac:dyDescent="0.25">
      <c r="D578" t="s">
        <v>38</v>
      </c>
      <c r="E578">
        <v>1.5</v>
      </c>
      <c r="F578">
        <v>27</v>
      </c>
      <c r="G578">
        <v>282</v>
      </c>
      <c r="H578">
        <v>206</v>
      </c>
      <c r="I578" s="11">
        <f t="shared" si="26"/>
        <v>73.049645390070921</v>
      </c>
      <c r="J578">
        <v>2</v>
      </c>
      <c r="K578" t="s">
        <v>36</v>
      </c>
      <c r="L578">
        <v>1</v>
      </c>
      <c r="M578" t="s">
        <v>40</v>
      </c>
      <c r="N578">
        <v>7</v>
      </c>
      <c r="O578">
        <v>3</v>
      </c>
      <c r="P578">
        <v>14</v>
      </c>
      <c r="Q578">
        <v>2</v>
      </c>
      <c r="R578">
        <v>5</v>
      </c>
      <c r="S578">
        <v>0</v>
      </c>
      <c r="AB578" t="str">
        <f t="shared" ref="AB578:AB641" si="27">IF(E578 &lt; _xlfn.PERCENTILE.INC($E$2:$E$761,0),
    "Ekstrem Rendah",
    IF(E578 &gt; _xlfn.PERCENTILE.INC($E$2:$E$761,1),
        "Ekstrem Tinggi",
        "Normal"
    )
)</f>
        <v>Normal</v>
      </c>
      <c r="AC578" t="str">
        <f t="shared" ref="AC578:AC641" si="28">IF(F578 &lt; _xlfn.PERCENTILE.INC($F$2:$F$761,0.001),
    "Ekstrem Rendah",
    IF(F578 &gt; _xlfn.PERCENTILE.INC($F$2:$F$761,0.999),
        "Ekstrem Tinggi",
        "Normal"
    )
)</f>
        <v>Normal</v>
      </c>
    </row>
    <row r="579" spans="4:29" x14ac:dyDescent="0.25">
      <c r="D579" t="s">
        <v>33</v>
      </c>
      <c r="E579">
        <v>1</v>
      </c>
      <c r="F579">
        <v>47</v>
      </c>
      <c r="G579">
        <v>427</v>
      </c>
      <c r="H579">
        <v>307</v>
      </c>
      <c r="I579" s="11">
        <f t="shared" ref="I579:I642" si="29">H579/G579*100</f>
        <v>71.896955503512885</v>
      </c>
      <c r="J579">
        <v>2</v>
      </c>
      <c r="K579" t="s">
        <v>36</v>
      </c>
      <c r="L579">
        <v>0</v>
      </c>
      <c r="M579" t="s">
        <v>36</v>
      </c>
      <c r="N579">
        <v>13</v>
      </c>
      <c r="O579">
        <v>4</v>
      </c>
      <c r="P579">
        <v>13</v>
      </c>
      <c r="Q579">
        <v>9</v>
      </c>
      <c r="R579">
        <v>4</v>
      </c>
      <c r="S579">
        <v>0</v>
      </c>
      <c r="AB579" t="str">
        <f t="shared" si="27"/>
        <v>Normal</v>
      </c>
      <c r="AC579" t="str">
        <f t="shared" si="28"/>
        <v>Normal</v>
      </c>
    </row>
    <row r="580" spans="4:29" x14ac:dyDescent="0.25">
      <c r="D580" t="s">
        <v>48</v>
      </c>
      <c r="E580">
        <v>2.1</v>
      </c>
      <c r="F580">
        <v>40</v>
      </c>
      <c r="G580">
        <v>393</v>
      </c>
      <c r="H580">
        <v>299</v>
      </c>
      <c r="I580" s="11">
        <f t="shared" si="29"/>
        <v>76.081424936386767</v>
      </c>
      <c r="J580">
        <v>3</v>
      </c>
      <c r="K580" t="s">
        <v>40</v>
      </c>
      <c r="L580">
        <v>2</v>
      </c>
      <c r="M580" t="s">
        <v>40</v>
      </c>
      <c r="N580">
        <v>11</v>
      </c>
      <c r="O580">
        <v>3</v>
      </c>
      <c r="P580">
        <v>8</v>
      </c>
      <c r="Q580">
        <v>3</v>
      </c>
      <c r="R580">
        <v>2</v>
      </c>
      <c r="S580">
        <v>0</v>
      </c>
      <c r="AB580" t="str">
        <f t="shared" si="27"/>
        <v>Normal</v>
      </c>
      <c r="AC580" t="str">
        <f t="shared" si="28"/>
        <v>Normal</v>
      </c>
    </row>
    <row r="581" spans="4:29" x14ac:dyDescent="0.25">
      <c r="D581" t="s">
        <v>58</v>
      </c>
      <c r="E581">
        <v>2.2000000000000002</v>
      </c>
      <c r="F581">
        <v>55</v>
      </c>
      <c r="G581">
        <v>557</v>
      </c>
      <c r="H581">
        <v>472</v>
      </c>
      <c r="I581" s="11">
        <f t="shared" si="29"/>
        <v>84.739676840215438</v>
      </c>
      <c r="J581">
        <v>2</v>
      </c>
      <c r="K581" t="s">
        <v>36</v>
      </c>
      <c r="L581">
        <v>0</v>
      </c>
      <c r="M581" t="s">
        <v>36</v>
      </c>
      <c r="N581">
        <v>21</v>
      </c>
      <c r="O581">
        <v>8</v>
      </c>
      <c r="P581">
        <v>4</v>
      </c>
      <c r="Q581">
        <v>5</v>
      </c>
      <c r="R581">
        <v>0</v>
      </c>
      <c r="S581">
        <v>0</v>
      </c>
      <c r="AB581" t="str">
        <f t="shared" si="27"/>
        <v>Normal</v>
      </c>
      <c r="AC581" t="str">
        <f t="shared" si="28"/>
        <v>Normal</v>
      </c>
    </row>
    <row r="582" spans="4:29" x14ac:dyDescent="0.25">
      <c r="D582" t="s">
        <v>49</v>
      </c>
      <c r="E582">
        <v>1.2</v>
      </c>
      <c r="F582">
        <v>43</v>
      </c>
      <c r="G582">
        <v>358</v>
      </c>
      <c r="H582">
        <v>273</v>
      </c>
      <c r="I582" s="11">
        <f t="shared" si="29"/>
        <v>76.256983240223462</v>
      </c>
      <c r="J582">
        <v>2</v>
      </c>
      <c r="K582" t="s">
        <v>36</v>
      </c>
      <c r="L582">
        <v>0</v>
      </c>
      <c r="M582" t="s">
        <v>35</v>
      </c>
      <c r="N582">
        <v>7</v>
      </c>
      <c r="O582">
        <v>3</v>
      </c>
      <c r="P582">
        <v>16</v>
      </c>
      <c r="Q582">
        <v>3</v>
      </c>
      <c r="R582">
        <v>3</v>
      </c>
      <c r="S582">
        <v>0</v>
      </c>
      <c r="AB582" t="str">
        <f t="shared" si="27"/>
        <v>Normal</v>
      </c>
      <c r="AC582" t="str">
        <f t="shared" si="28"/>
        <v>Normal</v>
      </c>
    </row>
    <row r="583" spans="4:29" x14ac:dyDescent="0.25">
      <c r="D583" t="s">
        <v>34</v>
      </c>
      <c r="E583">
        <v>1.7</v>
      </c>
      <c r="F583">
        <v>56</v>
      </c>
      <c r="G583">
        <v>573</v>
      </c>
      <c r="H583">
        <v>478</v>
      </c>
      <c r="I583" s="11">
        <f t="shared" si="29"/>
        <v>83.420593368237348</v>
      </c>
      <c r="J583">
        <v>2</v>
      </c>
      <c r="K583" t="s">
        <v>35</v>
      </c>
      <c r="L583">
        <v>0</v>
      </c>
      <c r="M583" t="s">
        <v>35</v>
      </c>
      <c r="N583">
        <v>21</v>
      </c>
      <c r="O583">
        <v>5</v>
      </c>
      <c r="P583">
        <v>18</v>
      </c>
      <c r="Q583">
        <v>3</v>
      </c>
      <c r="R583">
        <v>3</v>
      </c>
      <c r="S583">
        <v>0</v>
      </c>
      <c r="AB583" t="str">
        <f t="shared" si="27"/>
        <v>Normal</v>
      </c>
      <c r="AC583" t="str">
        <f t="shared" si="28"/>
        <v>Normal</v>
      </c>
    </row>
    <row r="584" spans="4:29" x14ac:dyDescent="0.25">
      <c r="D584" t="s">
        <v>39</v>
      </c>
      <c r="E584">
        <v>2</v>
      </c>
      <c r="F584">
        <v>70</v>
      </c>
      <c r="G584">
        <v>617</v>
      </c>
      <c r="H584">
        <v>508</v>
      </c>
      <c r="I584" s="11">
        <f t="shared" si="29"/>
        <v>82.333873581847655</v>
      </c>
      <c r="J584">
        <v>1</v>
      </c>
      <c r="K584" t="s">
        <v>36</v>
      </c>
      <c r="L584">
        <v>0</v>
      </c>
      <c r="M584" t="s">
        <v>35</v>
      </c>
      <c r="N584">
        <v>23</v>
      </c>
      <c r="O584">
        <v>7</v>
      </c>
      <c r="P584">
        <v>10</v>
      </c>
      <c r="Q584">
        <v>9</v>
      </c>
      <c r="R584">
        <v>1</v>
      </c>
      <c r="S584">
        <v>0</v>
      </c>
      <c r="AB584" t="str">
        <f t="shared" si="27"/>
        <v>Normal</v>
      </c>
      <c r="AC584" t="str">
        <f t="shared" si="28"/>
        <v>Normal</v>
      </c>
    </row>
    <row r="585" spans="4:29" x14ac:dyDescent="0.25">
      <c r="D585" t="s">
        <v>52</v>
      </c>
      <c r="E585">
        <v>1.2</v>
      </c>
      <c r="F585">
        <v>50</v>
      </c>
      <c r="G585">
        <v>465</v>
      </c>
      <c r="H585">
        <v>368</v>
      </c>
      <c r="I585" s="11">
        <f t="shared" si="29"/>
        <v>79.13978494623656</v>
      </c>
      <c r="J585">
        <v>1</v>
      </c>
      <c r="K585" t="s">
        <v>40</v>
      </c>
      <c r="L585">
        <v>0</v>
      </c>
      <c r="M585" t="s">
        <v>36</v>
      </c>
      <c r="N585">
        <v>11</v>
      </c>
      <c r="O585">
        <v>3</v>
      </c>
      <c r="P585">
        <v>10</v>
      </c>
      <c r="Q585">
        <v>5</v>
      </c>
      <c r="R585">
        <v>1</v>
      </c>
      <c r="S585">
        <v>0</v>
      </c>
      <c r="AB585" t="str">
        <f t="shared" si="27"/>
        <v>Normal</v>
      </c>
      <c r="AC585" t="str">
        <f t="shared" si="28"/>
        <v>Normal</v>
      </c>
    </row>
    <row r="586" spans="4:29" x14ac:dyDescent="0.25">
      <c r="D586" t="s">
        <v>55</v>
      </c>
      <c r="E586">
        <v>1.8</v>
      </c>
      <c r="F586">
        <v>43</v>
      </c>
      <c r="G586">
        <v>485</v>
      </c>
      <c r="H586">
        <v>375</v>
      </c>
      <c r="I586" s="11">
        <f t="shared" si="29"/>
        <v>77.319587628865989</v>
      </c>
      <c r="J586">
        <v>2</v>
      </c>
      <c r="K586" t="s">
        <v>40</v>
      </c>
      <c r="L586">
        <v>0</v>
      </c>
      <c r="M586" t="s">
        <v>36</v>
      </c>
      <c r="N586">
        <v>9</v>
      </c>
      <c r="O586">
        <v>4</v>
      </c>
      <c r="P586">
        <v>6</v>
      </c>
      <c r="Q586">
        <v>3</v>
      </c>
      <c r="R586">
        <v>0</v>
      </c>
      <c r="S586">
        <v>0</v>
      </c>
      <c r="AB586" t="str">
        <f t="shared" si="27"/>
        <v>Normal</v>
      </c>
      <c r="AC586" t="str">
        <f t="shared" si="28"/>
        <v>Normal</v>
      </c>
    </row>
    <row r="587" spans="4:29" x14ac:dyDescent="0.25">
      <c r="D587" t="s">
        <v>43</v>
      </c>
      <c r="E587">
        <v>1.6</v>
      </c>
      <c r="F587">
        <v>40</v>
      </c>
      <c r="G587">
        <v>413</v>
      </c>
      <c r="H587">
        <v>321</v>
      </c>
      <c r="I587" s="11">
        <f t="shared" si="29"/>
        <v>77.723970944309926</v>
      </c>
      <c r="J587">
        <v>0</v>
      </c>
      <c r="K587" t="s">
        <v>35</v>
      </c>
      <c r="L587">
        <v>0</v>
      </c>
      <c r="M587" t="s">
        <v>35</v>
      </c>
      <c r="N587">
        <v>13</v>
      </c>
      <c r="O587">
        <v>7</v>
      </c>
      <c r="P587">
        <v>13</v>
      </c>
      <c r="Q587">
        <v>2</v>
      </c>
      <c r="R587">
        <v>2</v>
      </c>
      <c r="S587">
        <v>0</v>
      </c>
      <c r="AB587" t="str">
        <f t="shared" si="27"/>
        <v>Normal</v>
      </c>
      <c r="AC587" t="str">
        <f t="shared" si="28"/>
        <v>Normal</v>
      </c>
    </row>
    <row r="588" spans="4:29" x14ac:dyDescent="0.25">
      <c r="D588" t="s">
        <v>60</v>
      </c>
      <c r="E588">
        <v>0.8</v>
      </c>
      <c r="F588">
        <v>47</v>
      </c>
      <c r="G588">
        <v>419</v>
      </c>
      <c r="H588">
        <v>341</v>
      </c>
      <c r="I588" s="11">
        <f t="shared" si="29"/>
        <v>81.38424821002387</v>
      </c>
      <c r="J588">
        <v>1</v>
      </c>
      <c r="K588" t="s">
        <v>35</v>
      </c>
      <c r="L588">
        <v>1</v>
      </c>
      <c r="M588" t="s">
        <v>35</v>
      </c>
      <c r="N588">
        <v>10</v>
      </c>
      <c r="O588">
        <v>2</v>
      </c>
      <c r="P588">
        <v>9</v>
      </c>
      <c r="Q588">
        <v>4</v>
      </c>
      <c r="R588">
        <v>1</v>
      </c>
      <c r="S588">
        <v>0</v>
      </c>
      <c r="AB588" t="str">
        <f t="shared" si="27"/>
        <v>Normal</v>
      </c>
      <c r="AC588" t="str">
        <f t="shared" si="28"/>
        <v>Normal</v>
      </c>
    </row>
    <row r="589" spans="4:29" x14ac:dyDescent="0.25">
      <c r="D589" t="s">
        <v>45</v>
      </c>
      <c r="E589">
        <v>1</v>
      </c>
      <c r="F589">
        <v>53</v>
      </c>
      <c r="G589">
        <v>502</v>
      </c>
      <c r="H589">
        <v>413</v>
      </c>
      <c r="I589" s="11">
        <f t="shared" si="29"/>
        <v>82.270916334661365</v>
      </c>
      <c r="J589">
        <v>2</v>
      </c>
      <c r="K589" t="s">
        <v>40</v>
      </c>
      <c r="L589">
        <v>0</v>
      </c>
      <c r="M589" t="s">
        <v>36</v>
      </c>
      <c r="N589">
        <v>11</v>
      </c>
      <c r="O589">
        <v>5</v>
      </c>
      <c r="P589">
        <v>14</v>
      </c>
      <c r="Q589">
        <v>9</v>
      </c>
      <c r="R589">
        <v>2</v>
      </c>
      <c r="S589">
        <v>0</v>
      </c>
      <c r="AB589" t="str">
        <f t="shared" si="27"/>
        <v>Normal</v>
      </c>
      <c r="AC589" t="str">
        <f t="shared" si="28"/>
        <v>Normal</v>
      </c>
    </row>
    <row r="590" spans="4:29" x14ac:dyDescent="0.25">
      <c r="D590" t="s">
        <v>47</v>
      </c>
      <c r="E590">
        <v>1.4</v>
      </c>
      <c r="F590">
        <v>40</v>
      </c>
      <c r="G590">
        <v>426</v>
      </c>
      <c r="H590">
        <v>335</v>
      </c>
      <c r="I590" s="11">
        <f t="shared" si="29"/>
        <v>78.63849765258216</v>
      </c>
      <c r="J590">
        <v>1</v>
      </c>
      <c r="K590" t="s">
        <v>35</v>
      </c>
      <c r="L590">
        <v>1</v>
      </c>
      <c r="M590" t="s">
        <v>40</v>
      </c>
      <c r="N590">
        <v>13</v>
      </c>
      <c r="O590">
        <v>5</v>
      </c>
      <c r="P590">
        <v>10</v>
      </c>
      <c r="Q590">
        <v>4</v>
      </c>
      <c r="R590">
        <v>3</v>
      </c>
      <c r="S590">
        <v>0</v>
      </c>
      <c r="AB590" t="str">
        <f t="shared" si="27"/>
        <v>Normal</v>
      </c>
      <c r="AC590" t="str">
        <f t="shared" si="28"/>
        <v>Normal</v>
      </c>
    </row>
    <row r="591" spans="4:29" x14ac:dyDescent="0.25">
      <c r="D591" t="s">
        <v>49</v>
      </c>
      <c r="E591">
        <v>2</v>
      </c>
      <c r="F591">
        <v>44</v>
      </c>
      <c r="G591">
        <v>363</v>
      </c>
      <c r="H591">
        <v>262</v>
      </c>
      <c r="I591" s="11">
        <f t="shared" si="29"/>
        <v>72.176308539944898</v>
      </c>
      <c r="J591">
        <v>4</v>
      </c>
      <c r="K591" t="s">
        <v>40</v>
      </c>
      <c r="L591">
        <v>2</v>
      </c>
      <c r="M591" t="s">
        <v>40</v>
      </c>
      <c r="N591">
        <v>19</v>
      </c>
      <c r="O591">
        <v>10</v>
      </c>
      <c r="P591">
        <v>18</v>
      </c>
      <c r="Q591">
        <v>6</v>
      </c>
      <c r="R591">
        <v>6</v>
      </c>
      <c r="S591">
        <v>0</v>
      </c>
      <c r="AB591" t="str">
        <f t="shared" si="27"/>
        <v>Normal</v>
      </c>
      <c r="AC591" t="str">
        <f t="shared" si="28"/>
        <v>Normal</v>
      </c>
    </row>
    <row r="592" spans="4:29" x14ac:dyDescent="0.25">
      <c r="D592" t="s">
        <v>39</v>
      </c>
      <c r="E592">
        <v>3.4</v>
      </c>
      <c r="F592">
        <v>60</v>
      </c>
      <c r="G592">
        <v>532</v>
      </c>
      <c r="H592">
        <v>449</v>
      </c>
      <c r="I592" s="11">
        <f t="shared" si="29"/>
        <v>84.398496240601503</v>
      </c>
      <c r="J592">
        <v>2</v>
      </c>
      <c r="K592" t="s">
        <v>40</v>
      </c>
      <c r="L592">
        <v>0</v>
      </c>
      <c r="M592" t="s">
        <v>36</v>
      </c>
      <c r="N592">
        <v>37</v>
      </c>
      <c r="O592">
        <v>8</v>
      </c>
      <c r="P592">
        <v>14</v>
      </c>
      <c r="Q592">
        <v>15</v>
      </c>
      <c r="R592">
        <v>3</v>
      </c>
      <c r="S592">
        <v>0</v>
      </c>
      <c r="AB592" t="str">
        <f t="shared" si="27"/>
        <v>Normal</v>
      </c>
      <c r="AC592" t="str">
        <f t="shared" si="28"/>
        <v>Normal</v>
      </c>
    </row>
    <row r="593" spans="4:29" x14ac:dyDescent="0.25">
      <c r="D593" t="s">
        <v>34</v>
      </c>
      <c r="E593">
        <v>2</v>
      </c>
      <c r="F593">
        <v>60</v>
      </c>
      <c r="G593">
        <v>639</v>
      </c>
      <c r="H593">
        <v>540</v>
      </c>
      <c r="I593" s="11">
        <f t="shared" si="29"/>
        <v>84.507042253521121</v>
      </c>
      <c r="J593">
        <v>2</v>
      </c>
      <c r="K593" t="s">
        <v>40</v>
      </c>
      <c r="L593">
        <v>0</v>
      </c>
      <c r="M593" t="s">
        <v>36</v>
      </c>
      <c r="N593">
        <v>17</v>
      </c>
      <c r="O593">
        <v>2</v>
      </c>
      <c r="P593">
        <v>8</v>
      </c>
      <c r="Q593">
        <v>2</v>
      </c>
      <c r="R593">
        <v>1</v>
      </c>
      <c r="S593">
        <v>0</v>
      </c>
      <c r="AB593" t="str">
        <f t="shared" si="27"/>
        <v>Normal</v>
      </c>
      <c r="AC593" t="str">
        <f t="shared" si="28"/>
        <v>Normal</v>
      </c>
    </row>
    <row r="594" spans="4:29" x14ac:dyDescent="0.25">
      <c r="D594" t="s">
        <v>55</v>
      </c>
      <c r="E594">
        <v>1.3</v>
      </c>
      <c r="F594">
        <v>47</v>
      </c>
      <c r="G594">
        <v>512</v>
      </c>
      <c r="H594">
        <v>405</v>
      </c>
      <c r="I594" s="11">
        <f t="shared" si="29"/>
        <v>79.1015625</v>
      </c>
      <c r="J594">
        <v>2</v>
      </c>
      <c r="K594" t="s">
        <v>40</v>
      </c>
      <c r="L594">
        <v>0</v>
      </c>
      <c r="M594" t="s">
        <v>36</v>
      </c>
      <c r="N594">
        <v>12</v>
      </c>
      <c r="O594">
        <v>7</v>
      </c>
      <c r="P594">
        <v>10</v>
      </c>
      <c r="Q594">
        <v>4</v>
      </c>
      <c r="R594">
        <v>0</v>
      </c>
      <c r="S594">
        <v>0</v>
      </c>
      <c r="AB594" t="str">
        <f t="shared" si="27"/>
        <v>Normal</v>
      </c>
      <c r="AC594" t="str">
        <f t="shared" si="28"/>
        <v>Normal</v>
      </c>
    </row>
    <row r="595" spans="4:29" x14ac:dyDescent="0.25">
      <c r="D595" t="s">
        <v>52</v>
      </c>
      <c r="E595">
        <v>1</v>
      </c>
      <c r="F595">
        <v>34</v>
      </c>
      <c r="G595">
        <v>284</v>
      </c>
      <c r="H595">
        <v>204</v>
      </c>
      <c r="I595" s="11">
        <f t="shared" si="29"/>
        <v>71.83098591549296</v>
      </c>
      <c r="J595">
        <v>2</v>
      </c>
      <c r="K595" t="s">
        <v>36</v>
      </c>
      <c r="L595">
        <v>0</v>
      </c>
      <c r="M595" t="s">
        <v>35</v>
      </c>
      <c r="N595">
        <v>8</v>
      </c>
      <c r="O595">
        <v>4</v>
      </c>
      <c r="P595">
        <v>18</v>
      </c>
      <c r="Q595">
        <v>1</v>
      </c>
      <c r="R595">
        <v>3</v>
      </c>
      <c r="S595">
        <v>0</v>
      </c>
      <c r="AB595" t="str">
        <f t="shared" si="27"/>
        <v>Normal</v>
      </c>
      <c r="AC595" t="str">
        <f t="shared" si="28"/>
        <v>Normal</v>
      </c>
    </row>
    <row r="596" spans="4:29" x14ac:dyDescent="0.25">
      <c r="D596" t="s">
        <v>60</v>
      </c>
      <c r="E596">
        <v>1.1000000000000001</v>
      </c>
      <c r="F596">
        <v>64</v>
      </c>
      <c r="G596">
        <v>660</v>
      </c>
      <c r="H596">
        <v>557</v>
      </c>
      <c r="I596" s="11">
        <f t="shared" si="29"/>
        <v>84.393939393939405</v>
      </c>
      <c r="J596">
        <v>2</v>
      </c>
      <c r="K596" t="s">
        <v>35</v>
      </c>
      <c r="L596">
        <v>0</v>
      </c>
      <c r="M596" t="s">
        <v>35</v>
      </c>
      <c r="N596">
        <v>11</v>
      </c>
      <c r="O596">
        <v>6</v>
      </c>
      <c r="P596">
        <v>14</v>
      </c>
      <c r="Q596">
        <v>8</v>
      </c>
      <c r="R596">
        <v>1</v>
      </c>
      <c r="S596">
        <v>0</v>
      </c>
      <c r="AB596" t="str">
        <f t="shared" si="27"/>
        <v>Normal</v>
      </c>
      <c r="AC596" t="str">
        <f t="shared" si="28"/>
        <v>Normal</v>
      </c>
    </row>
    <row r="597" spans="4:29" x14ac:dyDescent="0.25">
      <c r="D597" t="s">
        <v>45</v>
      </c>
      <c r="E597">
        <v>1.9</v>
      </c>
      <c r="F597">
        <v>49</v>
      </c>
      <c r="G597">
        <v>469</v>
      </c>
      <c r="H597">
        <v>370</v>
      </c>
      <c r="I597" s="11">
        <f t="shared" si="29"/>
        <v>78.891257995735614</v>
      </c>
      <c r="J597">
        <v>3</v>
      </c>
      <c r="K597" t="s">
        <v>40</v>
      </c>
      <c r="L597">
        <v>1</v>
      </c>
      <c r="M597" t="s">
        <v>36</v>
      </c>
      <c r="N597">
        <v>6</v>
      </c>
      <c r="O597">
        <v>3</v>
      </c>
      <c r="P597">
        <v>12</v>
      </c>
      <c r="Q597">
        <v>2</v>
      </c>
      <c r="R597">
        <v>3</v>
      </c>
      <c r="S597">
        <v>0</v>
      </c>
      <c r="AB597" t="str">
        <f t="shared" si="27"/>
        <v>Normal</v>
      </c>
      <c r="AC597" t="str">
        <f t="shared" si="28"/>
        <v>Normal</v>
      </c>
    </row>
    <row r="598" spans="4:29" x14ac:dyDescent="0.25">
      <c r="D598" t="s">
        <v>47</v>
      </c>
      <c r="E598">
        <v>0.9</v>
      </c>
      <c r="F598">
        <v>55</v>
      </c>
      <c r="G598">
        <v>515</v>
      </c>
      <c r="H598">
        <v>439</v>
      </c>
      <c r="I598" s="11">
        <f t="shared" si="29"/>
        <v>85.242718446601941</v>
      </c>
      <c r="J598">
        <v>2</v>
      </c>
      <c r="K598" t="s">
        <v>35</v>
      </c>
      <c r="L598">
        <v>0</v>
      </c>
      <c r="M598" t="s">
        <v>35</v>
      </c>
      <c r="N598">
        <v>10</v>
      </c>
      <c r="O598">
        <v>4</v>
      </c>
      <c r="P598">
        <v>18</v>
      </c>
      <c r="Q598">
        <v>8</v>
      </c>
      <c r="R598">
        <v>4</v>
      </c>
      <c r="S598">
        <v>0</v>
      </c>
      <c r="AB598" t="str">
        <f t="shared" si="27"/>
        <v>Normal</v>
      </c>
      <c r="AC598" t="str">
        <f t="shared" si="28"/>
        <v>Normal</v>
      </c>
    </row>
    <row r="599" spans="4:29" x14ac:dyDescent="0.25">
      <c r="D599" t="s">
        <v>58</v>
      </c>
      <c r="E599">
        <v>3</v>
      </c>
      <c r="F599">
        <v>67</v>
      </c>
      <c r="G599">
        <v>773</v>
      </c>
      <c r="H599">
        <v>700</v>
      </c>
      <c r="I599" s="11">
        <f t="shared" si="29"/>
        <v>90.556274256144889</v>
      </c>
      <c r="J599">
        <v>6</v>
      </c>
      <c r="K599" t="s">
        <v>40</v>
      </c>
      <c r="L599">
        <v>3</v>
      </c>
      <c r="M599" t="s">
        <v>40</v>
      </c>
      <c r="N599">
        <v>17</v>
      </c>
      <c r="O599">
        <v>9</v>
      </c>
      <c r="P599">
        <v>7</v>
      </c>
      <c r="Q599">
        <v>7</v>
      </c>
      <c r="R599">
        <v>1</v>
      </c>
      <c r="S599">
        <v>0</v>
      </c>
      <c r="AB599" t="str">
        <f t="shared" si="27"/>
        <v>Normal</v>
      </c>
      <c r="AC599" t="str">
        <f t="shared" si="28"/>
        <v>Normal</v>
      </c>
    </row>
    <row r="600" spans="4:29" x14ac:dyDescent="0.25">
      <c r="D600" t="s">
        <v>43</v>
      </c>
      <c r="E600">
        <v>0.8</v>
      </c>
      <c r="F600">
        <v>37</v>
      </c>
      <c r="G600">
        <v>374</v>
      </c>
      <c r="H600">
        <v>284</v>
      </c>
      <c r="I600" s="11">
        <f t="shared" si="29"/>
        <v>75.935828877005349</v>
      </c>
      <c r="J600">
        <v>1</v>
      </c>
      <c r="K600" t="s">
        <v>35</v>
      </c>
      <c r="L600">
        <v>1</v>
      </c>
      <c r="M600" t="s">
        <v>36</v>
      </c>
      <c r="N600">
        <v>9</v>
      </c>
      <c r="O600">
        <v>4</v>
      </c>
      <c r="P600">
        <v>14</v>
      </c>
      <c r="Q600">
        <v>6</v>
      </c>
      <c r="R600">
        <v>2</v>
      </c>
      <c r="S600">
        <v>0</v>
      </c>
      <c r="AB600" t="str">
        <f t="shared" si="27"/>
        <v>Normal</v>
      </c>
      <c r="AC600" t="str">
        <f t="shared" si="28"/>
        <v>Normal</v>
      </c>
    </row>
    <row r="601" spans="4:29" x14ac:dyDescent="0.25">
      <c r="D601" t="s">
        <v>48</v>
      </c>
      <c r="E601">
        <v>1</v>
      </c>
      <c r="F601">
        <v>50</v>
      </c>
      <c r="G601">
        <v>386</v>
      </c>
      <c r="H601">
        <v>278</v>
      </c>
      <c r="I601" s="11">
        <f t="shared" si="29"/>
        <v>72.020725388601036</v>
      </c>
      <c r="J601">
        <v>0</v>
      </c>
      <c r="K601" t="s">
        <v>35</v>
      </c>
      <c r="L601">
        <v>0</v>
      </c>
      <c r="M601" t="s">
        <v>35</v>
      </c>
      <c r="N601">
        <v>18</v>
      </c>
      <c r="O601">
        <v>4</v>
      </c>
      <c r="P601">
        <v>12</v>
      </c>
      <c r="Q601">
        <v>9</v>
      </c>
      <c r="R601">
        <v>3</v>
      </c>
      <c r="S601">
        <v>0</v>
      </c>
      <c r="AB601" t="str">
        <f t="shared" si="27"/>
        <v>Normal</v>
      </c>
      <c r="AC601" t="str">
        <f t="shared" si="28"/>
        <v>Normal</v>
      </c>
    </row>
    <row r="602" spans="4:29" x14ac:dyDescent="0.25">
      <c r="D602" t="s">
        <v>44</v>
      </c>
      <c r="E602">
        <v>0.8</v>
      </c>
      <c r="F602">
        <v>31</v>
      </c>
      <c r="G602">
        <v>320</v>
      </c>
      <c r="H602">
        <v>234</v>
      </c>
      <c r="I602" s="11">
        <f t="shared" si="29"/>
        <v>73.125</v>
      </c>
      <c r="J602">
        <v>1</v>
      </c>
      <c r="K602" t="s">
        <v>40</v>
      </c>
      <c r="L602">
        <v>1</v>
      </c>
      <c r="M602" t="s">
        <v>40</v>
      </c>
      <c r="N602">
        <v>3</v>
      </c>
      <c r="O602">
        <v>1</v>
      </c>
      <c r="P602">
        <v>11</v>
      </c>
      <c r="Q602">
        <v>1</v>
      </c>
      <c r="R602">
        <v>4</v>
      </c>
      <c r="S602">
        <v>0</v>
      </c>
      <c r="AB602" t="str">
        <f t="shared" si="27"/>
        <v>Normal</v>
      </c>
      <c r="AC602" t="str">
        <f t="shared" si="28"/>
        <v>Normal</v>
      </c>
    </row>
    <row r="603" spans="4:29" x14ac:dyDescent="0.25">
      <c r="D603" t="s">
        <v>38</v>
      </c>
      <c r="E603">
        <v>0.5</v>
      </c>
      <c r="F603">
        <v>30</v>
      </c>
      <c r="G603">
        <v>337</v>
      </c>
      <c r="H603">
        <v>254</v>
      </c>
      <c r="I603" s="11">
        <f t="shared" si="29"/>
        <v>75.370919881305639</v>
      </c>
      <c r="J603">
        <v>1</v>
      </c>
      <c r="K603" t="s">
        <v>35</v>
      </c>
      <c r="L603">
        <v>0</v>
      </c>
      <c r="M603" t="s">
        <v>35</v>
      </c>
      <c r="N603">
        <v>3</v>
      </c>
      <c r="O603">
        <v>3</v>
      </c>
      <c r="P603">
        <v>11</v>
      </c>
      <c r="Q603">
        <v>4</v>
      </c>
      <c r="R603">
        <v>2</v>
      </c>
      <c r="S603">
        <v>0</v>
      </c>
      <c r="AB603" t="str">
        <f t="shared" si="27"/>
        <v>Normal</v>
      </c>
      <c r="AC603" t="str">
        <f t="shared" si="28"/>
        <v>Normal</v>
      </c>
    </row>
    <row r="604" spans="4:29" x14ac:dyDescent="0.25">
      <c r="D604" t="s">
        <v>46</v>
      </c>
      <c r="E604">
        <v>2.9</v>
      </c>
      <c r="F604">
        <v>47</v>
      </c>
      <c r="G604">
        <v>457</v>
      </c>
      <c r="H604">
        <v>371</v>
      </c>
      <c r="I604" s="11">
        <f t="shared" si="29"/>
        <v>81.181619256017498</v>
      </c>
      <c r="J604">
        <v>3</v>
      </c>
      <c r="K604" t="s">
        <v>40</v>
      </c>
      <c r="L604">
        <v>2</v>
      </c>
      <c r="M604" t="s">
        <v>40</v>
      </c>
      <c r="N604">
        <v>17</v>
      </c>
      <c r="O604">
        <v>9</v>
      </c>
      <c r="P604">
        <v>5</v>
      </c>
      <c r="Q604">
        <v>8</v>
      </c>
      <c r="R604">
        <v>0</v>
      </c>
      <c r="S604">
        <v>0</v>
      </c>
      <c r="AB604" t="str">
        <f t="shared" si="27"/>
        <v>Normal</v>
      </c>
      <c r="AC604" t="str">
        <f t="shared" si="28"/>
        <v>Normal</v>
      </c>
    </row>
    <row r="605" spans="4:29" x14ac:dyDescent="0.25">
      <c r="D605" t="s">
        <v>42</v>
      </c>
      <c r="E605">
        <v>1</v>
      </c>
      <c r="F605">
        <v>49</v>
      </c>
      <c r="G605">
        <v>451</v>
      </c>
      <c r="H605">
        <v>359</v>
      </c>
      <c r="I605" s="11">
        <f t="shared" si="29"/>
        <v>79.600886917960096</v>
      </c>
      <c r="J605">
        <v>1</v>
      </c>
      <c r="K605" t="s">
        <v>40</v>
      </c>
      <c r="L605">
        <v>0</v>
      </c>
      <c r="M605" t="s">
        <v>36</v>
      </c>
      <c r="N605">
        <v>9</v>
      </c>
      <c r="O605">
        <v>3</v>
      </c>
      <c r="P605">
        <v>10</v>
      </c>
      <c r="Q605">
        <v>5</v>
      </c>
      <c r="R605">
        <v>1</v>
      </c>
      <c r="S605">
        <v>1</v>
      </c>
      <c r="AB605" t="str">
        <f t="shared" si="27"/>
        <v>Normal</v>
      </c>
      <c r="AC605" t="str">
        <f t="shared" si="28"/>
        <v>Normal</v>
      </c>
    </row>
    <row r="606" spans="4:29" x14ac:dyDescent="0.25">
      <c r="D606" t="s">
        <v>57</v>
      </c>
      <c r="E606">
        <v>1.8</v>
      </c>
      <c r="F606">
        <v>44</v>
      </c>
      <c r="G606">
        <v>466</v>
      </c>
      <c r="H606">
        <v>375</v>
      </c>
      <c r="I606" s="11">
        <f t="shared" si="29"/>
        <v>80.472103004291853</v>
      </c>
      <c r="J606">
        <v>1</v>
      </c>
      <c r="K606" t="s">
        <v>35</v>
      </c>
      <c r="L606">
        <v>1</v>
      </c>
      <c r="M606" t="s">
        <v>36</v>
      </c>
      <c r="N606">
        <v>10</v>
      </c>
      <c r="O606">
        <v>4</v>
      </c>
      <c r="P606">
        <v>8</v>
      </c>
      <c r="Q606">
        <v>4</v>
      </c>
      <c r="R606">
        <v>2</v>
      </c>
      <c r="S606">
        <v>0</v>
      </c>
      <c r="AB606" t="str">
        <f t="shared" si="27"/>
        <v>Normal</v>
      </c>
      <c r="AC606" t="str">
        <f t="shared" si="28"/>
        <v>Normal</v>
      </c>
    </row>
    <row r="607" spans="4:29" x14ac:dyDescent="0.25">
      <c r="D607" t="s">
        <v>54</v>
      </c>
      <c r="E607">
        <v>1.3</v>
      </c>
      <c r="F607">
        <v>53</v>
      </c>
      <c r="G607">
        <v>395</v>
      </c>
      <c r="H607">
        <v>276</v>
      </c>
      <c r="I607" s="11">
        <f t="shared" si="29"/>
        <v>69.873417721518976</v>
      </c>
      <c r="J607">
        <v>2</v>
      </c>
      <c r="K607" t="s">
        <v>40</v>
      </c>
      <c r="L607">
        <v>0</v>
      </c>
      <c r="M607" t="s">
        <v>36</v>
      </c>
      <c r="N607">
        <v>13</v>
      </c>
      <c r="O607">
        <v>6</v>
      </c>
      <c r="P607">
        <v>11</v>
      </c>
      <c r="Q607">
        <v>7</v>
      </c>
      <c r="R607">
        <v>2</v>
      </c>
      <c r="S607">
        <v>0</v>
      </c>
      <c r="AB607" t="str">
        <f t="shared" si="27"/>
        <v>Normal</v>
      </c>
      <c r="AC607" t="str">
        <f t="shared" si="28"/>
        <v>Normal</v>
      </c>
    </row>
    <row r="608" spans="4:29" x14ac:dyDescent="0.25">
      <c r="D608" t="s">
        <v>59</v>
      </c>
      <c r="E608">
        <v>1.6</v>
      </c>
      <c r="F608">
        <v>39</v>
      </c>
      <c r="G608">
        <v>387</v>
      </c>
      <c r="H608">
        <v>280</v>
      </c>
      <c r="I608" s="11">
        <f t="shared" si="29"/>
        <v>72.351421188630496</v>
      </c>
      <c r="J608">
        <v>2</v>
      </c>
      <c r="K608" t="s">
        <v>40</v>
      </c>
      <c r="L608">
        <v>0</v>
      </c>
      <c r="M608" t="s">
        <v>35</v>
      </c>
      <c r="N608">
        <v>12</v>
      </c>
      <c r="O608">
        <v>3</v>
      </c>
      <c r="P608">
        <v>16</v>
      </c>
      <c r="Q608">
        <v>4</v>
      </c>
      <c r="R608">
        <v>5</v>
      </c>
      <c r="S608">
        <v>0</v>
      </c>
      <c r="AB608" t="str">
        <f t="shared" si="27"/>
        <v>Normal</v>
      </c>
      <c r="AC608" t="str">
        <f t="shared" si="28"/>
        <v>Normal</v>
      </c>
    </row>
    <row r="609" spans="4:29" x14ac:dyDescent="0.25">
      <c r="D609" t="s">
        <v>51</v>
      </c>
      <c r="E609">
        <v>1.3</v>
      </c>
      <c r="F609">
        <v>54</v>
      </c>
      <c r="G609">
        <v>490</v>
      </c>
      <c r="H609">
        <v>399</v>
      </c>
      <c r="I609" s="11">
        <f t="shared" si="29"/>
        <v>81.428571428571431</v>
      </c>
      <c r="J609">
        <v>1</v>
      </c>
      <c r="K609" t="s">
        <v>36</v>
      </c>
      <c r="L609">
        <v>0</v>
      </c>
      <c r="M609" t="s">
        <v>35</v>
      </c>
      <c r="N609">
        <v>14</v>
      </c>
      <c r="O609">
        <v>4</v>
      </c>
      <c r="P609">
        <v>16</v>
      </c>
      <c r="Q609">
        <v>3</v>
      </c>
      <c r="R609">
        <v>3</v>
      </c>
      <c r="S609">
        <v>0</v>
      </c>
      <c r="AB609" t="str">
        <f t="shared" si="27"/>
        <v>Normal</v>
      </c>
      <c r="AC609" t="str">
        <f t="shared" si="28"/>
        <v>Normal</v>
      </c>
    </row>
    <row r="610" spans="4:29" x14ac:dyDescent="0.25">
      <c r="D610" t="s">
        <v>33</v>
      </c>
      <c r="E610">
        <v>0.3</v>
      </c>
      <c r="F610">
        <v>49</v>
      </c>
      <c r="G610">
        <v>522</v>
      </c>
      <c r="H610">
        <v>432</v>
      </c>
      <c r="I610" s="11">
        <f t="shared" si="29"/>
        <v>82.758620689655174</v>
      </c>
      <c r="J610">
        <v>1</v>
      </c>
      <c r="K610" t="s">
        <v>40</v>
      </c>
      <c r="L610">
        <v>0</v>
      </c>
      <c r="M610" t="s">
        <v>36</v>
      </c>
      <c r="N610">
        <v>4</v>
      </c>
      <c r="O610">
        <v>1</v>
      </c>
      <c r="P610">
        <v>9</v>
      </c>
      <c r="Q610">
        <v>0</v>
      </c>
      <c r="R610">
        <v>1</v>
      </c>
      <c r="S610">
        <v>0</v>
      </c>
      <c r="AB610" t="str">
        <f t="shared" si="27"/>
        <v>Normal</v>
      </c>
      <c r="AC610" t="str">
        <f t="shared" si="28"/>
        <v>Normal</v>
      </c>
    </row>
    <row r="611" spans="4:29" x14ac:dyDescent="0.25">
      <c r="D611" t="s">
        <v>45</v>
      </c>
      <c r="E611">
        <v>0.9</v>
      </c>
      <c r="F611">
        <v>62</v>
      </c>
      <c r="G611">
        <v>575</v>
      </c>
      <c r="H611">
        <v>477</v>
      </c>
      <c r="I611" s="11">
        <f t="shared" si="29"/>
        <v>82.956521739130437</v>
      </c>
      <c r="J611">
        <v>0</v>
      </c>
      <c r="K611" t="s">
        <v>35</v>
      </c>
      <c r="L611">
        <v>0</v>
      </c>
      <c r="M611" t="s">
        <v>35</v>
      </c>
      <c r="N611">
        <v>10</v>
      </c>
      <c r="O611">
        <v>5</v>
      </c>
      <c r="P611">
        <v>13</v>
      </c>
      <c r="Q611">
        <v>6</v>
      </c>
      <c r="R611">
        <v>3</v>
      </c>
      <c r="S611">
        <v>0</v>
      </c>
      <c r="AB611" t="str">
        <f t="shared" si="27"/>
        <v>Normal</v>
      </c>
      <c r="AC611" t="str">
        <f t="shared" si="28"/>
        <v>Normal</v>
      </c>
    </row>
    <row r="612" spans="4:29" x14ac:dyDescent="0.25">
      <c r="D612" t="s">
        <v>39</v>
      </c>
      <c r="E612">
        <v>2.5</v>
      </c>
      <c r="F612">
        <v>51</v>
      </c>
      <c r="G612">
        <v>464</v>
      </c>
      <c r="H612">
        <v>369</v>
      </c>
      <c r="I612" s="11">
        <f t="shared" si="29"/>
        <v>79.525862068965509</v>
      </c>
      <c r="J612">
        <v>2</v>
      </c>
      <c r="K612" t="s">
        <v>40</v>
      </c>
      <c r="L612">
        <v>1</v>
      </c>
      <c r="M612" t="s">
        <v>40</v>
      </c>
      <c r="N612">
        <v>19</v>
      </c>
      <c r="O612">
        <v>7</v>
      </c>
      <c r="P612">
        <v>9</v>
      </c>
      <c r="Q612">
        <v>3</v>
      </c>
      <c r="R612">
        <v>3</v>
      </c>
      <c r="S612">
        <v>0</v>
      </c>
      <c r="AB612" t="str">
        <f t="shared" si="27"/>
        <v>Normal</v>
      </c>
      <c r="AC612" t="str">
        <f t="shared" si="28"/>
        <v>Normal</v>
      </c>
    </row>
    <row r="613" spans="4:29" x14ac:dyDescent="0.25">
      <c r="D613" t="s">
        <v>59</v>
      </c>
      <c r="E613">
        <v>0.3</v>
      </c>
      <c r="F613">
        <v>52</v>
      </c>
      <c r="G613">
        <v>531</v>
      </c>
      <c r="H613">
        <v>418</v>
      </c>
      <c r="I613" s="11">
        <f t="shared" si="29"/>
        <v>78.719397363465163</v>
      </c>
      <c r="J613">
        <v>0</v>
      </c>
      <c r="K613" t="s">
        <v>35</v>
      </c>
      <c r="L613">
        <v>0</v>
      </c>
      <c r="M613" t="s">
        <v>35</v>
      </c>
      <c r="N613">
        <v>9</v>
      </c>
      <c r="O613">
        <v>1</v>
      </c>
      <c r="P613">
        <v>13</v>
      </c>
      <c r="Q613">
        <v>6</v>
      </c>
      <c r="R613">
        <v>0</v>
      </c>
      <c r="S613">
        <v>0</v>
      </c>
      <c r="AB613" t="str">
        <f t="shared" si="27"/>
        <v>Normal</v>
      </c>
      <c r="AC613" t="str">
        <f t="shared" si="28"/>
        <v>Normal</v>
      </c>
    </row>
    <row r="614" spans="4:29" x14ac:dyDescent="0.25">
      <c r="D614" t="s">
        <v>47</v>
      </c>
      <c r="E614">
        <v>0.9</v>
      </c>
      <c r="F614">
        <v>43</v>
      </c>
      <c r="G614">
        <v>430</v>
      </c>
      <c r="H614">
        <v>327</v>
      </c>
      <c r="I614" s="11">
        <f t="shared" si="29"/>
        <v>76.04651162790698</v>
      </c>
      <c r="J614">
        <v>2</v>
      </c>
      <c r="K614" t="s">
        <v>40</v>
      </c>
      <c r="L614">
        <v>1</v>
      </c>
      <c r="M614" t="s">
        <v>36</v>
      </c>
      <c r="N614">
        <v>9</v>
      </c>
      <c r="O614">
        <v>4</v>
      </c>
      <c r="P614">
        <v>14</v>
      </c>
      <c r="Q614">
        <v>2</v>
      </c>
      <c r="R614">
        <v>3</v>
      </c>
      <c r="S614">
        <v>0</v>
      </c>
      <c r="AB614" t="str">
        <f t="shared" si="27"/>
        <v>Normal</v>
      </c>
      <c r="AC614" t="str">
        <f t="shared" si="28"/>
        <v>Normal</v>
      </c>
    </row>
    <row r="615" spans="4:29" x14ac:dyDescent="0.25">
      <c r="D615" t="s">
        <v>34</v>
      </c>
      <c r="E615">
        <v>1.6</v>
      </c>
      <c r="F615">
        <v>51</v>
      </c>
      <c r="G615">
        <v>482</v>
      </c>
      <c r="H615">
        <v>380</v>
      </c>
      <c r="I615" s="11">
        <f t="shared" si="29"/>
        <v>78.838174273858925</v>
      </c>
      <c r="J615">
        <v>2</v>
      </c>
      <c r="K615" t="s">
        <v>40</v>
      </c>
      <c r="L615">
        <v>0</v>
      </c>
      <c r="M615" t="s">
        <v>35</v>
      </c>
      <c r="N615">
        <v>15</v>
      </c>
      <c r="O615">
        <v>4</v>
      </c>
      <c r="P615">
        <v>15</v>
      </c>
      <c r="Q615">
        <v>7</v>
      </c>
      <c r="R615">
        <v>4</v>
      </c>
      <c r="S615">
        <v>0</v>
      </c>
      <c r="AB615" t="str">
        <f t="shared" si="27"/>
        <v>Normal</v>
      </c>
      <c r="AC615" t="str">
        <f t="shared" si="28"/>
        <v>Normal</v>
      </c>
    </row>
    <row r="616" spans="4:29" x14ac:dyDescent="0.25">
      <c r="D616" t="s">
        <v>52</v>
      </c>
      <c r="E616">
        <v>0.4</v>
      </c>
      <c r="F616">
        <v>68</v>
      </c>
      <c r="G616">
        <v>598</v>
      </c>
      <c r="H616">
        <v>511</v>
      </c>
      <c r="I616" s="11">
        <f t="shared" si="29"/>
        <v>85.451505016722408</v>
      </c>
      <c r="J616">
        <v>0</v>
      </c>
      <c r="K616" t="s">
        <v>35</v>
      </c>
      <c r="L616">
        <v>0</v>
      </c>
      <c r="M616" t="s">
        <v>35</v>
      </c>
      <c r="N616">
        <v>10</v>
      </c>
      <c r="O616">
        <v>3</v>
      </c>
      <c r="P616">
        <v>13</v>
      </c>
      <c r="Q616">
        <v>8</v>
      </c>
      <c r="R616">
        <v>3</v>
      </c>
      <c r="S616">
        <v>0</v>
      </c>
      <c r="AB616" t="str">
        <f t="shared" si="27"/>
        <v>Normal</v>
      </c>
      <c r="AC616" t="str">
        <f t="shared" si="28"/>
        <v>Normal</v>
      </c>
    </row>
    <row r="617" spans="4:29" x14ac:dyDescent="0.25">
      <c r="D617" t="s">
        <v>60</v>
      </c>
      <c r="E617">
        <v>0.8</v>
      </c>
      <c r="F617">
        <v>46</v>
      </c>
      <c r="G617">
        <v>456</v>
      </c>
      <c r="H617">
        <v>369</v>
      </c>
      <c r="I617" s="11">
        <f t="shared" si="29"/>
        <v>80.921052631578945</v>
      </c>
      <c r="J617">
        <v>2</v>
      </c>
      <c r="K617" t="s">
        <v>40</v>
      </c>
      <c r="L617">
        <v>1</v>
      </c>
      <c r="M617" t="s">
        <v>40</v>
      </c>
      <c r="N617">
        <v>13</v>
      </c>
      <c r="O617">
        <v>2</v>
      </c>
      <c r="P617">
        <v>11</v>
      </c>
      <c r="Q617">
        <v>3</v>
      </c>
      <c r="R617">
        <v>1</v>
      </c>
      <c r="S617">
        <v>0</v>
      </c>
      <c r="AB617" t="str">
        <f t="shared" si="27"/>
        <v>Normal</v>
      </c>
      <c r="AC617" t="str">
        <f t="shared" si="28"/>
        <v>Normal</v>
      </c>
    </row>
    <row r="618" spans="4:29" x14ac:dyDescent="0.25">
      <c r="D618" t="s">
        <v>55</v>
      </c>
      <c r="E618">
        <v>2.6</v>
      </c>
      <c r="F618">
        <v>34</v>
      </c>
      <c r="G618">
        <v>315</v>
      </c>
      <c r="H618">
        <v>204</v>
      </c>
      <c r="I618" s="11">
        <f t="shared" si="29"/>
        <v>64.761904761904759</v>
      </c>
      <c r="J618">
        <v>2</v>
      </c>
      <c r="K618" t="s">
        <v>40</v>
      </c>
      <c r="L618">
        <v>0</v>
      </c>
      <c r="M618" t="s">
        <v>36</v>
      </c>
      <c r="N618">
        <v>11</v>
      </c>
      <c r="O618">
        <v>3</v>
      </c>
      <c r="P618">
        <v>13</v>
      </c>
      <c r="Q618">
        <v>0</v>
      </c>
      <c r="R618">
        <v>1</v>
      </c>
      <c r="S618">
        <v>0</v>
      </c>
      <c r="AB618" t="str">
        <f t="shared" si="27"/>
        <v>Normal</v>
      </c>
      <c r="AC618" t="str">
        <f t="shared" si="28"/>
        <v>Normal</v>
      </c>
    </row>
    <row r="619" spans="4:29" x14ac:dyDescent="0.25">
      <c r="D619" t="s">
        <v>58</v>
      </c>
      <c r="E619">
        <v>0.8</v>
      </c>
      <c r="F619">
        <v>54</v>
      </c>
      <c r="G619">
        <v>505</v>
      </c>
      <c r="H619">
        <v>442</v>
      </c>
      <c r="I619" s="11">
        <f t="shared" si="29"/>
        <v>87.524752475247524</v>
      </c>
      <c r="J619">
        <v>1</v>
      </c>
      <c r="K619" t="s">
        <v>35</v>
      </c>
      <c r="L619">
        <v>0</v>
      </c>
      <c r="M619" t="s">
        <v>35</v>
      </c>
      <c r="N619">
        <v>7</v>
      </c>
      <c r="O619">
        <v>4</v>
      </c>
      <c r="P619">
        <v>7</v>
      </c>
      <c r="Q619">
        <v>2</v>
      </c>
      <c r="R619">
        <v>0</v>
      </c>
      <c r="S619">
        <v>0</v>
      </c>
      <c r="AB619" t="str">
        <f t="shared" si="27"/>
        <v>Normal</v>
      </c>
      <c r="AC619" t="str">
        <f t="shared" si="28"/>
        <v>Normal</v>
      </c>
    </row>
    <row r="620" spans="4:29" x14ac:dyDescent="0.25">
      <c r="D620" t="s">
        <v>51</v>
      </c>
      <c r="E620">
        <v>1.2</v>
      </c>
      <c r="F620">
        <v>32</v>
      </c>
      <c r="G620">
        <v>307</v>
      </c>
      <c r="H620">
        <v>222</v>
      </c>
      <c r="I620" s="11">
        <f t="shared" si="29"/>
        <v>72.312703583061889</v>
      </c>
      <c r="J620">
        <v>1</v>
      </c>
      <c r="K620" t="s">
        <v>35</v>
      </c>
      <c r="L620">
        <v>1</v>
      </c>
      <c r="M620" t="s">
        <v>40</v>
      </c>
      <c r="N620">
        <v>14</v>
      </c>
      <c r="O620">
        <v>5</v>
      </c>
      <c r="P620">
        <v>10</v>
      </c>
      <c r="Q620">
        <v>3</v>
      </c>
      <c r="R620">
        <v>1</v>
      </c>
      <c r="S620">
        <v>0</v>
      </c>
      <c r="AB620" t="str">
        <f t="shared" si="27"/>
        <v>Normal</v>
      </c>
      <c r="AC620" t="str">
        <f t="shared" si="28"/>
        <v>Normal</v>
      </c>
    </row>
    <row r="621" spans="4:29" x14ac:dyDescent="0.25">
      <c r="D621" t="s">
        <v>39</v>
      </c>
      <c r="E621">
        <v>0.6</v>
      </c>
      <c r="F621">
        <v>63</v>
      </c>
      <c r="G621">
        <v>581</v>
      </c>
      <c r="H621">
        <v>469</v>
      </c>
      <c r="I621" s="11">
        <f t="shared" si="29"/>
        <v>80.722891566265062</v>
      </c>
      <c r="J621">
        <v>2</v>
      </c>
      <c r="K621" t="s">
        <v>36</v>
      </c>
      <c r="L621">
        <v>1</v>
      </c>
      <c r="M621" t="s">
        <v>36</v>
      </c>
      <c r="N621">
        <v>6</v>
      </c>
      <c r="O621">
        <v>4</v>
      </c>
      <c r="P621">
        <v>20</v>
      </c>
      <c r="Q621">
        <v>3</v>
      </c>
      <c r="R621">
        <v>2</v>
      </c>
      <c r="S621">
        <v>1</v>
      </c>
      <c r="AB621" t="str">
        <f t="shared" si="27"/>
        <v>Normal</v>
      </c>
      <c r="AC621" t="str">
        <f t="shared" si="28"/>
        <v>Normal</v>
      </c>
    </row>
    <row r="622" spans="4:29" x14ac:dyDescent="0.25">
      <c r="D622" t="s">
        <v>57</v>
      </c>
      <c r="E622">
        <v>0.5</v>
      </c>
      <c r="F622">
        <v>69</v>
      </c>
      <c r="G622">
        <v>776</v>
      </c>
      <c r="H622">
        <v>685</v>
      </c>
      <c r="I622" s="11">
        <f t="shared" si="29"/>
        <v>88.273195876288653</v>
      </c>
      <c r="J622">
        <v>0</v>
      </c>
      <c r="K622" t="s">
        <v>35</v>
      </c>
      <c r="L622">
        <v>0</v>
      </c>
      <c r="M622" t="s">
        <v>35</v>
      </c>
      <c r="N622">
        <v>8</v>
      </c>
      <c r="O622">
        <v>0</v>
      </c>
      <c r="P622">
        <v>15</v>
      </c>
      <c r="Q622">
        <v>9</v>
      </c>
      <c r="R622">
        <v>2</v>
      </c>
      <c r="S622">
        <v>0</v>
      </c>
      <c r="AB622" t="str">
        <f t="shared" si="27"/>
        <v>Normal</v>
      </c>
      <c r="AC622" t="str">
        <f t="shared" si="28"/>
        <v>Normal</v>
      </c>
    </row>
    <row r="623" spans="4:29" x14ac:dyDescent="0.25">
      <c r="D623" t="s">
        <v>42</v>
      </c>
      <c r="E623">
        <v>1.4</v>
      </c>
      <c r="F623">
        <v>60</v>
      </c>
      <c r="G623">
        <v>542</v>
      </c>
      <c r="H623">
        <v>450</v>
      </c>
      <c r="I623" s="11">
        <f t="shared" si="29"/>
        <v>83.025830258302577</v>
      </c>
      <c r="J623">
        <v>2</v>
      </c>
      <c r="K623" t="s">
        <v>40</v>
      </c>
      <c r="L623">
        <v>0</v>
      </c>
      <c r="M623" t="s">
        <v>36</v>
      </c>
      <c r="N623">
        <v>11</v>
      </c>
      <c r="O623">
        <v>5</v>
      </c>
      <c r="P623">
        <v>10</v>
      </c>
      <c r="Q623">
        <v>7</v>
      </c>
      <c r="R623">
        <v>1</v>
      </c>
      <c r="S623">
        <v>0</v>
      </c>
      <c r="AB623" t="str">
        <f t="shared" si="27"/>
        <v>Normal</v>
      </c>
      <c r="AC623" t="str">
        <f t="shared" si="28"/>
        <v>Normal</v>
      </c>
    </row>
    <row r="624" spans="4:29" x14ac:dyDescent="0.25">
      <c r="D624" t="s">
        <v>38</v>
      </c>
      <c r="E624">
        <v>0.4</v>
      </c>
      <c r="F624">
        <v>25</v>
      </c>
      <c r="G624">
        <v>242</v>
      </c>
      <c r="H624">
        <v>173</v>
      </c>
      <c r="I624" s="11">
        <f t="shared" si="29"/>
        <v>71.487603305785115</v>
      </c>
      <c r="J624">
        <v>1</v>
      </c>
      <c r="K624" t="s">
        <v>36</v>
      </c>
      <c r="L624">
        <v>0</v>
      </c>
      <c r="M624" t="s">
        <v>36</v>
      </c>
      <c r="N624">
        <v>4</v>
      </c>
      <c r="O624">
        <v>3</v>
      </c>
      <c r="P624">
        <v>11</v>
      </c>
      <c r="Q624">
        <v>1</v>
      </c>
      <c r="R624">
        <v>3</v>
      </c>
      <c r="S624">
        <v>1</v>
      </c>
      <c r="AB624" t="str">
        <f t="shared" si="27"/>
        <v>Normal</v>
      </c>
      <c r="AC624" t="str">
        <f t="shared" si="28"/>
        <v>Normal</v>
      </c>
    </row>
    <row r="625" spans="4:29" x14ac:dyDescent="0.25">
      <c r="D625" t="s">
        <v>48</v>
      </c>
      <c r="E625">
        <v>0.4</v>
      </c>
      <c r="F625">
        <v>45</v>
      </c>
      <c r="G625">
        <v>441</v>
      </c>
      <c r="H625">
        <v>358</v>
      </c>
      <c r="I625" s="11">
        <f t="shared" si="29"/>
        <v>81.179138321995467</v>
      </c>
      <c r="J625">
        <v>1</v>
      </c>
      <c r="K625" t="s">
        <v>35</v>
      </c>
      <c r="L625">
        <v>1</v>
      </c>
      <c r="M625" t="s">
        <v>36</v>
      </c>
      <c r="N625">
        <v>8</v>
      </c>
      <c r="O625">
        <v>2</v>
      </c>
      <c r="P625">
        <v>8</v>
      </c>
      <c r="Q625">
        <v>4</v>
      </c>
      <c r="R625">
        <v>0</v>
      </c>
      <c r="S625">
        <v>0</v>
      </c>
      <c r="AB625" t="str">
        <f t="shared" si="27"/>
        <v>Normal</v>
      </c>
      <c r="AC625" t="str">
        <f t="shared" si="28"/>
        <v>Normal</v>
      </c>
    </row>
    <row r="626" spans="4:29" x14ac:dyDescent="0.25">
      <c r="D626" t="s">
        <v>46</v>
      </c>
      <c r="E626">
        <v>0.5</v>
      </c>
      <c r="F626">
        <v>39</v>
      </c>
      <c r="G626">
        <v>395</v>
      </c>
      <c r="H626">
        <v>319</v>
      </c>
      <c r="I626" s="11">
        <f t="shared" si="29"/>
        <v>80.759493670886073</v>
      </c>
      <c r="J626">
        <v>0</v>
      </c>
      <c r="K626" t="s">
        <v>35</v>
      </c>
      <c r="L626">
        <v>0</v>
      </c>
      <c r="M626" t="s">
        <v>35</v>
      </c>
      <c r="N626">
        <v>3</v>
      </c>
      <c r="O626">
        <v>1</v>
      </c>
      <c r="P626">
        <v>13</v>
      </c>
      <c r="Q626">
        <v>4</v>
      </c>
      <c r="R626">
        <v>1</v>
      </c>
      <c r="S626">
        <v>0</v>
      </c>
      <c r="AB626" t="str">
        <f t="shared" si="27"/>
        <v>Normal</v>
      </c>
      <c r="AC626" t="str">
        <f t="shared" si="28"/>
        <v>Normal</v>
      </c>
    </row>
    <row r="627" spans="4:29" x14ac:dyDescent="0.25">
      <c r="D627" t="s">
        <v>49</v>
      </c>
      <c r="E627">
        <v>1.2</v>
      </c>
      <c r="F627">
        <v>56</v>
      </c>
      <c r="G627">
        <v>531</v>
      </c>
      <c r="H627">
        <v>426</v>
      </c>
      <c r="I627" s="11">
        <f t="shared" si="29"/>
        <v>80.225988700564983</v>
      </c>
      <c r="J627">
        <v>3</v>
      </c>
      <c r="K627" t="s">
        <v>40</v>
      </c>
      <c r="L627">
        <v>2</v>
      </c>
      <c r="M627" t="s">
        <v>40</v>
      </c>
      <c r="N627">
        <v>14</v>
      </c>
      <c r="O627">
        <v>7</v>
      </c>
      <c r="P627">
        <v>15</v>
      </c>
      <c r="Q627">
        <v>6</v>
      </c>
      <c r="R627">
        <v>3</v>
      </c>
      <c r="S627">
        <v>0</v>
      </c>
      <c r="AB627" t="str">
        <f t="shared" si="27"/>
        <v>Normal</v>
      </c>
      <c r="AC627" t="str">
        <f t="shared" si="28"/>
        <v>Normal</v>
      </c>
    </row>
    <row r="628" spans="4:29" x14ac:dyDescent="0.25">
      <c r="D628" t="s">
        <v>54</v>
      </c>
      <c r="E628">
        <v>1.6</v>
      </c>
      <c r="F628">
        <v>42</v>
      </c>
      <c r="G628">
        <v>399</v>
      </c>
      <c r="H628">
        <v>302</v>
      </c>
      <c r="I628" s="11">
        <f t="shared" si="29"/>
        <v>75.689223057644099</v>
      </c>
      <c r="J628">
        <v>1</v>
      </c>
      <c r="K628" t="s">
        <v>40</v>
      </c>
      <c r="L628">
        <v>1</v>
      </c>
      <c r="M628" t="s">
        <v>40</v>
      </c>
      <c r="N628">
        <v>14</v>
      </c>
      <c r="O628">
        <v>5</v>
      </c>
      <c r="P628">
        <v>13</v>
      </c>
      <c r="Q628">
        <v>2</v>
      </c>
      <c r="R628">
        <v>1</v>
      </c>
      <c r="S628">
        <v>0</v>
      </c>
      <c r="AB628" t="str">
        <f t="shared" si="27"/>
        <v>Normal</v>
      </c>
      <c r="AC628" t="str">
        <f t="shared" si="28"/>
        <v>Normal</v>
      </c>
    </row>
    <row r="629" spans="4:29" x14ac:dyDescent="0.25">
      <c r="D629" t="s">
        <v>44</v>
      </c>
      <c r="E629">
        <v>0.9</v>
      </c>
      <c r="F629">
        <v>42</v>
      </c>
      <c r="G629">
        <v>411</v>
      </c>
      <c r="H629">
        <v>286</v>
      </c>
      <c r="I629" s="11">
        <f t="shared" si="29"/>
        <v>69.586374695863753</v>
      </c>
      <c r="J629">
        <v>2</v>
      </c>
      <c r="K629" t="s">
        <v>40</v>
      </c>
      <c r="L629">
        <v>1</v>
      </c>
      <c r="M629" t="s">
        <v>40</v>
      </c>
      <c r="N629">
        <v>11</v>
      </c>
      <c r="O629">
        <v>6</v>
      </c>
      <c r="P629">
        <v>12</v>
      </c>
      <c r="Q629">
        <v>2</v>
      </c>
      <c r="R629">
        <v>1</v>
      </c>
      <c r="S629">
        <v>0</v>
      </c>
      <c r="AB629" t="str">
        <f t="shared" si="27"/>
        <v>Normal</v>
      </c>
      <c r="AC629" t="str">
        <f t="shared" si="28"/>
        <v>Normal</v>
      </c>
    </row>
    <row r="630" spans="4:29" x14ac:dyDescent="0.25">
      <c r="D630" t="s">
        <v>43</v>
      </c>
      <c r="E630">
        <v>1.5</v>
      </c>
      <c r="F630">
        <v>50</v>
      </c>
      <c r="G630">
        <v>489</v>
      </c>
      <c r="H630">
        <v>406</v>
      </c>
      <c r="I630" s="11">
        <f t="shared" si="29"/>
        <v>83.02658486707567</v>
      </c>
      <c r="J630">
        <v>1</v>
      </c>
      <c r="K630" t="s">
        <v>35</v>
      </c>
      <c r="L630">
        <v>0</v>
      </c>
      <c r="M630" t="s">
        <v>35</v>
      </c>
      <c r="N630">
        <v>16</v>
      </c>
      <c r="O630">
        <v>4</v>
      </c>
      <c r="P630">
        <v>13</v>
      </c>
      <c r="Q630">
        <v>3</v>
      </c>
      <c r="R630">
        <v>2</v>
      </c>
      <c r="S630">
        <v>0</v>
      </c>
      <c r="AB630" t="str">
        <f t="shared" si="27"/>
        <v>Normal</v>
      </c>
      <c r="AC630" t="str">
        <f t="shared" si="28"/>
        <v>Normal</v>
      </c>
    </row>
    <row r="631" spans="4:29" x14ac:dyDescent="0.25">
      <c r="D631" t="s">
        <v>33</v>
      </c>
      <c r="E631">
        <v>1.5</v>
      </c>
      <c r="F631">
        <v>45</v>
      </c>
      <c r="G631">
        <v>461</v>
      </c>
      <c r="H631">
        <v>367</v>
      </c>
      <c r="I631" s="11">
        <f t="shared" si="29"/>
        <v>79.60954446854663</v>
      </c>
      <c r="J631">
        <v>0</v>
      </c>
      <c r="K631" t="s">
        <v>35</v>
      </c>
      <c r="L631">
        <v>0</v>
      </c>
      <c r="M631" t="s">
        <v>35</v>
      </c>
      <c r="N631">
        <v>16</v>
      </c>
      <c r="O631">
        <v>6</v>
      </c>
      <c r="P631">
        <v>9</v>
      </c>
      <c r="Q631">
        <v>5</v>
      </c>
      <c r="R631">
        <v>2</v>
      </c>
      <c r="S631">
        <v>0</v>
      </c>
      <c r="AB631" t="str">
        <f t="shared" si="27"/>
        <v>Normal</v>
      </c>
      <c r="AC631" t="str">
        <f t="shared" si="28"/>
        <v>Normal</v>
      </c>
    </row>
    <row r="632" spans="4:29" x14ac:dyDescent="0.25">
      <c r="D632" t="s">
        <v>39</v>
      </c>
      <c r="E632">
        <v>2.5</v>
      </c>
      <c r="F632">
        <v>48</v>
      </c>
      <c r="G632">
        <v>448</v>
      </c>
      <c r="H632">
        <v>360</v>
      </c>
      <c r="I632" s="11">
        <f t="shared" si="29"/>
        <v>80.357142857142861</v>
      </c>
      <c r="J632">
        <v>2</v>
      </c>
      <c r="K632" t="s">
        <v>36</v>
      </c>
      <c r="L632">
        <v>1</v>
      </c>
      <c r="M632" t="s">
        <v>35</v>
      </c>
      <c r="N632">
        <v>17</v>
      </c>
      <c r="O632">
        <v>3</v>
      </c>
      <c r="P632">
        <v>6</v>
      </c>
      <c r="Q632">
        <v>8</v>
      </c>
      <c r="R632">
        <v>0</v>
      </c>
      <c r="S632">
        <v>0</v>
      </c>
      <c r="AB632" t="str">
        <f t="shared" si="27"/>
        <v>Normal</v>
      </c>
      <c r="AC632" t="str">
        <f t="shared" si="28"/>
        <v>Normal</v>
      </c>
    </row>
    <row r="633" spans="4:29" x14ac:dyDescent="0.25">
      <c r="D633" t="s">
        <v>54</v>
      </c>
      <c r="E633">
        <v>1.5</v>
      </c>
      <c r="F633">
        <v>52</v>
      </c>
      <c r="G633">
        <v>460</v>
      </c>
      <c r="H633">
        <v>379</v>
      </c>
      <c r="I633" s="11">
        <f t="shared" si="29"/>
        <v>82.391304347826093</v>
      </c>
      <c r="J633">
        <v>4</v>
      </c>
      <c r="K633" t="s">
        <v>40</v>
      </c>
      <c r="L633">
        <v>3</v>
      </c>
      <c r="M633" t="s">
        <v>40</v>
      </c>
      <c r="N633">
        <v>14</v>
      </c>
      <c r="O633">
        <v>6</v>
      </c>
      <c r="P633">
        <v>10</v>
      </c>
      <c r="Q633">
        <v>6</v>
      </c>
      <c r="R633">
        <v>0</v>
      </c>
      <c r="S633">
        <v>0</v>
      </c>
      <c r="AB633" t="str">
        <f t="shared" si="27"/>
        <v>Normal</v>
      </c>
      <c r="AC633" t="str">
        <f t="shared" si="28"/>
        <v>Normal</v>
      </c>
    </row>
    <row r="634" spans="4:29" x14ac:dyDescent="0.25">
      <c r="D634" t="s">
        <v>33</v>
      </c>
      <c r="E634">
        <v>0.4</v>
      </c>
      <c r="F634">
        <v>62</v>
      </c>
      <c r="G634">
        <v>575</v>
      </c>
      <c r="H634">
        <v>479</v>
      </c>
      <c r="I634" s="11">
        <f t="shared" si="29"/>
        <v>83.304347826086953</v>
      </c>
      <c r="J634">
        <v>2</v>
      </c>
      <c r="K634" t="s">
        <v>36</v>
      </c>
      <c r="L634">
        <v>0</v>
      </c>
      <c r="M634" t="s">
        <v>35</v>
      </c>
      <c r="N634">
        <v>9</v>
      </c>
      <c r="O634">
        <v>3</v>
      </c>
      <c r="P634">
        <v>9</v>
      </c>
      <c r="Q634">
        <v>9</v>
      </c>
      <c r="R634">
        <v>1</v>
      </c>
      <c r="S634">
        <v>0</v>
      </c>
      <c r="AB634" t="str">
        <f t="shared" si="27"/>
        <v>Normal</v>
      </c>
      <c r="AC634" t="str">
        <f t="shared" si="28"/>
        <v>Normal</v>
      </c>
    </row>
    <row r="635" spans="4:29" x14ac:dyDescent="0.25">
      <c r="D635" t="s">
        <v>51</v>
      </c>
      <c r="E635">
        <v>1.1000000000000001</v>
      </c>
      <c r="F635">
        <v>32</v>
      </c>
      <c r="G635">
        <v>334</v>
      </c>
      <c r="H635">
        <v>257</v>
      </c>
      <c r="I635" s="11">
        <f t="shared" si="29"/>
        <v>76.946107784431135</v>
      </c>
      <c r="J635">
        <v>1</v>
      </c>
      <c r="K635" t="s">
        <v>40</v>
      </c>
      <c r="L635">
        <v>1</v>
      </c>
      <c r="M635" t="s">
        <v>40</v>
      </c>
      <c r="N635">
        <v>5</v>
      </c>
      <c r="O635">
        <v>2</v>
      </c>
      <c r="P635">
        <v>15</v>
      </c>
      <c r="Q635">
        <v>0</v>
      </c>
      <c r="R635">
        <v>3</v>
      </c>
      <c r="S635">
        <v>0</v>
      </c>
      <c r="AB635" t="str">
        <f t="shared" si="27"/>
        <v>Normal</v>
      </c>
      <c r="AC635" t="str">
        <f t="shared" si="28"/>
        <v>Normal</v>
      </c>
    </row>
    <row r="636" spans="4:29" x14ac:dyDescent="0.25">
      <c r="D636" t="s">
        <v>43</v>
      </c>
      <c r="E636">
        <v>2</v>
      </c>
      <c r="F636">
        <v>54</v>
      </c>
      <c r="G636">
        <v>490</v>
      </c>
      <c r="H636">
        <v>381</v>
      </c>
      <c r="I636" s="11">
        <f t="shared" si="29"/>
        <v>77.755102040816325</v>
      </c>
      <c r="J636">
        <v>1</v>
      </c>
      <c r="K636" t="s">
        <v>40</v>
      </c>
      <c r="L636">
        <v>1</v>
      </c>
      <c r="M636" t="s">
        <v>40</v>
      </c>
      <c r="N636">
        <v>13</v>
      </c>
      <c r="O636">
        <v>5</v>
      </c>
      <c r="P636">
        <v>9</v>
      </c>
      <c r="Q636">
        <v>7</v>
      </c>
      <c r="R636">
        <v>3</v>
      </c>
      <c r="S636">
        <v>0</v>
      </c>
      <c r="AB636" t="str">
        <f t="shared" si="27"/>
        <v>Normal</v>
      </c>
      <c r="AC636" t="str">
        <f t="shared" si="28"/>
        <v>Normal</v>
      </c>
    </row>
    <row r="637" spans="4:29" x14ac:dyDescent="0.25">
      <c r="D637" t="s">
        <v>55</v>
      </c>
      <c r="E637">
        <v>1.3</v>
      </c>
      <c r="F637">
        <v>38</v>
      </c>
      <c r="G637">
        <v>363</v>
      </c>
      <c r="H637">
        <v>267</v>
      </c>
      <c r="I637" s="11">
        <f t="shared" si="29"/>
        <v>73.553719008264466</v>
      </c>
      <c r="J637">
        <v>2</v>
      </c>
      <c r="K637" t="s">
        <v>40</v>
      </c>
      <c r="L637">
        <v>1</v>
      </c>
      <c r="M637" t="s">
        <v>40</v>
      </c>
      <c r="N637">
        <v>10</v>
      </c>
      <c r="O637">
        <v>5</v>
      </c>
      <c r="P637">
        <v>7</v>
      </c>
      <c r="Q637">
        <v>7</v>
      </c>
      <c r="R637">
        <v>3</v>
      </c>
      <c r="S637">
        <v>0</v>
      </c>
      <c r="AB637" t="str">
        <f t="shared" si="27"/>
        <v>Normal</v>
      </c>
      <c r="AC637" t="str">
        <f t="shared" si="28"/>
        <v>Normal</v>
      </c>
    </row>
    <row r="638" spans="4:29" x14ac:dyDescent="0.25">
      <c r="D638" t="s">
        <v>60</v>
      </c>
      <c r="E638">
        <v>1.7</v>
      </c>
      <c r="F638">
        <v>58</v>
      </c>
      <c r="G638">
        <v>549</v>
      </c>
      <c r="H638">
        <v>473</v>
      </c>
      <c r="I638" s="11">
        <f t="shared" si="29"/>
        <v>86.156648451730419</v>
      </c>
      <c r="J638">
        <v>4</v>
      </c>
      <c r="K638" t="s">
        <v>40</v>
      </c>
      <c r="L638">
        <v>2</v>
      </c>
      <c r="M638" t="s">
        <v>40</v>
      </c>
      <c r="N638">
        <v>10</v>
      </c>
      <c r="O638">
        <v>6</v>
      </c>
      <c r="P638">
        <v>14</v>
      </c>
      <c r="Q638">
        <v>4</v>
      </c>
      <c r="R638">
        <v>1</v>
      </c>
      <c r="S638">
        <v>0</v>
      </c>
      <c r="AB638" t="str">
        <f t="shared" si="27"/>
        <v>Normal</v>
      </c>
      <c r="AC638" t="str">
        <f t="shared" si="28"/>
        <v>Normal</v>
      </c>
    </row>
    <row r="639" spans="4:29" x14ac:dyDescent="0.25">
      <c r="D639" t="s">
        <v>45</v>
      </c>
      <c r="E639">
        <v>3.9</v>
      </c>
      <c r="F639">
        <v>50</v>
      </c>
      <c r="G639">
        <v>467</v>
      </c>
      <c r="H639">
        <v>374</v>
      </c>
      <c r="I639" s="11">
        <f t="shared" si="29"/>
        <v>80.085653104925058</v>
      </c>
      <c r="J639">
        <v>4</v>
      </c>
      <c r="K639" t="s">
        <v>40</v>
      </c>
      <c r="L639">
        <v>1</v>
      </c>
      <c r="M639" t="s">
        <v>40</v>
      </c>
      <c r="N639">
        <v>18</v>
      </c>
      <c r="O639">
        <v>12</v>
      </c>
      <c r="P639">
        <v>12</v>
      </c>
      <c r="Q639">
        <v>6</v>
      </c>
      <c r="R639">
        <v>0</v>
      </c>
      <c r="S639">
        <v>0</v>
      </c>
      <c r="AB639" t="str">
        <f t="shared" si="27"/>
        <v>Normal</v>
      </c>
      <c r="AC639" t="str">
        <f t="shared" si="28"/>
        <v>Normal</v>
      </c>
    </row>
    <row r="640" spans="4:29" x14ac:dyDescent="0.25">
      <c r="D640" t="s">
        <v>57</v>
      </c>
      <c r="E640">
        <v>2.2999999999999998</v>
      </c>
      <c r="F640">
        <v>48</v>
      </c>
      <c r="G640">
        <v>475</v>
      </c>
      <c r="H640">
        <v>409</v>
      </c>
      <c r="I640" s="11">
        <f t="shared" si="29"/>
        <v>86.10526315789474</v>
      </c>
      <c r="J640">
        <v>1</v>
      </c>
      <c r="K640" t="s">
        <v>35</v>
      </c>
      <c r="L640">
        <v>1</v>
      </c>
      <c r="M640" t="s">
        <v>40</v>
      </c>
      <c r="N640">
        <v>15</v>
      </c>
      <c r="O640">
        <v>7</v>
      </c>
      <c r="P640">
        <v>16</v>
      </c>
      <c r="Q640">
        <v>3</v>
      </c>
      <c r="R640">
        <v>3</v>
      </c>
      <c r="S640">
        <v>0</v>
      </c>
      <c r="AB640" t="str">
        <f t="shared" si="27"/>
        <v>Normal</v>
      </c>
      <c r="AC640" t="str">
        <f t="shared" si="28"/>
        <v>Normal</v>
      </c>
    </row>
    <row r="641" spans="4:29" x14ac:dyDescent="0.25">
      <c r="D641" t="s">
        <v>48</v>
      </c>
      <c r="E641">
        <v>1.7</v>
      </c>
      <c r="F641">
        <v>43</v>
      </c>
      <c r="G641">
        <v>386</v>
      </c>
      <c r="H641">
        <v>279</v>
      </c>
      <c r="I641" s="11">
        <f t="shared" si="29"/>
        <v>72.279792746113998</v>
      </c>
      <c r="J641">
        <v>3</v>
      </c>
      <c r="K641" t="s">
        <v>35</v>
      </c>
      <c r="L641">
        <v>1</v>
      </c>
      <c r="M641" t="s">
        <v>35</v>
      </c>
      <c r="N641">
        <v>17</v>
      </c>
      <c r="O641">
        <v>5</v>
      </c>
      <c r="P641">
        <v>13</v>
      </c>
      <c r="Q641">
        <v>6</v>
      </c>
      <c r="R641">
        <v>4</v>
      </c>
      <c r="S641">
        <v>0</v>
      </c>
      <c r="AB641" t="str">
        <f t="shared" si="27"/>
        <v>Normal</v>
      </c>
      <c r="AC641" t="str">
        <f t="shared" si="28"/>
        <v>Normal</v>
      </c>
    </row>
    <row r="642" spans="4:29" x14ac:dyDescent="0.25">
      <c r="D642" t="s">
        <v>39</v>
      </c>
      <c r="E642">
        <v>0.7</v>
      </c>
      <c r="F642">
        <v>34</v>
      </c>
      <c r="G642">
        <v>356</v>
      </c>
      <c r="H642">
        <v>282</v>
      </c>
      <c r="I642" s="11">
        <f t="shared" si="29"/>
        <v>79.213483146067418</v>
      </c>
      <c r="J642">
        <v>2</v>
      </c>
      <c r="K642" t="s">
        <v>40</v>
      </c>
      <c r="L642">
        <v>2</v>
      </c>
      <c r="M642" t="s">
        <v>40</v>
      </c>
      <c r="N642">
        <v>8</v>
      </c>
      <c r="O642">
        <v>4</v>
      </c>
      <c r="P642">
        <v>10</v>
      </c>
      <c r="Q642">
        <v>5</v>
      </c>
      <c r="R642">
        <v>0</v>
      </c>
      <c r="S642">
        <v>0</v>
      </c>
      <c r="AB642" t="str">
        <f t="shared" ref="AB642:AB705" si="30">IF(E642 &lt; _xlfn.PERCENTILE.INC($E$2:$E$761,0),
    "Ekstrem Rendah",
    IF(E642 &gt; _xlfn.PERCENTILE.INC($E$2:$E$761,1),
        "Ekstrem Tinggi",
        "Normal"
    )
)</f>
        <v>Normal</v>
      </c>
      <c r="AC642" t="str">
        <f t="shared" ref="AC642:AC705" si="31">IF(F642 &lt; _xlfn.PERCENTILE.INC($F$2:$F$761,0.001),
    "Ekstrem Rendah",
    IF(F642 &gt; _xlfn.PERCENTILE.INC($F$2:$F$761,0.999),
        "Ekstrem Tinggi",
        "Normal"
    )
)</f>
        <v>Normal</v>
      </c>
    </row>
    <row r="643" spans="4:29" x14ac:dyDescent="0.25">
      <c r="D643" t="s">
        <v>49</v>
      </c>
      <c r="E643">
        <v>1.5</v>
      </c>
      <c r="F643">
        <v>56</v>
      </c>
      <c r="G643">
        <v>515</v>
      </c>
      <c r="H643">
        <v>402</v>
      </c>
      <c r="I643" s="11">
        <f t="shared" ref="I643:I706" si="32">H643/G643*100</f>
        <v>78.05825242718447</v>
      </c>
      <c r="J643">
        <v>1</v>
      </c>
      <c r="K643" t="s">
        <v>35</v>
      </c>
      <c r="L643">
        <v>0</v>
      </c>
      <c r="M643" t="s">
        <v>35</v>
      </c>
      <c r="N643">
        <v>19</v>
      </c>
      <c r="O643">
        <v>5</v>
      </c>
      <c r="P643">
        <v>14</v>
      </c>
      <c r="Q643">
        <v>9</v>
      </c>
      <c r="R643">
        <v>1</v>
      </c>
      <c r="S643">
        <v>0</v>
      </c>
      <c r="AB643" t="str">
        <f t="shared" si="30"/>
        <v>Normal</v>
      </c>
      <c r="AC643" t="str">
        <f t="shared" si="31"/>
        <v>Normal</v>
      </c>
    </row>
    <row r="644" spans="4:29" x14ac:dyDescent="0.25">
      <c r="D644" t="s">
        <v>52</v>
      </c>
      <c r="E644">
        <v>0.4</v>
      </c>
      <c r="F644">
        <v>64</v>
      </c>
      <c r="G644">
        <v>509</v>
      </c>
      <c r="H644">
        <v>424</v>
      </c>
      <c r="I644" s="11">
        <f t="shared" si="32"/>
        <v>83.300589390962671</v>
      </c>
      <c r="J644">
        <v>1</v>
      </c>
      <c r="K644" t="s">
        <v>35</v>
      </c>
      <c r="L644">
        <v>0</v>
      </c>
      <c r="M644" t="s">
        <v>35</v>
      </c>
      <c r="N644">
        <v>6</v>
      </c>
      <c r="O644">
        <v>2</v>
      </c>
      <c r="P644">
        <v>10</v>
      </c>
      <c r="Q644">
        <v>8</v>
      </c>
      <c r="R644">
        <v>1</v>
      </c>
      <c r="S644">
        <v>0</v>
      </c>
      <c r="AB644" t="str">
        <f t="shared" si="30"/>
        <v>Normal</v>
      </c>
      <c r="AC644" t="str">
        <f t="shared" si="31"/>
        <v>Normal</v>
      </c>
    </row>
    <row r="645" spans="4:29" x14ac:dyDescent="0.25">
      <c r="D645" t="s">
        <v>34</v>
      </c>
      <c r="E645">
        <v>1.7</v>
      </c>
      <c r="F645">
        <v>40</v>
      </c>
      <c r="G645">
        <v>410</v>
      </c>
      <c r="H645">
        <v>343</v>
      </c>
      <c r="I645" s="11">
        <f t="shared" si="32"/>
        <v>83.658536585365852</v>
      </c>
      <c r="J645">
        <v>2</v>
      </c>
      <c r="K645" t="s">
        <v>40</v>
      </c>
      <c r="L645">
        <v>1</v>
      </c>
      <c r="M645" t="s">
        <v>36</v>
      </c>
      <c r="N645">
        <v>11</v>
      </c>
      <c r="O645">
        <v>5</v>
      </c>
      <c r="P645">
        <v>15</v>
      </c>
      <c r="Q645">
        <v>5</v>
      </c>
      <c r="R645">
        <v>3</v>
      </c>
      <c r="S645">
        <v>0</v>
      </c>
      <c r="AB645" t="str">
        <f t="shared" si="30"/>
        <v>Normal</v>
      </c>
      <c r="AC645" t="str">
        <f t="shared" si="31"/>
        <v>Normal</v>
      </c>
    </row>
    <row r="646" spans="4:29" x14ac:dyDescent="0.25">
      <c r="D646" t="s">
        <v>47</v>
      </c>
      <c r="E646">
        <v>0.7</v>
      </c>
      <c r="F646">
        <v>40</v>
      </c>
      <c r="G646">
        <v>441</v>
      </c>
      <c r="H646">
        <v>370</v>
      </c>
      <c r="I646" s="11">
        <f t="shared" si="32"/>
        <v>83.900226757369609</v>
      </c>
      <c r="J646">
        <v>0</v>
      </c>
      <c r="K646" t="s">
        <v>35</v>
      </c>
      <c r="L646">
        <v>0</v>
      </c>
      <c r="M646" t="s">
        <v>35</v>
      </c>
      <c r="N646">
        <v>7</v>
      </c>
      <c r="O646">
        <v>2</v>
      </c>
      <c r="P646">
        <v>9</v>
      </c>
      <c r="Q646">
        <v>2</v>
      </c>
      <c r="R646">
        <v>2</v>
      </c>
      <c r="S646">
        <v>0</v>
      </c>
      <c r="AB646" t="str">
        <f t="shared" si="30"/>
        <v>Normal</v>
      </c>
      <c r="AC646" t="str">
        <f t="shared" si="31"/>
        <v>Normal</v>
      </c>
    </row>
    <row r="647" spans="4:29" x14ac:dyDescent="0.25">
      <c r="D647" t="s">
        <v>44</v>
      </c>
      <c r="E647">
        <v>1.5</v>
      </c>
      <c r="F647">
        <v>48</v>
      </c>
      <c r="G647">
        <v>474</v>
      </c>
      <c r="H647">
        <v>378</v>
      </c>
      <c r="I647" s="11">
        <f t="shared" si="32"/>
        <v>79.74683544303798</v>
      </c>
      <c r="J647">
        <v>1</v>
      </c>
      <c r="K647" t="s">
        <v>36</v>
      </c>
      <c r="L647">
        <v>0</v>
      </c>
      <c r="M647" t="s">
        <v>35</v>
      </c>
      <c r="N647">
        <v>14</v>
      </c>
      <c r="O647">
        <v>4</v>
      </c>
      <c r="P647">
        <v>6</v>
      </c>
      <c r="Q647">
        <v>5</v>
      </c>
      <c r="R647">
        <v>1</v>
      </c>
      <c r="S647">
        <v>0</v>
      </c>
      <c r="AB647" t="str">
        <f t="shared" si="30"/>
        <v>Normal</v>
      </c>
      <c r="AC647" t="str">
        <f t="shared" si="31"/>
        <v>Normal</v>
      </c>
    </row>
    <row r="648" spans="4:29" x14ac:dyDescent="0.25">
      <c r="D648" t="s">
        <v>38</v>
      </c>
      <c r="E648">
        <v>1.4</v>
      </c>
      <c r="F648">
        <v>55</v>
      </c>
      <c r="G648">
        <v>486</v>
      </c>
      <c r="H648">
        <v>404</v>
      </c>
      <c r="I648" s="11">
        <f t="shared" si="32"/>
        <v>83.127572016460903</v>
      </c>
      <c r="J648">
        <v>2</v>
      </c>
      <c r="K648" t="s">
        <v>35</v>
      </c>
      <c r="L648">
        <v>2</v>
      </c>
      <c r="M648" t="s">
        <v>36</v>
      </c>
      <c r="N648">
        <v>12</v>
      </c>
      <c r="O648">
        <v>3</v>
      </c>
      <c r="P648">
        <v>16</v>
      </c>
      <c r="Q648">
        <v>6</v>
      </c>
      <c r="R648">
        <v>4</v>
      </c>
      <c r="S648">
        <v>0</v>
      </c>
      <c r="AB648" t="str">
        <f t="shared" si="30"/>
        <v>Normal</v>
      </c>
      <c r="AC648" t="str">
        <f t="shared" si="31"/>
        <v>Normal</v>
      </c>
    </row>
    <row r="649" spans="4:29" x14ac:dyDescent="0.25">
      <c r="D649" t="s">
        <v>42</v>
      </c>
      <c r="E649">
        <v>1</v>
      </c>
      <c r="F649">
        <v>64</v>
      </c>
      <c r="G649">
        <v>544</v>
      </c>
      <c r="H649">
        <v>455</v>
      </c>
      <c r="I649" s="11">
        <f t="shared" si="32"/>
        <v>83.639705882352942</v>
      </c>
      <c r="J649">
        <v>0</v>
      </c>
      <c r="K649" t="s">
        <v>36</v>
      </c>
      <c r="L649">
        <v>0</v>
      </c>
      <c r="M649" t="s">
        <v>36</v>
      </c>
      <c r="N649">
        <v>13</v>
      </c>
      <c r="O649">
        <v>1</v>
      </c>
      <c r="P649">
        <v>17</v>
      </c>
      <c r="Q649">
        <v>11</v>
      </c>
      <c r="R649">
        <v>1</v>
      </c>
      <c r="S649">
        <v>0</v>
      </c>
      <c r="AB649" t="str">
        <f t="shared" si="30"/>
        <v>Normal</v>
      </c>
      <c r="AC649" t="str">
        <f t="shared" si="31"/>
        <v>Normal</v>
      </c>
    </row>
    <row r="650" spans="4:29" x14ac:dyDescent="0.25">
      <c r="D650" t="s">
        <v>58</v>
      </c>
      <c r="E650">
        <v>2.1</v>
      </c>
      <c r="F650">
        <v>45</v>
      </c>
      <c r="G650">
        <v>460</v>
      </c>
      <c r="H650">
        <v>392</v>
      </c>
      <c r="I650" s="11">
        <f t="shared" si="32"/>
        <v>85.217391304347828</v>
      </c>
      <c r="J650">
        <v>1</v>
      </c>
      <c r="K650" t="s">
        <v>40</v>
      </c>
      <c r="L650">
        <v>1</v>
      </c>
      <c r="M650" t="s">
        <v>40</v>
      </c>
      <c r="N650">
        <v>12</v>
      </c>
      <c r="O650">
        <v>5</v>
      </c>
      <c r="P650">
        <v>15</v>
      </c>
      <c r="Q650">
        <v>3</v>
      </c>
      <c r="R650">
        <v>0</v>
      </c>
      <c r="S650">
        <v>0</v>
      </c>
      <c r="AB650" t="str">
        <f t="shared" si="30"/>
        <v>Normal</v>
      </c>
      <c r="AC650" t="str">
        <f t="shared" si="31"/>
        <v>Normal</v>
      </c>
    </row>
    <row r="651" spans="4:29" x14ac:dyDescent="0.25">
      <c r="D651" t="s">
        <v>46</v>
      </c>
      <c r="E651">
        <v>0.2</v>
      </c>
      <c r="F651">
        <v>39</v>
      </c>
      <c r="G651">
        <v>402</v>
      </c>
      <c r="H651">
        <v>327</v>
      </c>
      <c r="I651" s="11">
        <f t="shared" si="32"/>
        <v>81.343283582089555</v>
      </c>
      <c r="J651">
        <v>0</v>
      </c>
      <c r="K651" t="s">
        <v>35</v>
      </c>
      <c r="L651">
        <v>0</v>
      </c>
      <c r="M651" t="s">
        <v>35</v>
      </c>
      <c r="N651">
        <v>3</v>
      </c>
      <c r="O651">
        <v>0</v>
      </c>
      <c r="P651">
        <v>11</v>
      </c>
      <c r="Q651">
        <v>2</v>
      </c>
      <c r="R651">
        <v>1</v>
      </c>
      <c r="S651">
        <v>0</v>
      </c>
      <c r="AB651" t="str">
        <f t="shared" si="30"/>
        <v>Normal</v>
      </c>
      <c r="AC651" t="str">
        <f t="shared" si="31"/>
        <v>Normal</v>
      </c>
    </row>
    <row r="652" spans="4:29" x14ac:dyDescent="0.25">
      <c r="D652" t="s">
        <v>59</v>
      </c>
      <c r="E652">
        <v>0.4</v>
      </c>
      <c r="F652">
        <v>42</v>
      </c>
      <c r="G652">
        <v>504</v>
      </c>
      <c r="H652">
        <v>411</v>
      </c>
      <c r="I652" s="11">
        <f t="shared" si="32"/>
        <v>81.547619047619051</v>
      </c>
      <c r="J652">
        <v>0</v>
      </c>
      <c r="K652" t="s">
        <v>35</v>
      </c>
      <c r="L652">
        <v>0</v>
      </c>
      <c r="M652" t="s">
        <v>35</v>
      </c>
      <c r="N652">
        <v>10</v>
      </c>
      <c r="O652">
        <v>2</v>
      </c>
      <c r="P652">
        <v>6</v>
      </c>
      <c r="Q652">
        <v>3</v>
      </c>
      <c r="R652">
        <v>0</v>
      </c>
      <c r="S652">
        <v>0</v>
      </c>
      <c r="AB652" t="str">
        <f t="shared" si="30"/>
        <v>Normal</v>
      </c>
      <c r="AC652" t="str">
        <f t="shared" si="31"/>
        <v>Normal</v>
      </c>
    </row>
    <row r="653" spans="4:29" x14ac:dyDescent="0.25">
      <c r="D653" t="s">
        <v>58</v>
      </c>
      <c r="E653">
        <v>0.9</v>
      </c>
      <c r="F653">
        <v>69</v>
      </c>
      <c r="G653">
        <v>652</v>
      </c>
      <c r="H653">
        <v>571</v>
      </c>
      <c r="I653" s="11">
        <f t="shared" si="32"/>
        <v>87.576687116564429</v>
      </c>
      <c r="J653">
        <v>0</v>
      </c>
      <c r="K653" t="s">
        <v>35</v>
      </c>
      <c r="L653">
        <v>0</v>
      </c>
      <c r="M653" t="s">
        <v>36</v>
      </c>
      <c r="N653">
        <v>14</v>
      </c>
      <c r="O653">
        <v>3</v>
      </c>
      <c r="P653">
        <v>7</v>
      </c>
      <c r="Q653">
        <v>2</v>
      </c>
      <c r="R653">
        <v>2</v>
      </c>
      <c r="S653">
        <v>0</v>
      </c>
      <c r="AB653" t="str">
        <f t="shared" si="30"/>
        <v>Normal</v>
      </c>
      <c r="AC653" t="str">
        <f t="shared" si="31"/>
        <v>Normal</v>
      </c>
    </row>
    <row r="654" spans="4:29" x14ac:dyDescent="0.25">
      <c r="D654" t="s">
        <v>34</v>
      </c>
      <c r="E654">
        <v>0.9</v>
      </c>
      <c r="F654">
        <v>47</v>
      </c>
      <c r="G654">
        <v>479</v>
      </c>
      <c r="H654">
        <v>391</v>
      </c>
      <c r="I654" s="11">
        <f t="shared" si="32"/>
        <v>81.628392484342385</v>
      </c>
      <c r="J654">
        <v>1</v>
      </c>
      <c r="K654" t="s">
        <v>35</v>
      </c>
      <c r="L654">
        <v>1</v>
      </c>
      <c r="M654" t="s">
        <v>36</v>
      </c>
      <c r="N654">
        <v>6</v>
      </c>
      <c r="O654">
        <v>1</v>
      </c>
      <c r="P654">
        <v>12</v>
      </c>
      <c r="Q654">
        <v>7</v>
      </c>
      <c r="R654">
        <v>2</v>
      </c>
      <c r="S654">
        <v>0</v>
      </c>
      <c r="AB654" t="str">
        <f t="shared" si="30"/>
        <v>Normal</v>
      </c>
      <c r="AC654" t="str">
        <f t="shared" si="31"/>
        <v>Normal</v>
      </c>
    </row>
    <row r="655" spans="4:29" x14ac:dyDescent="0.25">
      <c r="D655" t="s">
        <v>38</v>
      </c>
      <c r="E655">
        <v>1.5</v>
      </c>
      <c r="F655">
        <v>45</v>
      </c>
      <c r="G655">
        <v>380</v>
      </c>
      <c r="H655">
        <v>269</v>
      </c>
      <c r="I655" s="11">
        <f t="shared" si="32"/>
        <v>70.78947368421052</v>
      </c>
      <c r="J655">
        <v>0</v>
      </c>
      <c r="K655" t="s">
        <v>35</v>
      </c>
      <c r="L655">
        <v>0</v>
      </c>
      <c r="M655" t="s">
        <v>36</v>
      </c>
      <c r="N655">
        <v>15</v>
      </c>
      <c r="O655">
        <v>8</v>
      </c>
      <c r="P655">
        <v>7</v>
      </c>
      <c r="Q655">
        <v>4</v>
      </c>
      <c r="R655">
        <v>3</v>
      </c>
      <c r="S655">
        <v>0</v>
      </c>
      <c r="AB655" t="str">
        <f t="shared" si="30"/>
        <v>Normal</v>
      </c>
      <c r="AC655" t="str">
        <f t="shared" si="31"/>
        <v>Normal</v>
      </c>
    </row>
    <row r="656" spans="4:29" x14ac:dyDescent="0.25">
      <c r="D656" t="s">
        <v>47</v>
      </c>
      <c r="E656">
        <v>0.4</v>
      </c>
      <c r="F656">
        <v>29</v>
      </c>
      <c r="G656">
        <v>286</v>
      </c>
      <c r="H656">
        <v>216</v>
      </c>
      <c r="I656" s="11">
        <f t="shared" si="32"/>
        <v>75.52447552447552</v>
      </c>
      <c r="J656">
        <v>1</v>
      </c>
      <c r="K656" t="s">
        <v>35</v>
      </c>
      <c r="L656">
        <v>1</v>
      </c>
      <c r="M656" t="s">
        <v>40</v>
      </c>
      <c r="N656">
        <v>6</v>
      </c>
      <c r="O656">
        <v>4</v>
      </c>
      <c r="P656">
        <v>9</v>
      </c>
      <c r="Q656">
        <v>4</v>
      </c>
      <c r="R656">
        <v>1</v>
      </c>
      <c r="S656">
        <v>0</v>
      </c>
      <c r="AB656" t="str">
        <f t="shared" si="30"/>
        <v>Normal</v>
      </c>
      <c r="AC656" t="str">
        <f t="shared" si="31"/>
        <v>Normal</v>
      </c>
    </row>
    <row r="657" spans="4:29" x14ac:dyDescent="0.25">
      <c r="D657" t="s">
        <v>52</v>
      </c>
      <c r="E657">
        <v>1.3</v>
      </c>
      <c r="F657">
        <v>41</v>
      </c>
      <c r="G657">
        <v>346</v>
      </c>
      <c r="H657">
        <v>254</v>
      </c>
      <c r="I657" s="11">
        <f t="shared" si="32"/>
        <v>73.410404624277461</v>
      </c>
      <c r="J657">
        <v>1</v>
      </c>
      <c r="K657" t="s">
        <v>40</v>
      </c>
      <c r="L657">
        <v>0</v>
      </c>
      <c r="M657" t="s">
        <v>36</v>
      </c>
      <c r="N657">
        <v>12</v>
      </c>
      <c r="O657">
        <v>4</v>
      </c>
      <c r="P657">
        <v>5</v>
      </c>
      <c r="Q657">
        <v>5</v>
      </c>
      <c r="R657">
        <v>2</v>
      </c>
      <c r="S657">
        <v>0</v>
      </c>
      <c r="AB657" t="str">
        <f t="shared" si="30"/>
        <v>Normal</v>
      </c>
      <c r="AC657" t="str">
        <f t="shared" si="31"/>
        <v>Normal</v>
      </c>
    </row>
    <row r="658" spans="4:29" x14ac:dyDescent="0.25">
      <c r="D658" t="s">
        <v>44</v>
      </c>
      <c r="E658">
        <v>1.2</v>
      </c>
      <c r="F658">
        <v>34</v>
      </c>
      <c r="G658">
        <v>337</v>
      </c>
      <c r="H658">
        <v>252</v>
      </c>
      <c r="I658" s="11">
        <f t="shared" si="32"/>
        <v>74.777448071216611</v>
      </c>
      <c r="J658">
        <v>1</v>
      </c>
      <c r="K658" t="s">
        <v>36</v>
      </c>
      <c r="L658">
        <v>1</v>
      </c>
      <c r="M658" t="s">
        <v>36</v>
      </c>
      <c r="N658">
        <v>12</v>
      </c>
      <c r="O658">
        <v>4</v>
      </c>
      <c r="P658">
        <v>16</v>
      </c>
      <c r="Q658">
        <v>5</v>
      </c>
      <c r="R658">
        <v>2</v>
      </c>
      <c r="S658">
        <v>0</v>
      </c>
      <c r="AB658" t="str">
        <f t="shared" si="30"/>
        <v>Normal</v>
      </c>
      <c r="AC658" t="str">
        <f t="shared" si="31"/>
        <v>Normal</v>
      </c>
    </row>
    <row r="659" spans="4:29" x14ac:dyDescent="0.25">
      <c r="D659" t="s">
        <v>59</v>
      </c>
      <c r="E659">
        <v>0.1</v>
      </c>
      <c r="F659">
        <v>44</v>
      </c>
      <c r="G659">
        <v>462</v>
      </c>
      <c r="H659">
        <v>364</v>
      </c>
      <c r="I659" s="11">
        <f t="shared" si="32"/>
        <v>78.787878787878782</v>
      </c>
      <c r="J659">
        <v>0</v>
      </c>
      <c r="K659" t="s">
        <v>35</v>
      </c>
      <c r="L659">
        <v>0</v>
      </c>
      <c r="M659" t="s">
        <v>36</v>
      </c>
      <c r="N659">
        <v>3</v>
      </c>
      <c r="O659">
        <v>3</v>
      </c>
      <c r="P659">
        <v>13</v>
      </c>
      <c r="Q659">
        <v>2</v>
      </c>
      <c r="R659">
        <v>0</v>
      </c>
      <c r="S659">
        <v>0</v>
      </c>
      <c r="AB659" t="str">
        <f t="shared" si="30"/>
        <v>Normal</v>
      </c>
      <c r="AC659" t="str">
        <f t="shared" si="31"/>
        <v>Normal</v>
      </c>
    </row>
    <row r="660" spans="4:29" x14ac:dyDescent="0.25">
      <c r="D660" t="s">
        <v>49</v>
      </c>
      <c r="E660">
        <v>2.2000000000000002</v>
      </c>
      <c r="F660">
        <v>39</v>
      </c>
      <c r="G660">
        <v>370</v>
      </c>
      <c r="H660">
        <v>274</v>
      </c>
      <c r="I660" s="11">
        <f t="shared" si="32"/>
        <v>74.054054054054049</v>
      </c>
      <c r="J660">
        <v>2</v>
      </c>
      <c r="K660" t="s">
        <v>36</v>
      </c>
      <c r="L660">
        <v>1</v>
      </c>
      <c r="M660" t="s">
        <v>40</v>
      </c>
      <c r="N660">
        <v>17</v>
      </c>
      <c r="O660">
        <v>8</v>
      </c>
      <c r="P660">
        <v>16</v>
      </c>
      <c r="Q660">
        <v>6</v>
      </c>
      <c r="R660">
        <v>3</v>
      </c>
      <c r="S660">
        <v>0</v>
      </c>
      <c r="AB660" t="str">
        <f t="shared" si="30"/>
        <v>Normal</v>
      </c>
      <c r="AC660" t="str">
        <f t="shared" si="31"/>
        <v>Normal</v>
      </c>
    </row>
    <row r="661" spans="4:29" x14ac:dyDescent="0.25">
      <c r="D661" t="s">
        <v>42</v>
      </c>
      <c r="E661">
        <v>1.6</v>
      </c>
      <c r="F661">
        <v>68</v>
      </c>
      <c r="G661">
        <v>644</v>
      </c>
      <c r="H661">
        <v>553</v>
      </c>
      <c r="I661" s="11">
        <f t="shared" si="32"/>
        <v>85.869565217391312</v>
      </c>
      <c r="J661">
        <v>1</v>
      </c>
      <c r="K661" t="s">
        <v>36</v>
      </c>
      <c r="L661">
        <v>0</v>
      </c>
      <c r="M661" t="s">
        <v>35</v>
      </c>
      <c r="N661">
        <v>17</v>
      </c>
      <c r="O661">
        <v>6</v>
      </c>
      <c r="P661">
        <v>11</v>
      </c>
      <c r="Q661">
        <v>9</v>
      </c>
      <c r="R661">
        <v>1</v>
      </c>
      <c r="S661">
        <v>0</v>
      </c>
      <c r="AB661" t="str">
        <f t="shared" si="30"/>
        <v>Normal</v>
      </c>
      <c r="AC661" t="str">
        <f t="shared" si="31"/>
        <v>Normal</v>
      </c>
    </row>
    <row r="662" spans="4:29" x14ac:dyDescent="0.25">
      <c r="D662" t="s">
        <v>46</v>
      </c>
      <c r="E662">
        <v>1.4</v>
      </c>
      <c r="F662">
        <v>49</v>
      </c>
      <c r="G662">
        <v>484</v>
      </c>
      <c r="H662">
        <v>384</v>
      </c>
      <c r="I662" s="11">
        <f t="shared" si="32"/>
        <v>79.338842975206617</v>
      </c>
      <c r="J662">
        <v>1</v>
      </c>
      <c r="K662" t="s">
        <v>40</v>
      </c>
      <c r="L662">
        <v>0</v>
      </c>
      <c r="M662" t="s">
        <v>36</v>
      </c>
      <c r="N662">
        <v>9</v>
      </c>
      <c r="O662">
        <v>3</v>
      </c>
      <c r="P662">
        <v>15</v>
      </c>
      <c r="Q662">
        <v>4</v>
      </c>
      <c r="R662">
        <v>1</v>
      </c>
      <c r="S662">
        <v>0</v>
      </c>
      <c r="AB662" t="str">
        <f t="shared" si="30"/>
        <v>Normal</v>
      </c>
      <c r="AC662" t="str">
        <f t="shared" si="31"/>
        <v>Normal</v>
      </c>
    </row>
    <row r="663" spans="4:29" x14ac:dyDescent="0.25">
      <c r="D663" t="s">
        <v>51</v>
      </c>
      <c r="E663">
        <v>0.8</v>
      </c>
      <c r="F663">
        <v>46</v>
      </c>
      <c r="G663">
        <v>474</v>
      </c>
      <c r="H663">
        <v>377</v>
      </c>
      <c r="I663" s="11">
        <f t="shared" si="32"/>
        <v>79.53586497890295</v>
      </c>
      <c r="J663">
        <v>1</v>
      </c>
      <c r="K663" t="s">
        <v>36</v>
      </c>
      <c r="L663">
        <v>0</v>
      </c>
      <c r="M663" t="s">
        <v>36</v>
      </c>
      <c r="N663">
        <v>10</v>
      </c>
      <c r="O663">
        <v>5</v>
      </c>
      <c r="P663">
        <v>8</v>
      </c>
      <c r="Q663">
        <v>5</v>
      </c>
      <c r="R663">
        <v>2</v>
      </c>
      <c r="S663">
        <v>0</v>
      </c>
      <c r="AB663" t="str">
        <f t="shared" si="30"/>
        <v>Normal</v>
      </c>
      <c r="AC663" t="str">
        <f t="shared" si="31"/>
        <v>Normal</v>
      </c>
    </row>
    <row r="664" spans="4:29" x14ac:dyDescent="0.25">
      <c r="D664" t="s">
        <v>48</v>
      </c>
      <c r="E664">
        <v>1.5</v>
      </c>
      <c r="F664">
        <v>45</v>
      </c>
      <c r="G664">
        <v>392</v>
      </c>
      <c r="H664">
        <v>298</v>
      </c>
      <c r="I664" s="11">
        <f t="shared" si="32"/>
        <v>76.020408163265301</v>
      </c>
      <c r="J664">
        <v>4</v>
      </c>
      <c r="K664" t="s">
        <v>40</v>
      </c>
      <c r="L664">
        <v>3</v>
      </c>
      <c r="M664" t="s">
        <v>40</v>
      </c>
      <c r="N664">
        <v>11</v>
      </c>
      <c r="O664">
        <v>6</v>
      </c>
      <c r="P664">
        <v>13</v>
      </c>
      <c r="Q664">
        <v>3</v>
      </c>
      <c r="R664">
        <v>1</v>
      </c>
      <c r="S664">
        <v>0</v>
      </c>
      <c r="AB664" t="str">
        <f t="shared" si="30"/>
        <v>Normal</v>
      </c>
      <c r="AC664" t="str">
        <f t="shared" si="31"/>
        <v>Normal</v>
      </c>
    </row>
    <row r="665" spans="4:29" x14ac:dyDescent="0.25">
      <c r="D665" t="s">
        <v>45</v>
      </c>
      <c r="E665">
        <v>2</v>
      </c>
      <c r="F665">
        <v>40</v>
      </c>
      <c r="G665">
        <v>363</v>
      </c>
      <c r="H665">
        <v>272</v>
      </c>
      <c r="I665" s="11">
        <f t="shared" si="32"/>
        <v>74.931129476584019</v>
      </c>
      <c r="J665">
        <v>2</v>
      </c>
      <c r="K665" t="s">
        <v>36</v>
      </c>
      <c r="L665">
        <v>1</v>
      </c>
      <c r="M665" t="s">
        <v>35</v>
      </c>
      <c r="N665">
        <v>15</v>
      </c>
      <c r="O665">
        <v>3</v>
      </c>
      <c r="P665">
        <v>10</v>
      </c>
      <c r="Q665">
        <v>5</v>
      </c>
      <c r="R665">
        <v>5</v>
      </c>
      <c r="S665">
        <v>0</v>
      </c>
      <c r="AB665" t="str">
        <f t="shared" si="30"/>
        <v>Normal</v>
      </c>
      <c r="AC665" t="str">
        <f t="shared" si="31"/>
        <v>Normal</v>
      </c>
    </row>
    <row r="666" spans="4:29" x14ac:dyDescent="0.25">
      <c r="D666" t="s">
        <v>43</v>
      </c>
      <c r="E666">
        <v>0.4</v>
      </c>
      <c r="F666">
        <v>40</v>
      </c>
      <c r="G666">
        <v>437</v>
      </c>
      <c r="H666">
        <v>368</v>
      </c>
      <c r="I666" s="11">
        <f t="shared" si="32"/>
        <v>84.210526315789465</v>
      </c>
      <c r="J666">
        <v>2</v>
      </c>
      <c r="K666" t="s">
        <v>40</v>
      </c>
      <c r="L666">
        <v>1</v>
      </c>
      <c r="M666" t="s">
        <v>40</v>
      </c>
      <c r="N666">
        <v>5</v>
      </c>
      <c r="O666">
        <v>3</v>
      </c>
      <c r="P666">
        <v>13</v>
      </c>
      <c r="Q666">
        <v>1</v>
      </c>
      <c r="R666">
        <v>0</v>
      </c>
      <c r="S666">
        <v>0</v>
      </c>
      <c r="AB666" t="str">
        <f t="shared" si="30"/>
        <v>Normal</v>
      </c>
      <c r="AC666" t="str">
        <f t="shared" si="31"/>
        <v>Normal</v>
      </c>
    </row>
    <row r="667" spans="4:29" x14ac:dyDescent="0.25">
      <c r="D667" t="s">
        <v>54</v>
      </c>
      <c r="E667">
        <v>0.8</v>
      </c>
      <c r="F667">
        <v>42</v>
      </c>
      <c r="G667">
        <v>386</v>
      </c>
      <c r="H667">
        <v>261</v>
      </c>
      <c r="I667" s="11">
        <f t="shared" si="32"/>
        <v>67.616580310880821</v>
      </c>
      <c r="J667">
        <v>2</v>
      </c>
      <c r="K667" t="s">
        <v>40</v>
      </c>
      <c r="L667">
        <v>1</v>
      </c>
      <c r="M667" t="s">
        <v>36</v>
      </c>
      <c r="N667">
        <v>10</v>
      </c>
      <c r="O667">
        <v>4</v>
      </c>
      <c r="P667">
        <v>7</v>
      </c>
      <c r="Q667">
        <v>3</v>
      </c>
      <c r="R667">
        <v>0</v>
      </c>
      <c r="S667">
        <v>0</v>
      </c>
      <c r="AB667" t="str">
        <f t="shared" si="30"/>
        <v>Normal</v>
      </c>
      <c r="AC667" t="str">
        <f t="shared" si="31"/>
        <v>Normal</v>
      </c>
    </row>
    <row r="668" spans="4:29" x14ac:dyDescent="0.25">
      <c r="D668" t="s">
        <v>57</v>
      </c>
      <c r="E668">
        <v>0.4</v>
      </c>
      <c r="F668">
        <v>58</v>
      </c>
      <c r="G668">
        <v>548</v>
      </c>
      <c r="H668">
        <v>466</v>
      </c>
      <c r="I668" s="11">
        <f t="shared" si="32"/>
        <v>85.03649635036497</v>
      </c>
      <c r="J668">
        <v>0</v>
      </c>
      <c r="K668" t="s">
        <v>35</v>
      </c>
      <c r="L668">
        <v>0</v>
      </c>
      <c r="M668" t="s">
        <v>35</v>
      </c>
      <c r="N668">
        <v>8</v>
      </c>
      <c r="O668">
        <v>2</v>
      </c>
      <c r="P668">
        <v>13</v>
      </c>
      <c r="Q668">
        <v>4</v>
      </c>
      <c r="R668">
        <v>3</v>
      </c>
      <c r="S668">
        <v>0</v>
      </c>
      <c r="AB668" t="str">
        <f t="shared" si="30"/>
        <v>Normal</v>
      </c>
      <c r="AC668" t="str">
        <f t="shared" si="31"/>
        <v>Normal</v>
      </c>
    </row>
    <row r="669" spans="4:29" x14ac:dyDescent="0.25">
      <c r="D669" t="s">
        <v>60</v>
      </c>
      <c r="E669">
        <v>0.9</v>
      </c>
      <c r="F669">
        <v>43</v>
      </c>
      <c r="G669">
        <v>451</v>
      </c>
      <c r="H669">
        <v>376</v>
      </c>
      <c r="I669" s="11">
        <f t="shared" si="32"/>
        <v>83.370288248337033</v>
      </c>
      <c r="J669">
        <v>0</v>
      </c>
      <c r="K669" t="s">
        <v>35</v>
      </c>
      <c r="L669">
        <v>0</v>
      </c>
      <c r="M669" t="s">
        <v>36</v>
      </c>
      <c r="N669">
        <v>12</v>
      </c>
      <c r="O669">
        <v>4</v>
      </c>
      <c r="P669">
        <v>10</v>
      </c>
      <c r="Q669">
        <v>5</v>
      </c>
      <c r="R669">
        <v>0</v>
      </c>
      <c r="S669">
        <v>0</v>
      </c>
      <c r="AB669" t="str">
        <f t="shared" si="30"/>
        <v>Normal</v>
      </c>
      <c r="AC669" t="str">
        <f t="shared" si="31"/>
        <v>Normal</v>
      </c>
    </row>
    <row r="670" spans="4:29" x14ac:dyDescent="0.25">
      <c r="D670" t="s">
        <v>33</v>
      </c>
      <c r="E670">
        <v>0.9</v>
      </c>
      <c r="F670">
        <v>47</v>
      </c>
      <c r="G670">
        <v>503</v>
      </c>
      <c r="H670">
        <v>383</v>
      </c>
      <c r="I670" s="11">
        <f t="shared" si="32"/>
        <v>76.143141153081501</v>
      </c>
      <c r="J670">
        <v>3</v>
      </c>
      <c r="K670" t="s">
        <v>40</v>
      </c>
      <c r="L670">
        <v>1</v>
      </c>
      <c r="M670" t="s">
        <v>40</v>
      </c>
      <c r="N670">
        <v>18</v>
      </c>
      <c r="O670">
        <v>5</v>
      </c>
      <c r="P670">
        <v>6</v>
      </c>
      <c r="Q670">
        <v>4</v>
      </c>
      <c r="R670">
        <v>0</v>
      </c>
      <c r="S670">
        <v>0</v>
      </c>
      <c r="AB670" t="str">
        <f t="shared" si="30"/>
        <v>Normal</v>
      </c>
      <c r="AC670" t="str">
        <f t="shared" si="31"/>
        <v>Normal</v>
      </c>
    </row>
    <row r="671" spans="4:29" x14ac:dyDescent="0.25">
      <c r="D671" t="s">
        <v>34</v>
      </c>
      <c r="E671">
        <v>1</v>
      </c>
      <c r="F671">
        <v>49</v>
      </c>
      <c r="G671">
        <v>500</v>
      </c>
      <c r="H671">
        <v>424</v>
      </c>
      <c r="I671" s="11">
        <f t="shared" si="32"/>
        <v>84.8</v>
      </c>
      <c r="J671">
        <v>1</v>
      </c>
      <c r="K671" t="s">
        <v>35</v>
      </c>
      <c r="L671">
        <v>0</v>
      </c>
      <c r="M671" t="s">
        <v>35</v>
      </c>
      <c r="N671">
        <v>9</v>
      </c>
      <c r="O671">
        <v>3</v>
      </c>
      <c r="P671">
        <v>10</v>
      </c>
      <c r="Q671">
        <v>4</v>
      </c>
      <c r="R671">
        <v>2</v>
      </c>
      <c r="S671">
        <v>0</v>
      </c>
      <c r="AB671" t="str">
        <f t="shared" si="30"/>
        <v>Normal</v>
      </c>
      <c r="AC671" t="str">
        <f t="shared" si="31"/>
        <v>Normal</v>
      </c>
    </row>
    <row r="672" spans="4:29" x14ac:dyDescent="0.25">
      <c r="D672" t="s">
        <v>51</v>
      </c>
      <c r="E672">
        <v>1.3</v>
      </c>
      <c r="F672">
        <v>58</v>
      </c>
      <c r="G672">
        <v>614</v>
      </c>
      <c r="H672">
        <v>518</v>
      </c>
      <c r="I672" s="11">
        <f t="shared" si="32"/>
        <v>84.364820846905545</v>
      </c>
      <c r="J672">
        <v>0</v>
      </c>
      <c r="K672" t="s">
        <v>35</v>
      </c>
      <c r="L672">
        <v>0</v>
      </c>
      <c r="M672" t="s">
        <v>35</v>
      </c>
      <c r="N672">
        <v>10</v>
      </c>
      <c r="O672">
        <v>1</v>
      </c>
      <c r="P672">
        <v>12</v>
      </c>
      <c r="Q672">
        <v>2</v>
      </c>
      <c r="R672">
        <v>2</v>
      </c>
      <c r="S672">
        <v>0</v>
      </c>
      <c r="AB672" t="str">
        <f t="shared" si="30"/>
        <v>Normal</v>
      </c>
      <c r="AC672" t="str">
        <f t="shared" si="31"/>
        <v>Normal</v>
      </c>
    </row>
    <row r="673" spans="4:29" x14ac:dyDescent="0.25">
      <c r="D673" t="s">
        <v>33</v>
      </c>
      <c r="E673">
        <v>1.6</v>
      </c>
      <c r="F673">
        <v>68</v>
      </c>
      <c r="G673">
        <v>707</v>
      </c>
      <c r="H673">
        <v>587</v>
      </c>
      <c r="I673" s="11">
        <f t="shared" si="32"/>
        <v>83.026874115983034</v>
      </c>
      <c r="J673">
        <v>0</v>
      </c>
      <c r="K673" t="s">
        <v>35</v>
      </c>
      <c r="L673">
        <v>0</v>
      </c>
      <c r="M673" t="s">
        <v>35</v>
      </c>
      <c r="N673">
        <v>23</v>
      </c>
      <c r="O673">
        <v>6</v>
      </c>
      <c r="P673">
        <v>12</v>
      </c>
      <c r="Q673">
        <v>10</v>
      </c>
      <c r="R673">
        <v>3</v>
      </c>
      <c r="S673">
        <v>0</v>
      </c>
      <c r="AB673" t="str">
        <f t="shared" si="30"/>
        <v>Normal</v>
      </c>
      <c r="AC673" t="str">
        <f t="shared" si="31"/>
        <v>Normal</v>
      </c>
    </row>
    <row r="674" spans="4:29" x14ac:dyDescent="0.25">
      <c r="D674" t="s">
        <v>38</v>
      </c>
      <c r="E674">
        <v>1.2</v>
      </c>
      <c r="F674">
        <v>37</v>
      </c>
      <c r="G674">
        <v>336</v>
      </c>
      <c r="H674">
        <v>226</v>
      </c>
      <c r="I674" s="11">
        <f t="shared" si="32"/>
        <v>67.261904761904773</v>
      </c>
      <c r="J674">
        <v>2</v>
      </c>
      <c r="K674" t="s">
        <v>40</v>
      </c>
      <c r="L674">
        <v>1</v>
      </c>
      <c r="M674" t="s">
        <v>40</v>
      </c>
      <c r="N674">
        <v>10</v>
      </c>
      <c r="O674">
        <v>2</v>
      </c>
      <c r="P674">
        <v>15</v>
      </c>
      <c r="Q674">
        <v>3</v>
      </c>
      <c r="R674">
        <v>2</v>
      </c>
      <c r="S674">
        <v>0</v>
      </c>
      <c r="AB674" t="str">
        <f t="shared" si="30"/>
        <v>Normal</v>
      </c>
      <c r="AC674" t="str">
        <f t="shared" si="31"/>
        <v>Normal</v>
      </c>
    </row>
    <row r="675" spans="4:29" x14ac:dyDescent="0.25">
      <c r="D675" t="s">
        <v>52</v>
      </c>
      <c r="E675">
        <v>1.2</v>
      </c>
      <c r="F675">
        <v>44</v>
      </c>
      <c r="G675">
        <v>405</v>
      </c>
      <c r="H675">
        <v>333</v>
      </c>
      <c r="I675" s="11">
        <f t="shared" si="32"/>
        <v>82.222222222222214</v>
      </c>
      <c r="J675">
        <v>3</v>
      </c>
      <c r="K675" t="s">
        <v>40</v>
      </c>
      <c r="L675">
        <v>0</v>
      </c>
      <c r="M675" t="s">
        <v>36</v>
      </c>
      <c r="N675">
        <v>8</v>
      </c>
      <c r="O675">
        <v>5</v>
      </c>
      <c r="P675">
        <v>11</v>
      </c>
      <c r="Q675">
        <v>0</v>
      </c>
      <c r="R675">
        <v>3</v>
      </c>
      <c r="S675">
        <v>0</v>
      </c>
      <c r="AB675" t="str">
        <f t="shared" si="30"/>
        <v>Normal</v>
      </c>
      <c r="AC675" t="str">
        <f t="shared" si="31"/>
        <v>Normal</v>
      </c>
    </row>
    <row r="676" spans="4:29" x14ac:dyDescent="0.25">
      <c r="D676" t="s">
        <v>59</v>
      </c>
      <c r="E676">
        <v>0.1</v>
      </c>
      <c r="F676">
        <v>28</v>
      </c>
      <c r="G676">
        <v>320</v>
      </c>
      <c r="H676">
        <v>253</v>
      </c>
      <c r="I676" s="11">
        <f t="shared" si="32"/>
        <v>79.0625</v>
      </c>
      <c r="J676">
        <v>0</v>
      </c>
      <c r="K676" t="s">
        <v>35</v>
      </c>
      <c r="L676">
        <v>0</v>
      </c>
      <c r="M676" t="s">
        <v>35</v>
      </c>
      <c r="N676">
        <v>2</v>
      </c>
      <c r="O676">
        <v>0</v>
      </c>
      <c r="P676">
        <v>8</v>
      </c>
      <c r="Q676">
        <v>0</v>
      </c>
      <c r="R676">
        <v>4</v>
      </c>
      <c r="S676">
        <v>0</v>
      </c>
      <c r="AB676" t="str">
        <f t="shared" si="30"/>
        <v>Normal</v>
      </c>
      <c r="AC676" t="str">
        <f t="shared" si="31"/>
        <v>Normal</v>
      </c>
    </row>
    <row r="677" spans="4:29" x14ac:dyDescent="0.25">
      <c r="D677" t="s">
        <v>54</v>
      </c>
      <c r="E677">
        <v>1.5</v>
      </c>
      <c r="F677">
        <v>51</v>
      </c>
      <c r="G677">
        <v>459</v>
      </c>
      <c r="H677">
        <v>344</v>
      </c>
      <c r="I677" s="11">
        <f t="shared" si="32"/>
        <v>74.945533769063175</v>
      </c>
      <c r="J677">
        <v>1</v>
      </c>
      <c r="K677" t="s">
        <v>35</v>
      </c>
      <c r="L677">
        <v>0</v>
      </c>
      <c r="M677" t="s">
        <v>35</v>
      </c>
      <c r="N677">
        <v>12</v>
      </c>
      <c r="O677">
        <v>3</v>
      </c>
      <c r="P677">
        <v>12</v>
      </c>
      <c r="Q677">
        <v>5</v>
      </c>
      <c r="R677">
        <v>1</v>
      </c>
      <c r="S677">
        <v>0</v>
      </c>
      <c r="AB677" t="str">
        <f t="shared" si="30"/>
        <v>Normal</v>
      </c>
      <c r="AC677" t="str">
        <f t="shared" si="31"/>
        <v>Normal</v>
      </c>
    </row>
    <row r="678" spans="4:29" x14ac:dyDescent="0.25">
      <c r="D678" t="s">
        <v>55</v>
      </c>
      <c r="E678">
        <v>0.7</v>
      </c>
      <c r="F678">
        <v>57</v>
      </c>
      <c r="G678">
        <v>562</v>
      </c>
      <c r="H678">
        <v>462</v>
      </c>
      <c r="I678" s="11">
        <f t="shared" si="32"/>
        <v>82.206405693950174</v>
      </c>
      <c r="J678">
        <v>1</v>
      </c>
      <c r="K678" t="s">
        <v>36</v>
      </c>
      <c r="L678">
        <v>0</v>
      </c>
      <c r="M678" t="s">
        <v>35</v>
      </c>
      <c r="N678">
        <v>9</v>
      </c>
      <c r="O678">
        <v>3</v>
      </c>
      <c r="P678">
        <v>9</v>
      </c>
      <c r="Q678">
        <v>2</v>
      </c>
      <c r="R678">
        <v>1</v>
      </c>
      <c r="S678">
        <v>0</v>
      </c>
      <c r="AB678" t="str">
        <f t="shared" si="30"/>
        <v>Normal</v>
      </c>
      <c r="AC678" t="str">
        <f t="shared" si="31"/>
        <v>Normal</v>
      </c>
    </row>
    <row r="679" spans="4:29" x14ac:dyDescent="0.25">
      <c r="D679" t="s">
        <v>44</v>
      </c>
      <c r="E679">
        <v>0.9</v>
      </c>
      <c r="F679">
        <v>27</v>
      </c>
      <c r="G679">
        <v>242</v>
      </c>
      <c r="H679">
        <v>143</v>
      </c>
      <c r="I679" s="11">
        <f t="shared" si="32"/>
        <v>59.090909090909093</v>
      </c>
      <c r="J679">
        <v>0</v>
      </c>
      <c r="K679" t="s">
        <v>35</v>
      </c>
      <c r="L679">
        <v>0</v>
      </c>
      <c r="M679" t="s">
        <v>36</v>
      </c>
      <c r="N679">
        <v>5</v>
      </c>
      <c r="O679">
        <v>0</v>
      </c>
      <c r="P679">
        <v>11</v>
      </c>
      <c r="Q679">
        <v>5</v>
      </c>
      <c r="R679">
        <v>2</v>
      </c>
      <c r="S679">
        <v>0</v>
      </c>
      <c r="AB679" t="str">
        <f t="shared" si="30"/>
        <v>Normal</v>
      </c>
      <c r="AC679" t="str">
        <f t="shared" si="31"/>
        <v>Normal</v>
      </c>
    </row>
    <row r="680" spans="4:29" x14ac:dyDescent="0.25">
      <c r="D680" t="s">
        <v>60</v>
      </c>
      <c r="E680">
        <v>0.9</v>
      </c>
      <c r="F680">
        <v>49</v>
      </c>
      <c r="G680">
        <v>475</v>
      </c>
      <c r="H680">
        <v>401</v>
      </c>
      <c r="I680" s="11">
        <f t="shared" si="32"/>
        <v>84.421052631578959</v>
      </c>
      <c r="J680">
        <v>0</v>
      </c>
      <c r="K680" t="s">
        <v>35</v>
      </c>
      <c r="L680">
        <v>0</v>
      </c>
      <c r="M680" t="s">
        <v>36</v>
      </c>
      <c r="N680">
        <v>8</v>
      </c>
      <c r="O680">
        <v>2</v>
      </c>
      <c r="P680">
        <v>16</v>
      </c>
      <c r="Q680">
        <v>6</v>
      </c>
      <c r="R680">
        <v>5</v>
      </c>
      <c r="S680">
        <v>0</v>
      </c>
      <c r="AB680" t="str">
        <f t="shared" si="30"/>
        <v>Normal</v>
      </c>
      <c r="AC680" t="str">
        <f t="shared" si="31"/>
        <v>Normal</v>
      </c>
    </row>
    <row r="681" spans="4:29" x14ac:dyDescent="0.25">
      <c r="D681" t="s">
        <v>42</v>
      </c>
      <c r="E681">
        <v>1.8</v>
      </c>
      <c r="F681">
        <v>69</v>
      </c>
      <c r="G681">
        <v>495</v>
      </c>
      <c r="H681">
        <v>415</v>
      </c>
      <c r="I681" s="11">
        <f t="shared" si="32"/>
        <v>83.838383838383834</v>
      </c>
      <c r="J681">
        <v>1</v>
      </c>
      <c r="K681" t="s">
        <v>36</v>
      </c>
      <c r="L681">
        <v>1</v>
      </c>
      <c r="M681" t="s">
        <v>40</v>
      </c>
      <c r="N681">
        <v>14</v>
      </c>
      <c r="O681">
        <v>5</v>
      </c>
      <c r="P681">
        <v>13</v>
      </c>
      <c r="Q681">
        <v>8</v>
      </c>
      <c r="R681">
        <v>1</v>
      </c>
      <c r="S681">
        <v>0</v>
      </c>
      <c r="AB681" t="str">
        <f t="shared" si="30"/>
        <v>Normal</v>
      </c>
      <c r="AC681" t="str">
        <f t="shared" si="31"/>
        <v>Normal</v>
      </c>
    </row>
    <row r="682" spans="4:29" x14ac:dyDescent="0.25">
      <c r="D682" t="s">
        <v>45</v>
      </c>
      <c r="E682">
        <v>1</v>
      </c>
      <c r="F682">
        <v>62</v>
      </c>
      <c r="G682">
        <v>592</v>
      </c>
      <c r="H682">
        <v>490</v>
      </c>
      <c r="I682" s="11">
        <f t="shared" si="32"/>
        <v>82.770270270270274</v>
      </c>
      <c r="J682">
        <v>1</v>
      </c>
      <c r="K682" t="s">
        <v>35</v>
      </c>
      <c r="L682">
        <v>1</v>
      </c>
      <c r="M682" t="s">
        <v>36</v>
      </c>
      <c r="N682">
        <v>11</v>
      </c>
      <c r="O682">
        <v>5</v>
      </c>
      <c r="P682">
        <v>13</v>
      </c>
      <c r="Q682">
        <v>4</v>
      </c>
      <c r="R682">
        <v>1</v>
      </c>
      <c r="S682">
        <v>1</v>
      </c>
      <c r="AB682" t="str">
        <f t="shared" si="30"/>
        <v>Normal</v>
      </c>
      <c r="AC682" t="str">
        <f t="shared" si="31"/>
        <v>Normal</v>
      </c>
    </row>
    <row r="683" spans="4:29" x14ac:dyDescent="0.25">
      <c r="D683" t="s">
        <v>43</v>
      </c>
      <c r="E683">
        <v>2.6</v>
      </c>
      <c r="F683">
        <v>55</v>
      </c>
      <c r="G683">
        <v>455</v>
      </c>
      <c r="H683">
        <v>368</v>
      </c>
      <c r="I683" s="11">
        <f t="shared" si="32"/>
        <v>80.879120879120876</v>
      </c>
      <c r="J683">
        <v>2</v>
      </c>
      <c r="K683" t="s">
        <v>40</v>
      </c>
      <c r="L683">
        <v>0</v>
      </c>
      <c r="M683" t="s">
        <v>35</v>
      </c>
      <c r="N683">
        <v>22</v>
      </c>
      <c r="O683">
        <v>7</v>
      </c>
      <c r="P683">
        <v>16</v>
      </c>
      <c r="Q683">
        <v>8</v>
      </c>
      <c r="R683">
        <v>2</v>
      </c>
      <c r="S683">
        <v>0</v>
      </c>
      <c r="AB683" t="str">
        <f t="shared" si="30"/>
        <v>Normal</v>
      </c>
      <c r="AC683" t="str">
        <f t="shared" si="31"/>
        <v>Normal</v>
      </c>
    </row>
    <row r="684" spans="4:29" x14ac:dyDescent="0.25">
      <c r="D684" t="s">
        <v>49</v>
      </c>
      <c r="E684">
        <v>2.1</v>
      </c>
      <c r="F684">
        <v>44</v>
      </c>
      <c r="G684">
        <v>410</v>
      </c>
      <c r="H684">
        <v>290</v>
      </c>
      <c r="I684" s="11">
        <f t="shared" si="32"/>
        <v>70.731707317073173</v>
      </c>
      <c r="J684">
        <v>2</v>
      </c>
      <c r="K684" t="s">
        <v>36</v>
      </c>
      <c r="L684">
        <v>1</v>
      </c>
      <c r="M684" t="s">
        <v>40</v>
      </c>
      <c r="N684">
        <v>11</v>
      </c>
      <c r="O684">
        <v>4</v>
      </c>
      <c r="P684">
        <v>13</v>
      </c>
      <c r="Q684">
        <v>7</v>
      </c>
      <c r="R684">
        <v>2</v>
      </c>
      <c r="S684">
        <v>0</v>
      </c>
      <c r="AB684" t="str">
        <f t="shared" si="30"/>
        <v>Normal</v>
      </c>
      <c r="AC684" t="str">
        <f t="shared" si="31"/>
        <v>Normal</v>
      </c>
    </row>
    <row r="685" spans="4:29" x14ac:dyDescent="0.25">
      <c r="D685" t="s">
        <v>48</v>
      </c>
      <c r="E685">
        <v>1.5</v>
      </c>
      <c r="F685">
        <v>48</v>
      </c>
      <c r="G685">
        <v>424</v>
      </c>
      <c r="H685">
        <v>341</v>
      </c>
      <c r="I685" s="11">
        <f t="shared" si="32"/>
        <v>80.424528301886795</v>
      </c>
      <c r="J685">
        <v>1</v>
      </c>
      <c r="K685" t="s">
        <v>35</v>
      </c>
      <c r="L685">
        <v>0</v>
      </c>
      <c r="M685" t="s">
        <v>35</v>
      </c>
      <c r="N685">
        <v>19</v>
      </c>
      <c r="O685">
        <v>3</v>
      </c>
      <c r="P685">
        <v>15</v>
      </c>
      <c r="Q685">
        <v>4</v>
      </c>
      <c r="R685">
        <v>2</v>
      </c>
      <c r="S685">
        <v>0</v>
      </c>
      <c r="AB685" t="str">
        <f t="shared" si="30"/>
        <v>Normal</v>
      </c>
      <c r="AC685" t="str">
        <f t="shared" si="31"/>
        <v>Normal</v>
      </c>
    </row>
    <row r="686" spans="4:29" x14ac:dyDescent="0.25">
      <c r="D686" t="s">
        <v>57</v>
      </c>
      <c r="E686">
        <v>1.2</v>
      </c>
      <c r="F686">
        <v>58</v>
      </c>
      <c r="G686">
        <v>519</v>
      </c>
      <c r="H686">
        <v>425</v>
      </c>
      <c r="I686" s="11">
        <f t="shared" si="32"/>
        <v>81.888246628131029</v>
      </c>
      <c r="J686">
        <v>0</v>
      </c>
      <c r="K686" t="s">
        <v>36</v>
      </c>
      <c r="L686">
        <v>0</v>
      </c>
      <c r="M686" t="s">
        <v>36</v>
      </c>
      <c r="N686">
        <v>21</v>
      </c>
      <c r="O686">
        <v>5</v>
      </c>
      <c r="P686">
        <v>12</v>
      </c>
      <c r="Q686">
        <v>6</v>
      </c>
      <c r="R686">
        <v>3</v>
      </c>
      <c r="S686">
        <v>0</v>
      </c>
      <c r="AB686" t="str">
        <f t="shared" si="30"/>
        <v>Normal</v>
      </c>
      <c r="AC686" t="str">
        <f t="shared" si="31"/>
        <v>Normal</v>
      </c>
    </row>
    <row r="687" spans="4:29" x14ac:dyDescent="0.25">
      <c r="D687" t="s">
        <v>39</v>
      </c>
      <c r="E687">
        <v>1.5</v>
      </c>
      <c r="F687">
        <v>63</v>
      </c>
      <c r="G687">
        <v>612</v>
      </c>
      <c r="H687">
        <v>502</v>
      </c>
      <c r="I687" s="11">
        <f t="shared" si="32"/>
        <v>82.026143790849673</v>
      </c>
      <c r="J687">
        <v>2</v>
      </c>
      <c r="K687" t="s">
        <v>35</v>
      </c>
      <c r="L687">
        <v>1</v>
      </c>
      <c r="M687" t="s">
        <v>35</v>
      </c>
      <c r="N687">
        <v>14</v>
      </c>
      <c r="O687">
        <v>6</v>
      </c>
      <c r="P687">
        <v>9</v>
      </c>
      <c r="Q687">
        <v>4</v>
      </c>
      <c r="R687">
        <v>0</v>
      </c>
      <c r="S687">
        <v>0</v>
      </c>
      <c r="AB687" t="str">
        <f t="shared" si="30"/>
        <v>Normal</v>
      </c>
      <c r="AC687" t="str">
        <f t="shared" si="31"/>
        <v>Normal</v>
      </c>
    </row>
    <row r="688" spans="4:29" x14ac:dyDescent="0.25">
      <c r="D688" t="s">
        <v>47</v>
      </c>
      <c r="E688">
        <v>1</v>
      </c>
      <c r="F688">
        <v>49</v>
      </c>
      <c r="G688">
        <v>497</v>
      </c>
      <c r="H688">
        <v>429</v>
      </c>
      <c r="I688" s="11">
        <f t="shared" si="32"/>
        <v>86.317907444668009</v>
      </c>
      <c r="J688">
        <v>1</v>
      </c>
      <c r="K688" t="s">
        <v>35</v>
      </c>
      <c r="L688">
        <v>0</v>
      </c>
      <c r="M688" t="s">
        <v>35</v>
      </c>
      <c r="N688">
        <v>12</v>
      </c>
      <c r="O688">
        <v>4</v>
      </c>
      <c r="P688">
        <v>20</v>
      </c>
      <c r="Q688">
        <v>1</v>
      </c>
      <c r="R688">
        <v>1</v>
      </c>
      <c r="S688">
        <v>0</v>
      </c>
      <c r="AB688" t="str">
        <f t="shared" si="30"/>
        <v>Normal</v>
      </c>
      <c r="AC688" t="str">
        <f t="shared" si="31"/>
        <v>Normal</v>
      </c>
    </row>
    <row r="689" spans="4:29" x14ac:dyDescent="0.25">
      <c r="D689" t="s">
        <v>58</v>
      </c>
      <c r="E689">
        <v>0.5</v>
      </c>
      <c r="F689">
        <v>58</v>
      </c>
      <c r="G689">
        <v>596</v>
      </c>
      <c r="H689">
        <v>519</v>
      </c>
      <c r="I689" s="11">
        <f t="shared" si="32"/>
        <v>87.080536912751683</v>
      </c>
      <c r="J689">
        <v>0</v>
      </c>
      <c r="K689" t="s">
        <v>36</v>
      </c>
      <c r="L689">
        <v>0</v>
      </c>
      <c r="M689" t="s">
        <v>36</v>
      </c>
      <c r="N689">
        <v>9</v>
      </c>
      <c r="O689">
        <v>5</v>
      </c>
      <c r="P689">
        <v>9</v>
      </c>
      <c r="Q689">
        <v>3</v>
      </c>
      <c r="R689">
        <v>2</v>
      </c>
      <c r="S689">
        <v>0</v>
      </c>
      <c r="AB689" t="str">
        <f t="shared" si="30"/>
        <v>Normal</v>
      </c>
      <c r="AC689" t="str">
        <f t="shared" si="31"/>
        <v>Normal</v>
      </c>
    </row>
    <row r="690" spans="4:29" x14ac:dyDescent="0.25">
      <c r="D690" t="s">
        <v>46</v>
      </c>
      <c r="E690">
        <v>3.2</v>
      </c>
      <c r="F690">
        <v>42</v>
      </c>
      <c r="G690">
        <v>443</v>
      </c>
      <c r="H690">
        <v>352</v>
      </c>
      <c r="I690" s="11">
        <f t="shared" si="32"/>
        <v>79.458239277652368</v>
      </c>
      <c r="J690">
        <v>3</v>
      </c>
      <c r="K690" t="s">
        <v>40</v>
      </c>
      <c r="L690">
        <v>3</v>
      </c>
      <c r="M690" t="s">
        <v>40</v>
      </c>
      <c r="N690">
        <v>16</v>
      </c>
      <c r="O690">
        <v>5</v>
      </c>
      <c r="P690">
        <v>9</v>
      </c>
      <c r="Q690">
        <v>2</v>
      </c>
      <c r="R690">
        <v>0</v>
      </c>
      <c r="S690">
        <v>0</v>
      </c>
      <c r="AB690" t="str">
        <f t="shared" si="30"/>
        <v>Normal</v>
      </c>
      <c r="AC690" t="str">
        <f t="shared" si="31"/>
        <v>Normal</v>
      </c>
    </row>
    <row r="691" spans="4:29" x14ac:dyDescent="0.25">
      <c r="D691" t="s">
        <v>55</v>
      </c>
      <c r="E691">
        <v>1.8</v>
      </c>
      <c r="F691">
        <v>33</v>
      </c>
      <c r="G691">
        <v>374</v>
      </c>
      <c r="H691">
        <v>299</v>
      </c>
      <c r="I691" s="11">
        <f t="shared" si="32"/>
        <v>79.946524064171115</v>
      </c>
      <c r="J691">
        <v>2</v>
      </c>
      <c r="K691" t="s">
        <v>35</v>
      </c>
      <c r="L691">
        <v>2</v>
      </c>
      <c r="M691" t="s">
        <v>36</v>
      </c>
      <c r="N691">
        <v>8</v>
      </c>
      <c r="O691">
        <v>3</v>
      </c>
      <c r="P691">
        <v>16</v>
      </c>
      <c r="Q691">
        <v>4</v>
      </c>
      <c r="R691">
        <v>3</v>
      </c>
      <c r="S691">
        <v>0</v>
      </c>
      <c r="AB691" t="str">
        <f t="shared" si="30"/>
        <v>Normal</v>
      </c>
      <c r="AC691" t="str">
        <f t="shared" si="31"/>
        <v>Normal</v>
      </c>
    </row>
    <row r="692" spans="4:29" x14ac:dyDescent="0.25">
      <c r="D692" t="s">
        <v>59</v>
      </c>
      <c r="E692">
        <v>1.5</v>
      </c>
      <c r="F692">
        <v>41</v>
      </c>
      <c r="G692">
        <v>396</v>
      </c>
      <c r="H692">
        <v>308</v>
      </c>
      <c r="I692" s="11">
        <f t="shared" si="32"/>
        <v>77.777777777777786</v>
      </c>
      <c r="J692">
        <v>2</v>
      </c>
      <c r="K692" t="s">
        <v>36</v>
      </c>
      <c r="L692">
        <v>1</v>
      </c>
      <c r="M692" t="s">
        <v>36</v>
      </c>
      <c r="N692">
        <v>15</v>
      </c>
      <c r="O692">
        <v>6</v>
      </c>
      <c r="P692">
        <v>11</v>
      </c>
      <c r="Q692">
        <v>6</v>
      </c>
      <c r="R692">
        <v>5</v>
      </c>
      <c r="S692">
        <v>0</v>
      </c>
      <c r="AB692" t="str">
        <f t="shared" si="30"/>
        <v>Normal</v>
      </c>
      <c r="AC692" t="str">
        <f t="shared" si="31"/>
        <v>Normal</v>
      </c>
    </row>
    <row r="693" spans="4:29" x14ac:dyDescent="0.25">
      <c r="D693" t="s">
        <v>44</v>
      </c>
      <c r="E693">
        <v>1.4</v>
      </c>
      <c r="F693">
        <v>57</v>
      </c>
      <c r="G693">
        <v>491</v>
      </c>
      <c r="H693">
        <v>387</v>
      </c>
      <c r="I693" s="11">
        <f t="shared" si="32"/>
        <v>78.818737270875758</v>
      </c>
      <c r="J693">
        <v>1</v>
      </c>
      <c r="K693" t="s">
        <v>40</v>
      </c>
      <c r="L693">
        <v>0</v>
      </c>
      <c r="M693" t="s">
        <v>36</v>
      </c>
      <c r="N693">
        <v>13</v>
      </c>
      <c r="O693">
        <v>5</v>
      </c>
      <c r="P693">
        <v>13</v>
      </c>
      <c r="Q693">
        <v>7</v>
      </c>
      <c r="R693">
        <v>3</v>
      </c>
      <c r="S693">
        <v>0</v>
      </c>
      <c r="AB693" t="str">
        <f t="shared" si="30"/>
        <v>Normal</v>
      </c>
      <c r="AC693" t="str">
        <f t="shared" si="31"/>
        <v>Normal</v>
      </c>
    </row>
    <row r="694" spans="4:29" x14ac:dyDescent="0.25">
      <c r="D694" t="s">
        <v>52</v>
      </c>
      <c r="E694">
        <v>3</v>
      </c>
      <c r="F694">
        <v>60</v>
      </c>
      <c r="G694">
        <v>579</v>
      </c>
      <c r="H694">
        <v>510</v>
      </c>
      <c r="I694" s="11">
        <f t="shared" si="32"/>
        <v>88.082901554404145</v>
      </c>
      <c r="J694">
        <v>3</v>
      </c>
      <c r="K694" t="s">
        <v>40</v>
      </c>
      <c r="L694">
        <v>0</v>
      </c>
      <c r="M694" t="s">
        <v>36</v>
      </c>
      <c r="N694">
        <v>25</v>
      </c>
      <c r="O694">
        <v>10</v>
      </c>
      <c r="P694">
        <v>4</v>
      </c>
      <c r="Q694">
        <v>14</v>
      </c>
      <c r="R694">
        <v>1</v>
      </c>
      <c r="S694">
        <v>0</v>
      </c>
      <c r="AB694" t="str">
        <f t="shared" si="30"/>
        <v>Normal</v>
      </c>
      <c r="AC694" t="str">
        <f t="shared" si="31"/>
        <v>Normal</v>
      </c>
    </row>
    <row r="695" spans="4:29" x14ac:dyDescent="0.25">
      <c r="D695" t="s">
        <v>54</v>
      </c>
      <c r="E695">
        <v>0.2</v>
      </c>
      <c r="F695">
        <v>37</v>
      </c>
      <c r="G695">
        <v>305</v>
      </c>
      <c r="H695">
        <v>229</v>
      </c>
      <c r="I695" s="11">
        <f t="shared" si="32"/>
        <v>75.081967213114751</v>
      </c>
      <c r="J695">
        <v>1</v>
      </c>
      <c r="K695" t="s">
        <v>36</v>
      </c>
      <c r="L695">
        <v>0</v>
      </c>
      <c r="M695" t="s">
        <v>36</v>
      </c>
      <c r="N695">
        <v>3</v>
      </c>
      <c r="O695">
        <v>2</v>
      </c>
      <c r="P695">
        <v>9</v>
      </c>
      <c r="Q695">
        <v>5</v>
      </c>
      <c r="R695">
        <v>3</v>
      </c>
      <c r="S695">
        <v>0</v>
      </c>
      <c r="AB695" t="str">
        <f t="shared" si="30"/>
        <v>Normal</v>
      </c>
      <c r="AC695" t="str">
        <f t="shared" si="31"/>
        <v>Normal</v>
      </c>
    </row>
    <row r="696" spans="4:29" x14ac:dyDescent="0.25">
      <c r="D696" t="s">
        <v>38</v>
      </c>
      <c r="E696">
        <v>1.1000000000000001</v>
      </c>
      <c r="F696">
        <v>27</v>
      </c>
      <c r="G696">
        <v>237</v>
      </c>
      <c r="H696">
        <v>167</v>
      </c>
      <c r="I696" s="11">
        <f t="shared" si="32"/>
        <v>70.46413502109705</v>
      </c>
      <c r="J696">
        <v>2</v>
      </c>
      <c r="K696" t="s">
        <v>36</v>
      </c>
      <c r="L696">
        <v>2</v>
      </c>
      <c r="M696" t="s">
        <v>40</v>
      </c>
      <c r="N696">
        <v>13</v>
      </c>
      <c r="O696">
        <v>4</v>
      </c>
      <c r="P696">
        <v>7</v>
      </c>
      <c r="Q696">
        <v>4</v>
      </c>
      <c r="R696">
        <v>2</v>
      </c>
      <c r="S696">
        <v>0</v>
      </c>
      <c r="AB696" t="str">
        <f t="shared" si="30"/>
        <v>Normal</v>
      </c>
      <c r="AC696" t="str">
        <f t="shared" si="31"/>
        <v>Normal</v>
      </c>
    </row>
    <row r="697" spans="4:29" x14ac:dyDescent="0.25">
      <c r="D697" t="s">
        <v>51</v>
      </c>
      <c r="E697">
        <v>1.4</v>
      </c>
      <c r="F697">
        <v>45</v>
      </c>
      <c r="G697">
        <v>435</v>
      </c>
      <c r="H697">
        <v>362</v>
      </c>
      <c r="I697" s="11">
        <f t="shared" si="32"/>
        <v>83.218390804597703</v>
      </c>
      <c r="J697">
        <v>1</v>
      </c>
      <c r="K697" t="s">
        <v>35</v>
      </c>
      <c r="L697">
        <v>0</v>
      </c>
      <c r="M697" t="s">
        <v>35</v>
      </c>
      <c r="N697">
        <v>11</v>
      </c>
      <c r="O697">
        <v>4</v>
      </c>
      <c r="P697">
        <v>8</v>
      </c>
      <c r="Q697">
        <v>3</v>
      </c>
      <c r="R697">
        <v>2</v>
      </c>
      <c r="S697">
        <v>0</v>
      </c>
      <c r="AB697" t="str">
        <f t="shared" si="30"/>
        <v>Normal</v>
      </c>
      <c r="AC697" t="str">
        <f t="shared" si="31"/>
        <v>Normal</v>
      </c>
    </row>
    <row r="698" spans="4:29" x14ac:dyDescent="0.25">
      <c r="D698" t="s">
        <v>60</v>
      </c>
      <c r="E698">
        <v>2</v>
      </c>
      <c r="F698">
        <v>63</v>
      </c>
      <c r="G698">
        <v>619</v>
      </c>
      <c r="H698">
        <v>534</v>
      </c>
      <c r="I698" s="11">
        <f t="shared" si="32"/>
        <v>86.268174474959608</v>
      </c>
      <c r="J698">
        <v>2</v>
      </c>
      <c r="K698" t="s">
        <v>35</v>
      </c>
      <c r="L698">
        <v>0</v>
      </c>
      <c r="M698" t="s">
        <v>35</v>
      </c>
      <c r="N698">
        <v>11</v>
      </c>
      <c r="O698">
        <v>4</v>
      </c>
      <c r="P698">
        <v>15</v>
      </c>
      <c r="Q698">
        <v>4</v>
      </c>
      <c r="R698">
        <v>2</v>
      </c>
      <c r="S698">
        <v>0</v>
      </c>
      <c r="AB698" t="str">
        <f t="shared" si="30"/>
        <v>Normal</v>
      </c>
      <c r="AC698" t="str">
        <f t="shared" si="31"/>
        <v>Normal</v>
      </c>
    </row>
    <row r="699" spans="4:29" x14ac:dyDescent="0.25">
      <c r="D699" t="s">
        <v>33</v>
      </c>
      <c r="E699">
        <v>0.7</v>
      </c>
      <c r="F699">
        <v>52</v>
      </c>
      <c r="G699">
        <v>504</v>
      </c>
      <c r="H699">
        <v>406</v>
      </c>
      <c r="I699" s="11">
        <f t="shared" si="32"/>
        <v>80.555555555555557</v>
      </c>
      <c r="J699">
        <v>1</v>
      </c>
      <c r="K699" t="s">
        <v>35</v>
      </c>
      <c r="L699">
        <v>1</v>
      </c>
      <c r="M699" t="s">
        <v>36</v>
      </c>
      <c r="N699">
        <v>9</v>
      </c>
      <c r="O699">
        <v>5</v>
      </c>
      <c r="P699">
        <v>9</v>
      </c>
      <c r="Q699">
        <v>2</v>
      </c>
      <c r="R699">
        <v>2</v>
      </c>
      <c r="S699">
        <v>0</v>
      </c>
      <c r="AB699" t="str">
        <f t="shared" si="30"/>
        <v>Normal</v>
      </c>
      <c r="AC699" t="str">
        <f t="shared" si="31"/>
        <v>Normal</v>
      </c>
    </row>
    <row r="700" spans="4:29" x14ac:dyDescent="0.25">
      <c r="D700" t="s">
        <v>34</v>
      </c>
      <c r="E700">
        <v>1</v>
      </c>
      <c r="F700">
        <v>59</v>
      </c>
      <c r="G700">
        <v>534</v>
      </c>
      <c r="H700">
        <v>419</v>
      </c>
      <c r="I700" s="11">
        <f t="shared" si="32"/>
        <v>78.464419475655433</v>
      </c>
      <c r="J700">
        <v>0</v>
      </c>
      <c r="K700" t="s">
        <v>35</v>
      </c>
      <c r="L700">
        <v>0</v>
      </c>
      <c r="M700" t="s">
        <v>35</v>
      </c>
      <c r="N700">
        <v>12</v>
      </c>
      <c r="O700">
        <v>7</v>
      </c>
      <c r="P700">
        <v>10</v>
      </c>
      <c r="Q700">
        <v>9</v>
      </c>
      <c r="R700">
        <v>2</v>
      </c>
      <c r="S700">
        <v>0</v>
      </c>
      <c r="AB700" t="str">
        <f t="shared" si="30"/>
        <v>Normal</v>
      </c>
      <c r="AC700" t="str">
        <f t="shared" si="31"/>
        <v>Normal</v>
      </c>
    </row>
    <row r="701" spans="4:29" x14ac:dyDescent="0.25">
      <c r="D701" t="s">
        <v>55</v>
      </c>
      <c r="E701">
        <v>2</v>
      </c>
      <c r="F701">
        <v>41</v>
      </c>
      <c r="G701">
        <v>397</v>
      </c>
      <c r="H701">
        <v>303</v>
      </c>
      <c r="I701" s="11">
        <f t="shared" si="32"/>
        <v>76.322418136020147</v>
      </c>
      <c r="J701">
        <v>0</v>
      </c>
      <c r="K701" t="s">
        <v>35</v>
      </c>
      <c r="L701">
        <v>0</v>
      </c>
      <c r="M701" t="s">
        <v>35</v>
      </c>
      <c r="N701">
        <v>11</v>
      </c>
      <c r="O701">
        <v>4</v>
      </c>
      <c r="P701">
        <v>15</v>
      </c>
      <c r="Q701">
        <v>4</v>
      </c>
      <c r="R701">
        <v>3</v>
      </c>
      <c r="S701">
        <v>0</v>
      </c>
      <c r="AB701" t="str">
        <f t="shared" si="30"/>
        <v>Normal</v>
      </c>
      <c r="AC701" t="str">
        <f t="shared" si="31"/>
        <v>Normal</v>
      </c>
    </row>
    <row r="702" spans="4:29" x14ac:dyDescent="0.25">
      <c r="D702" t="s">
        <v>45</v>
      </c>
      <c r="E702">
        <v>1.4</v>
      </c>
      <c r="F702">
        <v>53</v>
      </c>
      <c r="G702">
        <v>527</v>
      </c>
      <c r="H702">
        <v>433</v>
      </c>
      <c r="I702" s="11">
        <f t="shared" si="32"/>
        <v>82.163187855787484</v>
      </c>
      <c r="J702">
        <v>2</v>
      </c>
      <c r="K702" t="s">
        <v>35</v>
      </c>
      <c r="L702">
        <v>1</v>
      </c>
      <c r="M702" t="s">
        <v>36</v>
      </c>
      <c r="N702">
        <v>12</v>
      </c>
      <c r="O702">
        <v>3</v>
      </c>
      <c r="P702">
        <v>11</v>
      </c>
      <c r="Q702">
        <v>8</v>
      </c>
      <c r="R702">
        <v>3</v>
      </c>
      <c r="S702">
        <v>1</v>
      </c>
      <c r="AB702" t="str">
        <f t="shared" si="30"/>
        <v>Normal</v>
      </c>
      <c r="AC702" t="str">
        <f t="shared" si="31"/>
        <v>Normal</v>
      </c>
    </row>
    <row r="703" spans="4:29" x14ac:dyDescent="0.25">
      <c r="D703" t="s">
        <v>49</v>
      </c>
      <c r="E703">
        <v>0.7</v>
      </c>
      <c r="F703">
        <v>71</v>
      </c>
      <c r="G703">
        <v>623</v>
      </c>
      <c r="H703">
        <v>528</v>
      </c>
      <c r="I703" s="11">
        <f t="shared" si="32"/>
        <v>84.75120385232745</v>
      </c>
      <c r="J703">
        <v>0</v>
      </c>
      <c r="K703" t="s">
        <v>36</v>
      </c>
      <c r="L703">
        <v>0</v>
      </c>
      <c r="M703" t="s">
        <v>36</v>
      </c>
      <c r="N703">
        <v>15</v>
      </c>
      <c r="O703">
        <v>4</v>
      </c>
      <c r="P703">
        <v>10</v>
      </c>
      <c r="Q703">
        <v>4</v>
      </c>
      <c r="R703">
        <v>4</v>
      </c>
      <c r="S703">
        <v>0</v>
      </c>
      <c r="AB703" t="str">
        <f t="shared" si="30"/>
        <v>Normal</v>
      </c>
      <c r="AC703" t="str">
        <f t="shared" si="31"/>
        <v>Normal</v>
      </c>
    </row>
    <row r="704" spans="4:29" x14ac:dyDescent="0.25">
      <c r="D704" t="s">
        <v>58</v>
      </c>
      <c r="E704">
        <v>2</v>
      </c>
      <c r="F704">
        <v>67</v>
      </c>
      <c r="G704">
        <v>711</v>
      </c>
      <c r="H704">
        <v>620</v>
      </c>
      <c r="I704" s="11">
        <f t="shared" si="32"/>
        <v>87.201125175808727</v>
      </c>
      <c r="J704">
        <v>2</v>
      </c>
      <c r="K704" t="s">
        <v>40</v>
      </c>
      <c r="L704">
        <v>0</v>
      </c>
      <c r="M704" t="s">
        <v>36</v>
      </c>
      <c r="N704">
        <v>12</v>
      </c>
      <c r="O704">
        <v>7</v>
      </c>
      <c r="P704">
        <v>6</v>
      </c>
      <c r="Q704">
        <v>5</v>
      </c>
      <c r="R704">
        <v>0</v>
      </c>
      <c r="S704">
        <v>0</v>
      </c>
      <c r="AB704" t="str">
        <f t="shared" si="30"/>
        <v>Normal</v>
      </c>
      <c r="AC704" t="str">
        <f t="shared" si="31"/>
        <v>Normal</v>
      </c>
    </row>
    <row r="705" spans="4:29" x14ac:dyDescent="0.25">
      <c r="D705" t="s">
        <v>47</v>
      </c>
      <c r="E705">
        <v>0.6</v>
      </c>
      <c r="F705">
        <v>48</v>
      </c>
      <c r="G705">
        <v>488</v>
      </c>
      <c r="H705">
        <v>408</v>
      </c>
      <c r="I705" s="11">
        <f t="shared" si="32"/>
        <v>83.606557377049185</v>
      </c>
      <c r="J705">
        <v>1</v>
      </c>
      <c r="K705" t="s">
        <v>36</v>
      </c>
      <c r="L705">
        <v>0</v>
      </c>
      <c r="M705" t="s">
        <v>36</v>
      </c>
      <c r="N705">
        <v>15</v>
      </c>
      <c r="O705">
        <v>4</v>
      </c>
      <c r="P705">
        <v>13</v>
      </c>
      <c r="Q705">
        <v>5</v>
      </c>
      <c r="R705">
        <v>1</v>
      </c>
      <c r="S705">
        <v>0</v>
      </c>
      <c r="AB705" t="str">
        <f t="shared" si="30"/>
        <v>Normal</v>
      </c>
      <c r="AC705" t="str">
        <f t="shared" si="31"/>
        <v>Normal</v>
      </c>
    </row>
    <row r="706" spans="4:29" x14ac:dyDescent="0.25">
      <c r="D706" t="s">
        <v>46</v>
      </c>
      <c r="E706">
        <v>1</v>
      </c>
      <c r="F706">
        <v>52</v>
      </c>
      <c r="G706">
        <v>467</v>
      </c>
      <c r="H706">
        <v>387</v>
      </c>
      <c r="I706" s="11">
        <f t="shared" si="32"/>
        <v>82.869379014989292</v>
      </c>
      <c r="J706">
        <v>1</v>
      </c>
      <c r="K706" t="s">
        <v>35</v>
      </c>
      <c r="L706">
        <v>1</v>
      </c>
      <c r="M706" t="s">
        <v>36</v>
      </c>
      <c r="N706">
        <v>10</v>
      </c>
      <c r="O706">
        <v>3</v>
      </c>
      <c r="P706">
        <v>12</v>
      </c>
      <c r="Q706">
        <v>7</v>
      </c>
      <c r="R706">
        <v>3</v>
      </c>
      <c r="S706">
        <v>0</v>
      </c>
      <c r="AB706" t="str">
        <f t="shared" ref="AB706:AB761" si="33">IF(E706 &lt; _xlfn.PERCENTILE.INC($E$2:$E$761,0),
    "Ekstrem Rendah",
    IF(E706 &gt; _xlfn.PERCENTILE.INC($E$2:$E$761,1),
        "Ekstrem Tinggi",
        "Normal"
    )
)</f>
        <v>Normal</v>
      </c>
      <c r="AC706" t="str">
        <f t="shared" ref="AC706:AC761" si="34">IF(F706 &lt; _xlfn.PERCENTILE.INC($F$2:$F$761,0.001),
    "Ekstrem Rendah",
    IF(F706 &gt; _xlfn.PERCENTILE.INC($F$2:$F$761,0.999),
        "Ekstrem Tinggi",
        "Normal"
    )
)</f>
        <v>Normal</v>
      </c>
    </row>
    <row r="707" spans="4:29" x14ac:dyDescent="0.25">
      <c r="D707" t="s">
        <v>57</v>
      </c>
      <c r="E707">
        <v>0.9</v>
      </c>
      <c r="F707">
        <v>59</v>
      </c>
      <c r="G707">
        <v>578</v>
      </c>
      <c r="H707">
        <v>492</v>
      </c>
      <c r="I707" s="11">
        <f t="shared" ref="I707:I761" si="35">H707/G707*100</f>
        <v>85.121107266435985</v>
      </c>
      <c r="J707">
        <v>2</v>
      </c>
      <c r="K707" t="s">
        <v>40</v>
      </c>
      <c r="L707">
        <v>0</v>
      </c>
      <c r="M707" t="s">
        <v>35</v>
      </c>
      <c r="N707">
        <v>13</v>
      </c>
      <c r="O707">
        <v>8</v>
      </c>
      <c r="P707">
        <v>9</v>
      </c>
      <c r="Q707">
        <v>4</v>
      </c>
      <c r="R707">
        <v>3</v>
      </c>
      <c r="S707">
        <v>0</v>
      </c>
      <c r="AB707" t="str">
        <f t="shared" si="33"/>
        <v>Normal</v>
      </c>
      <c r="AC707" t="str">
        <f t="shared" si="34"/>
        <v>Normal</v>
      </c>
    </row>
    <row r="708" spans="4:29" x14ac:dyDescent="0.25">
      <c r="D708" t="s">
        <v>42</v>
      </c>
      <c r="E708">
        <v>2.4</v>
      </c>
      <c r="F708">
        <v>75</v>
      </c>
      <c r="G708">
        <v>790</v>
      </c>
      <c r="H708">
        <v>707</v>
      </c>
      <c r="I708" s="11">
        <f t="shared" si="35"/>
        <v>89.493670886075947</v>
      </c>
      <c r="J708">
        <v>4</v>
      </c>
      <c r="K708" t="s">
        <v>40</v>
      </c>
      <c r="L708">
        <v>2</v>
      </c>
      <c r="M708" t="s">
        <v>40</v>
      </c>
      <c r="N708">
        <v>24</v>
      </c>
      <c r="O708">
        <v>7</v>
      </c>
      <c r="P708">
        <v>7</v>
      </c>
      <c r="Q708">
        <v>12</v>
      </c>
      <c r="R708">
        <v>0</v>
      </c>
      <c r="S708">
        <v>0</v>
      </c>
      <c r="AB708" t="str">
        <f t="shared" si="33"/>
        <v>Normal</v>
      </c>
      <c r="AC708" t="str">
        <f t="shared" si="34"/>
        <v>Normal</v>
      </c>
    </row>
    <row r="709" spans="4:29" x14ac:dyDescent="0.25">
      <c r="D709" t="s">
        <v>43</v>
      </c>
      <c r="E709">
        <v>0.2</v>
      </c>
      <c r="F709">
        <v>41</v>
      </c>
      <c r="G709">
        <v>415</v>
      </c>
      <c r="H709">
        <v>332</v>
      </c>
      <c r="I709" s="11">
        <f t="shared" si="35"/>
        <v>80</v>
      </c>
      <c r="J709">
        <v>1</v>
      </c>
      <c r="K709" t="s">
        <v>40</v>
      </c>
      <c r="L709">
        <v>0</v>
      </c>
      <c r="M709" t="s">
        <v>36</v>
      </c>
      <c r="N709">
        <v>4</v>
      </c>
      <c r="O709">
        <v>2</v>
      </c>
      <c r="P709">
        <v>18</v>
      </c>
      <c r="Q709">
        <v>2</v>
      </c>
      <c r="R709">
        <v>3</v>
      </c>
      <c r="S709">
        <v>0</v>
      </c>
      <c r="AB709" t="str">
        <f t="shared" si="33"/>
        <v>Normal</v>
      </c>
      <c r="AC709" t="str">
        <f t="shared" si="34"/>
        <v>Normal</v>
      </c>
    </row>
    <row r="710" spans="4:29" x14ac:dyDescent="0.25">
      <c r="D710" t="s">
        <v>39</v>
      </c>
      <c r="E710">
        <v>2.5</v>
      </c>
      <c r="F710">
        <v>58</v>
      </c>
      <c r="G710">
        <v>562</v>
      </c>
      <c r="H710">
        <v>467</v>
      </c>
      <c r="I710" s="11">
        <f t="shared" si="35"/>
        <v>83.09608540925268</v>
      </c>
      <c r="J710">
        <v>1</v>
      </c>
      <c r="K710" t="s">
        <v>40</v>
      </c>
      <c r="L710">
        <v>0</v>
      </c>
      <c r="M710" t="s">
        <v>36</v>
      </c>
      <c r="N710">
        <v>28</v>
      </c>
      <c r="O710">
        <v>10</v>
      </c>
      <c r="P710">
        <v>7</v>
      </c>
      <c r="Q710">
        <v>13</v>
      </c>
      <c r="R710">
        <v>2</v>
      </c>
      <c r="S710">
        <v>0</v>
      </c>
      <c r="AB710" t="str">
        <f t="shared" si="33"/>
        <v>Normal</v>
      </c>
      <c r="AC710" t="str">
        <f t="shared" si="34"/>
        <v>Normal</v>
      </c>
    </row>
    <row r="711" spans="4:29" x14ac:dyDescent="0.25">
      <c r="D711" t="s">
        <v>48</v>
      </c>
      <c r="E711">
        <v>0.5</v>
      </c>
      <c r="F711">
        <v>31</v>
      </c>
      <c r="G711">
        <v>275</v>
      </c>
      <c r="H711">
        <v>185</v>
      </c>
      <c r="I711" s="11">
        <f t="shared" si="35"/>
        <v>67.272727272727266</v>
      </c>
      <c r="J711">
        <v>2</v>
      </c>
      <c r="K711" t="s">
        <v>40</v>
      </c>
      <c r="L711">
        <v>2</v>
      </c>
      <c r="M711" t="s">
        <v>40</v>
      </c>
      <c r="N711">
        <v>4</v>
      </c>
      <c r="O711">
        <v>3</v>
      </c>
      <c r="P711">
        <v>12</v>
      </c>
      <c r="Q711">
        <v>1</v>
      </c>
      <c r="R711">
        <v>4</v>
      </c>
      <c r="S711">
        <v>0</v>
      </c>
      <c r="AB711" t="str">
        <f t="shared" si="33"/>
        <v>Normal</v>
      </c>
      <c r="AC711" t="str">
        <f t="shared" si="34"/>
        <v>Normal</v>
      </c>
    </row>
    <row r="712" spans="4:29" x14ac:dyDescent="0.25">
      <c r="D712" t="s">
        <v>52</v>
      </c>
      <c r="E712">
        <v>1.8</v>
      </c>
      <c r="F712">
        <v>39</v>
      </c>
      <c r="G712">
        <v>342</v>
      </c>
      <c r="H712">
        <v>272</v>
      </c>
      <c r="I712" s="11">
        <f t="shared" si="35"/>
        <v>79.532163742690059</v>
      </c>
      <c r="J712">
        <v>1</v>
      </c>
      <c r="K712" t="s">
        <v>35</v>
      </c>
      <c r="L712">
        <v>1</v>
      </c>
      <c r="M712" t="s">
        <v>36</v>
      </c>
      <c r="N712">
        <v>7</v>
      </c>
      <c r="O712">
        <v>3</v>
      </c>
      <c r="P712">
        <v>10</v>
      </c>
      <c r="Q712">
        <v>2</v>
      </c>
      <c r="R712">
        <v>3</v>
      </c>
      <c r="S712">
        <v>0</v>
      </c>
      <c r="AB712" t="str">
        <f t="shared" si="33"/>
        <v>Normal</v>
      </c>
      <c r="AC712" t="str">
        <f t="shared" si="34"/>
        <v>Normal</v>
      </c>
    </row>
    <row r="713" spans="4:29" x14ac:dyDescent="0.25">
      <c r="D713" t="s">
        <v>55</v>
      </c>
      <c r="E713">
        <v>1.7</v>
      </c>
      <c r="F713">
        <v>33</v>
      </c>
      <c r="G713">
        <v>367</v>
      </c>
      <c r="H713">
        <v>297</v>
      </c>
      <c r="I713" s="11">
        <f t="shared" si="35"/>
        <v>80.926430517711168</v>
      </c>
      <c r="J713">
        <v>2</v>
      </c>
      <c r="K713" t="s">
        <v>36</v>
      </c>
      <c r="L713">
        <v>1</v>
      </c>
      <c r="M713" t="s">
        <v>35</v>
      </c>
      <c r="N713">
        <v>15</v>
      </c>
      <c r="O713">
        <v>4</v>
      </c>
      <c r="P713">
        <v>6</v>
      </c>
      <c r="Q713">
        <v>6</v>
      </c>
      <c r="R713">
        <v>1</v>
      </c>
      <c r="S713">
        <v>0</v>
      </c>
      <c r="AB713" t="str">
        <f t="shared" si="33"/>
        <v>Normal</v>
      </c>
      <c r="AC713" t="str">
        <f t="shared" si="34"/>
        <v>Normal</v>
      </c>
    </row>
    <row r="714" spans="4:29" x14ac:dyDescent="0.25">
      <c r="D714" t="s">
        <v>44</v>
      </c>
      <c r="E714">
        <v>0.4</v>
      </c>
      <c r="F714">
        <v>45</v>
      </c>
      <c r="G714">
        <v>460</v>
      </c>
      <c r="H714">
        <v>378</v>
      </c>
      <c r="I714" s="11">
        <f t="shared" si="35"/>
        <v>82.173913043478265</v>
      </c>
      <c r="J714">
        <v>0</v>
      </c>
      <c r="K714" t="s">
        <v>35</v>
      </c>
      <c r="L714">
        <v>0</v>
      </c>
      <c r="M714" t="s">
        <v>35</v>
      </c>
      <c r="N714">
        <v>6</v>
      </c>
      <c r="O714">
        <v>3</v>
      </c>
      <c r="P714">
        <v>11</v>
      </c>
      <c r="Q714">
        <v>2</v>
      </c>
      <c r="R714">
        <v>0</v>
      </c>
      <c r="S714">
        <v>0</v>
      </c>
      <c r="AB714" t="str">
        <f t="shared" si="33"/>
        <v>Normal</v>
      </c>
      <c r="AC714" t="str">
        <f t="shared" si="34"/>
        <v>Normal</v>
      </c>
    </row>
    <row r="715" spans="4:29" x14ac:dyDescent="0.25">
      <c r="D715" t="s">
        <v>51</v>
      </c>
      <c r="E715">
        <v>1.3</v>
      </c>
      <c r="F715">
        <v>47</v>
      </c>
      <c r="G715">
        <v>511</v>
      </c>
      <c r="H715">
        <v>441</v>
      </c>
      <c r="I715" s="11">
        <f t="shared" si="35"/>
        <v>86.301369863013704</v>
      </c>
      <c r="J715">
        <v>2</v>
      </c>
      <c r="K715" t="s">
        <v>35</v>
      </c>
      <c r="L715">
        <v>0</v>
      </c>
      <c r="M715" t="s">
        <v>35</v>
      </c>
      <c r="N715">
        <v>12</v>
      </c>
      <c r="O715">
        <v>4</v>
      </c>
      <c r="P715">
        <v>9</v>
      </c>
      <c r="Q715">
        <v>1</v>
      </c>
      <c r="R715">
        <v>1</v>
      </c>
      <c r="S715">
        <v>0</v>
      </c>
      <c r="AB715" t="str">
        <f t="shared" si="33"/>
        <v>Normal</v>
      </c>
      <c r="AC715" t="str">
        <f t="shared" si="34"/>
        <v>Normal</v>
      </c>
    </row>
    <row r="716" spans="4:29" x14ac:dyDescent="0.25">
      <c r="D716" t="s">
        <v>38</v>
      </c>
      <c r="E716">
        <v>0.1</v>
      </c>
      <c r="F716">
        <v>23</v>
      </c>
      <c r="G716">
        <v>206</v>
      </c>
      <c r="H716">
        <v>134</v>
      </c>
      <c r="I716" s="11">
        <f t="shared" si="35"/>
        <v>65.048543689320397</v>
      </c>
      <c r="J716">
        <v>0</v>
      </c>
      <c r="K716" t="s">
        <v>35</v>
      </c>
      <c r="L716">
        <v>0</v>
      </c>
      <c r="M716" t="s">
        <v>35</v>
      </c>
      <c r="N716">
        <v>4</v>
      </c>
      <c r="O716">
        <v>0</v>
      </c>
      <c r="P716">
        <v>9</v>
      </c>
      <c r="Q716">
        <v>2</v>
      </c>
      <c r="R716">
        <v>2</v>
      </c>
      <c r="S716">
        <v>1</v>
      </c>
      <c r="AB716" t="str">
        <f t="shared" si="33"/>
        <v>Normal</v>
      </c>
      <c r="AC716" t="str">
        <f t="shared" si="34"/>
        <v>Normal</v>
      </c>
    </row>
    <row r="717" spans="4:29" x14ac:dyDescent="0.25">
      <c r="D717" t="s">
        <v>34</v>
      </c>
      <c r="E717">
        <v>2.4</v>
      </c>
      <c r="F717">
        <v>65</v>
      </c>
      <c r="G717">
        <v>622</v>
      </c>
      <c r="H717">
        <v>517</v>
      </c>
      <c r="I717" s="11">
        <f t="shared" si="35"/>
        <v>83.118971061093248</v>
      </c>
      <c r="J717">
        <v>2</v>
      </c>
      <c r="K717" t="s">
        <v>40</v>
      </c>
      <c r="L717">
        <v>0</v>
      </c>
      <c r="M717" t="s">
        <v>35</v>
      </c>
      <c r="N717">
        <v>26</v>
      </c>
      <c r="O717">
        <v>5</v>
      </c>
      <c r="P717">
        <v>12</v>
      </c>
      <c r="Q717">
        <v>13</v>
      </c>
      <c r="R717">
        <v>1</v>
      </c>
      <c r="S717">
        <v>0</v>
      </c>
      <c r="AB717" t="str">
        <f t="shared" si="33"/>
        <v>Normal</v>
      </c>
      <c r="AC717" t="str">
        <f t="shared" si="34"/>
        <v>Normal</v>
      </c>
    </row>
    <row r="718" spans="4:29" x14ac:dyDescent="0.25">
      <c r="D718" t="s">
        <v>59</v>
      </c>
      <c r="E718">
        <v>1.1000000000000001</v>
      </c>
      <c r="F718">
        <v>44</v>
      </c>
      <c r="G718">
        <v>510</v>
      </c>
      <c r="H718">
        <v>424</v>
      </c>
      <c r="I718" s="11">
        <f t="shared" si="35"/>
        <v>83.137254901960787</v>
      </c>
      <c r="J718">
        <v>0</v>
      </c>
      <c r="K718" t="s">
        <v>35</v>
      </c>
      <c r="L718">
        <v>0</v>
      </c>
      <c r="M718" t="s">
        <v>35</v>
      </c>
      <c r="N718">
        <v>8</v>
      </c>
      <c r="O718">
        <v>2</v>
      </c>
      <c r="P718">
        <v>17</v>
      </c>
      <c r="Q718">
        <v>2</v>
      </c>
      <c r="R718">
        <v>4</v>
      </c>
      <c r="S718">
        <v>0</v>
      </c>
      <c r="AB718" t="str">
        <f t="shared" si="33"/>
        <v>Normal</v>
      </c>
      <c r="AC718" t="str">
        <f t="shared" si="34"/>
        <v>Normal</v>
      </c>
    </row>
    <row r="719" spans="4:29" x14ac:dyDescent="0.25">
      <c r="D719" t="s">
        <v>33</v>
      </c>
      <c r="E719">
        <v>2.2999999999999998</v>
      </c>
      <c r="F719">
        <v>61</v>
      </c>
      <c r="G719">
        <v>522</v>
      </c>
      <c r="H719">
        <v>416</v>
      </c>
      <c r="I719" s="11">
        <f t="shared" si="35"/>
        <v>79.693486590038304</v>
      </c>
      <c r="J719">
        <v>1</v>
      </c>
      <c r="K719" t="s">
        <v>36</v>
      </c>
      <c r="L719">
        <v>0</v>
      </c>
      <c r="M719" t="s">
        <v>35</v>
      </c>
      <c r="N719">
        <v>25</v>
      </c>
      <c r="O719">
        <v>6</v>
      </c>
      <c r="P719">
        <v>12</v>
      </c>
      <c r="Q719">
        <v>10</v>
      </c>
      <c r="R719">
        <v>2</v>
      </c>
      <c r="S719">
        <v>0</v>
      </c>
      <c r="AB719" t="str">
        <f t="shared" si="33"/>
        <v>Normal</v>
      </c>
      <c r="AC719" t="str">
        <f t="shared" si="34"/>
        <v>Normal</v>
      </c>
    </row>
    <row r="720" spans="4:29" x14ac:dyDescent="0.25">
      <c r="D720" t="s">
        <v>60</v>
      </c>
      <c r="E720">
        <v>0.5</v>
      </c>
      <c r="F720">
        <v>39</v>
      </c>
      <c r="G720">
        <v>359</v>
      </c>
      <c r="H720">
        <v>260</v>
      </c>
      <c r="I720" s="11">
        <f t="shared" si="35"/>
        <v>72.423398328690809</v>
      </c>
      <c r="J720">
        <v>1</v>
      </c>
      <c r="K720" t="s">
        <v>35</v>
      </c>
      <c r="L720">
        <v>1</v>
      </c>
      <c r="M720" t="s">
        <v>35</v>
      </c>
      <c r="N720">
        <v>8</v>
      </c>
      <c r="O720">
        <v>3</v>
      </c>
      <c r="P720">
        <v>9</v>
      </c>
      <c r="Q720">
        <v>2</v>
      </c>
      <c r="R720">
        <v>1</v>
      </c>
      <c r="S720">
        <v>0</v>
      </c>
      <c r="AB720" t="str">
        <f t="shared" si="33"/>
        <v>Normal</v>
      </c>
      <c r="AC720" t="str">
        <f t="shared" si="34"/>
        <v>Normal</v>
      </c>
    </row>
    <row r="721" spans="4:29" x14ac:dyDescent="0.25">
      <c r="D721" t="s">
        <v>54</v>
      </c>
      <c r="E721">
        <v>1.3</v>
      </c>
      <c r="F721">
        <v>45</v>
      </c>
      <c r="G721">
        <v>353</v>
      </c>
      <c r="H721">
        <v>264</v>
      </c>
      <c r="I721" s="11">
        <f t="shared" si="35"/>
        <v>74.787535410764875</v>
      </c>
      <c r="J721">
        <v>2</v>
      </c>
      <c r="K721" t="s">
        <v>40</v>
      </c>
      <c r="L721">
        <v>1</v>
      </c>
      <c r="M721" t="s">
        <v>40</v>
      </c>
      <c r="N721">
        <v>11</v>
      </c>
      <c r="O721">
        <v>3</v>
      </c>
      <c r="P721">
        <v>12</v>
      </c>
      <c r="Q721">
        <v>5</v>
      </c>
      <c r="R721">
        <v>5</v>
      </c>
      <c r="S721">
        <v>0</v>
      </c>
      <c r="AB721" t="str">
        <f t="shared" si="33"/>
        <v>Normal</v>
      </c>
      <c r="AC721" t="str">
        <f t="shared" si="34"/>
        <v>Normal</v>
      </c>
    </row>
    <row r="722" spans="4:29" x14ac:dyDescent="0.25">
      <c r="D722" t="s">
        <v>43</v>
      </c>
      <c r="E722">
        <v>0.4</v>
      </c>
      <c r="F722">
        <v>37</v>
      </c>
      <c r="G722">
        <v>417</v>
      </c>
      <c r="H722">
        <v>342</v>
      </c>
      <c r="I722" s="11">
        <f t="shared" si="35"/>
        <v>82.014388489208628</v>
      </c>
      <c r="J722">
        <v>0</v>
      </c>
      <c r="K722" t="s">
        <v>35</v>
      </c>
      <c r="L722">
        <v>0</v>
      </c>
      <c r="M722" t="s">
        <v>35</v>
      </c>
      <c r="N722">
        <v>6</v>
      </c>
      <c r="O722">
        <v>1</v>
      </c>
      <c r="P722">
        <v>11</v>
      </c>
      <c r="Q722">
        <v>5</v>
      </c>
      <c r="R722">
        <v>0</v>
      </c>
      <c r="S722">
        <v>0</v>
      </c>
      <c r="AB722" t="str">
        <f t="shared" si="33"/>
        <v>Normal</v>
      </c>
      <c r="AC722" t="str">
        <f t="shared" si="34"/>
        <v>Normal</v>
      </c>
    </row>
    <row r="723" spans="4:29" x14ac:dyDescent="0.25">
      <c r="D723" t="s">
        <v>34</v>
      </c>
      <c r="E723">
        <v>0.9</v>
      </c>
      <c r="F723">
        <v>48</v>
      </c>
      <c r="G723">
        <v>439</v>
      </c>
      <c r="H723">
        <v>375</v>
      </c>
      <c r="I723" s="11">
        <f t="shared" si="35"/>
        <v>85.421412300683372</v>
      </c>
      <c r="J723">
        <v>0</v>
      </c>
      <c r="K723" t="s">
        <v>35</v>
      </c>
      <c r="L723">
        <v>0</v>
      </c>
      <c r="M723" t="s">
        <v>35</v>
      </c>
      <c r="N723">
        <v>11</v>
      </c>
      <c r="O723">
        <v>3</v>
      </c>
      <c r="P723">
        <v>17</v>
      </c>
      <c r="Q723">
        <v>3</v>
      </c>
      <c r="R723">
        <v>5</v>
      </c>
      <c r="S723">
        <v>0</v>
      </c>
      <c r="AB723" t="str">
        <f t="shared" si="33"/>
        <v>Normal</v>
      </c>
      <c r="AC723" t="str">
        <f t="shared" si="34"/>
        <v>Normal</v>
      </c>
    </row>
    <row r="724" spans="4:29" x14ac:dyDescent="0.25">
      <c r="D724" t="s">
        <v>38</v>
      </c>
      <c r="E724">
        <v>0.8</v>
      </c>
      <c r="F724">
        <v>42</v>
      </c>
      <c r="G724">
        <v>390</v>
      </c>
      <c r="H724">
        <v>323</v>
      </c>
      <c r="I724" s="11">
        <f t="shared" si="35"/>
        <v>82.820512820512832</v>
      </c>
      <c r="J724">
        <v>2</v>
      </c>
      <c r="K724" t="s">
        <v>36</v>
      </c>
      <c r="L724">
        <v>1</v>
      </c>
      <c r="M724" t="s">
        <v>35</v>
      </c>
      <c r="N724">
        <v>12</v>
      </c>
      <c r="O724">
        <v>5</v>
      </c>
      <c r="P724">
        <v>15</v>
      </c>
      <c r="Q724">
        <v>3</v>
      </c>
      <c r="R724">
        <v>4</v>
      </c>
      <c r="S724">
        <v>0</v>
      </c>
      <c r="AB724" t="str">
        <f t="shared" si="33"/>
        <v>Normal</v>
      </c>
      <c r="AC724" t="str">
        <f t="shared" si="34"/>
        <v>Normal</v>
      </c>
    </row>
    <row r="725" spans="4:29" x14ac:dyDescent="0.25">
      <c r="D725" t="s">
        <v>47</v>
      </c>
      <c r="E725">
        <v>0.5</v>
      </c>
      <c r="F725">
        <v>51</v>
      </c>
      <c r="G725">
        <v>493</v>
      </c>
      <c r="H725">
        <v>419</v>
      </c>
      <c r="I725" s="11">
        <f t="shared" si="35"/>
        <v>84.989858012170387</v>
      </c>
      <c r="J725">
        <v>0</v>
      </c>
      <c r="K725" t="s">
        <v>35</v>
      </c>
      <c r="L725">
        <v>0</v>
      </c>
      <c r="M725" t="s">
        <v>35</v>
      </c>
      <c r="N725">
        <v>8</v>
      </c>
      <c r="O725">
        <v>2</v>
      </c>
      <c r="P725">
        <v>13</v>
      </c>
      <c r="Q725">
        <v>7</v>
      </c>
      <c r="R725">
        <v>3</v>
      </c>
      <c r="S725">
        <v>0</v>
      </c>
      <c r="AB725" t="str">
        <f t="shared" si="33"/>
        <v>Normal</v>
      </c>
      <c r="AC725" t="str">
        <f t="shared" si="34"/>
        <v>Normal</v>
      </c>
    </row>
    <row r="726" spans="4:29" x14ac:dyDescent="0.25">
      <c r="D726" t="s">
        <v>49</v>
      </c>
      <c r="E726">
        <v>0.9</v>
      </c>
      <c r="F726">
        <v>49</v>
      </c>
      <c r="G726">
        <v>447</v>
      </c>
      <c r="H726">
        <v>365</v>
      </c>
      <c r="I726" s="11">
        <f t="shared" si="35"/>
        <v>81.655480984340045</v>
      </c>
      <c r="J726">
        <v>2</v>
      </c>
      <c r="K726" t="s">
        <v>40</v>
      </c>
      <c r="L726">
        <v>0</v>
      </c>
      <c r="M726" t="s">
        <v>35</v>
      </c>
      <c r="N726">
        <v>9</v>
      </c>
      <c r="O726">
        <v>2</v>
      </c>
      <c r="P726">
        <v>16</v>
      </c>
      <c r="Q726">
        <v>3</v>
      </c>
      <c r="R726">
        <v>2</v>
      </c>
      <c r="S726">
        <v>0</v>
      </c>
      <c r="AB726" t="str">
        <f t="shared" si="33"/>
        <v>Normal</v>
      </c>
      <c r="AC726" t="str">
        <f t="shared" si="34"/>
        <v>Normal</v>
      </c>
    </row>
    <row r="727" spans="4:29" x14ac:dyDescent="0.25">
      <c r="D727" t="s">
        <v>33</v>
      </c>
      <c r="E727">
        <v>1.5</v>
      </c>
      <c r="F727">
        <v>53</v>
      </c>
      <c r="G727">
        <v>510</v>
      </c>
      <c r="H727">
        <v>416</v>
      </c>
      <c r="I727" s="11">
        <f t="shared" si="35"/>
        <v>81.568627450980387</v>
      </c>
      <c r="J727">
        <v>3</v>
      </c>
      <c r="K727" t="s">
        <v>35</v>
      </c>
      <c r="L727">
        <v>1</v>
      </c>
      <c r="M727" t="s">
        <v>35</v>
      </c>
      <c r="N727">
        <v>14</v>
      </c>
      <c r="O727">
        <v>5</v>
      </c>
      <c r="P727">
        <v>10</v>
      </c>
      <c r="Q727">
        <v>4</v>
      </c>
      <c r="R727">
        <v>2</v>
      </c>
      <c r="S727">
        <v>0</v>
      </c>
      <c r="AB727" t="str">
        <f t="shared" si="33"/>
        <v>Normal</v>
      </c>
      <c r="AC727" t="str">
        <f t="shared" si="34"/>
        <v>Normal</v>
      </c>
    </row>
    <row r="728" spans="4:29" x14ac:dyDescent="0.25">
      <c r="D728" t="s">
        <v>46</v>
      </c>
      <c r="E728">
        <v>1.7</v>
      </c>
      <c r="F728">
        <v>55</v>
      </c>
      <c r="G728">
        <v>490</v>
      </c>
      <c r="H728">
        <v>401</v>
      </c>
      <c r="I728" s="11">
        <f t="shared" si="35"/>
        <v>81.83673469387756</v>
      </c>
      <c r="J728">
        <v>1</v>
      </c>
      <c r="K728" t="s">
        <v>36</v>
      </c>
      <c r="L728">
        <v>0</v>
      </c>
      <c r="M728" t="s">
        <v>35</v>
      </c>
      <c r="N728">
        <v>13</v>
      </c>
      <c r="O728">
        <v>5</v>
      </c>
      <c r="P728">
        <v>10</v>
      </c>
      <c r="Q728">
        <v>4</v>
      </c>
      <c r="R728">
        <v>1</v>
      </c>
      <c r="S728">
        <v>0</v>
      </c>
      <c r="AB728" t="str">
        <f t="shared" si="33"/>
        <v>Normal</v>
      </c>
      <c r="AC728" t="str">
        <f t="shared" si="34"/>
        <v>Normal</v>
      </c>
    </row>
    <row r="729" spans="4:29" x14ac:dyDescent="0.25">
      <c r="D729" t="s">
        <v>60</v>
      </c>
      <c r="E729">
        <v>0.8</v>
      </c>
      <c r="F729">
        <v>45</v>
      </c>
      <c r="G729">
        <v>403</v>
      </c>
      <c r="H729">
        <v>285</v>
      </c>
      <c r="I729" s="11">
        <f t="shared" si="35"/>
        <v>70.719602977667492</v>
      </c>
      <c r="J729">
        <v>1</v>
      </c>
      <c r="K729" t="s">
        <v>36</v>
      </c>
      <c r="L729">
        <v>1</v>
      </c>
      <c r="M729" t="s">
        <v>36</v>
      </c>
      <c r="N729">
        <v>7</v>
      </c>
      <c r="O729">
        <v>2</v>
      </c>
      <c r="P729">
        <v>15</v>
      </c>
      <c r="Q729">
        <v>3</v>
      </c>
      <c r="R729">
        <v>2</v>
      </c>
      <c r="S729">
        <v>0</v>
      </c>
      <c r="AB729" t="str">
        <f t="shared" si="33"/>
        <v>Normal</v>
      </c>
      <c r="AC729" t="str">
        <f t="shared" si="34"/>
        <v>Normal</v>
      </c>
    </row>
    <row r="730" spans="4:29" x14ac:dyDescent="0.25">
      <c r="D730" t="s">
        <v>39</v>
      </c>
      <c r="E730">
        <v>1</v>
      </c>
      <c r="F730">
        <v>64</v>
      </c>
      <c r="G730">
        <v>700</v>
      </c>
      <c r="H730">
        <v>611</v>
      </c>
      <c r="I730" s="11">
        <f t="shared" si="35"/>
        <v>87.285714285714292</v>
      </c>
      <c r="J730">
        <v>1</v>
      </c>
      <c r="K730" t="s">
        <v>35</v>
      </c>
      <c r="L730">
        <v>0</v>
      </c>
      <c r="M730" t="s">
        <v>35</v>
      </c>
      <c r="N730">
        <v>11</v>
      </c>
      <c r="O730">
        <v>2</v>
      </c>
      <c r="P730">
        <v>11</v>
      </c>
      <c r="Q730">
        <v>6</v>
      </c>
      <c r="R730">
        <v>2</v>
      </c>
      <c r="S730">
        <v>0</v>
      </c>
      <c r="AB730" t="str">
        <f t="shared" si="33"/>
        <v>Normal</v>
      </c>
      <c r="AC730" t="str">
        <f t="shared" si="34"/>
        <v>Normal</v>
      </c>
    </row>
    <row r="731" spans="4:29" x14ac:dyDescent="0.25">
      <c r="D731" t="s">
        <v>48</v>
      </c>
      <c r="E731">
        <v>0.7</v>
      </c>
      <c r="F731">
        <v>50</v>
      </c>
      <c r="G731">
        <v>448</v>
      </c>
      <c r="H731">
        <v>353</v>
      </c>
      <c r="I731" s="11">
        <f t="shared" si="35"/>
        <v>78.794642857142861</v>
      </c>
      <c r="J731">
        <v>1</v>
      </c>
      <c r="K731" t="s">
        <v>36</v>
      </c>
      <c r="L731">
        <v>0</v>
      </c>
      <c r="M731" t="s">
        <v>36</v>
      </c>
      <c r="N731">
        <v>12</v>
      </c>
      <c r="O731">
        <v>4</v>
      </c>
      <c r="P731">
        <v>15</v>
      </c>
      <c r="Q731">
        <v>4</v>
      </c>
      <c r="R731">
        <v>8</v>
      </c>
      <c r="S731">
        <v>0</v>
      </c>
      <c r="AB731" t="str">
        <f t="shared" si="33"/>
        <v>Normal</v>
      </c>
      <c r="AC731" t="str">
        <f t="shared" si="34"/>
        <v>Normal</v>
      </c>
    </row>
    <row r="732" spans="4:29" x14ac:dyDescent="0.25">
      <c r="D732" t="s">
        <v>44</v>
      </c>
      <c r="E732">
        <v>1.1000000000000001</v>
      </c>
      <c r="F732">
        <v>36</v>
      </c>
      <c r="G732">
        <v>346</v>
      </c>
      <c r="H732">
        <v>264</v>
      </c>
      <c r="I732" s="11">
        <f t="shared" si="35"/>
        <v>76.300578034682076</v>
      </c>
      <c r="J732">
        <v>3</v>
      </c>
      <c r="K732" t="s">
        <v>40</v>
      </c>
      <c r="L732">
        <v>1</v>
      </c>
      <c r="M732" t="s">
        <v>36</v>
      </c>
      <c r="N732">
        <v>11</v>
      </c>
      <c r="O732">
        <v>7</v>
      </c>
      <c r="P732">
        <v>9</v>
      </c>
      <c r="Q732">
        <v>5</v>
      </c>
      <c r="R732">
        <v>0</v>
      </c>
      <c r="S732">
        <v>0</v>
      </c>
      <c r="AB732" t="str">
        <f t="shared" si="33"/>
        <v>Normal</v>
      </c>
      <c r="AC732" t="str">
        <f t="shared" si="34"/>
        <v>Normal</v>
      </c>
    </row>
    <row r="733" spans="4:29" x14ac:dyDescent="0.25">
      <c r="D733" t="s">
        <v>54</v>
      </c>
      <c r="E733">
        <v>1.4</v>
      </c>
      <c r="F733">
        <v>51</v>
      </c>
      <c r="G733">
        <v>416</v>
      </c>
      <c r="H733">
        <v>331</v>
      </c>
      <c r="I733" s="11">
        <f t="shared" si="35"/>
        <v>79.567307692307693</v>
      </c>
      <c r="J733">
        <v>1</v>
      </c>
      <c r="K733" t="s">
        <v>40</v>
      </c>
      <c r="L733">
        <v>1</v>
      </c>
      <c r="M733" t="s">
        <v>40</v>
      </c>
      <c r="N733">
        <v>15</v>
      </c>
      <c r="O733">
        <v>5</v>
      </c>
      <c r="P733">
        <v>12</v>
      </c>
      <c r="Q733">
        <v>6</v>
      </c>
      <c r="R733">
        <v>4</v>
      </c>
      <c r="S733">
        <v>0</v>
      </c>
      <c r="AB733" t="str">
        <f t="shared" si="33"/>
        <v>Normal</v>
      </c>
      <c r="AC733" t="str">
        <f t="shared" si="34"/>
        <v>Normal</v>
      </c>
    </row>
    <row r="734" spans="4:29" x14ac:dyDescent="0.25">
      <c r="D734" t="s">
        <v>58</v>
      </c>
      <c r="E734">
        <v>1.7</v>
      </c>
      <c r="F734">
        <v>72</v>
      </c>
      <c r="G734">
        <v>707</v>
      </c>
      <c r="H734">
        <v>604</v>
      </c>
      <c r="I734" s="11">
        <f t="shared" si="35"/>
        <v>85.431400282885434</v>
      </c>
      <c r="J734">
        <v>0</v>
      </c>
      <c r="K734" t="s">
        <v>36</v>
      </c>
      <c r="L734">
        <v>0</v>
      </c>
      <c r="M734" t="s">
        <v>36</v>
      </c>
      <c r="N734">
        <v>26</v>
      </c>
      <c r="O734">
        <v>5</v>
      </c>
      <c r="P734">
        <v>8</v>
      </c>
      <c r="Q734">
        <v>15</v>
      </c>
      <c r="R734">
        <v>0</v>
      </c>
      <c r="S734">
        <v>0</v>
      </c>
      <c r="AB734" t="str">
        <f t="shared" si="33"/>
        <v>Normal</v>
      </c>
      <c r="AC734" t="str">
        <f t="shared" si="34"/>
        <v>Normal</v>
      </c>
    </row>
    <row r="735" spans="4:29" x14ac:dyDescent="0.25">
      <c r="D735" t="s">
        <v>45</v>
      </c>
      <c r="E735">
        <v>1.6</v>
      </c>
      <c r="F735">
        <v>44</v>
      </c>
      <c r="G735">
        <v>456</v>
      </c>
      <c r="H735">
        <v>372</v>
      </c>
      <c r="I735" s="11">
        <f t="shared" si="35"/>
        <v>81.578947368421055</v>
      </c>
      <c r="J735">
        <v>2</v>
      </c>
      <c r="K735" t="s">
        <v>40</v>
      </c>
      <c r="L735">
        <v>1</v>
      </c>
      <c r="M735" t="s">
        <v>40</v>
      </c>
      <c r="N735">
        <v>7</v>
      </c>
      <c r="O735">
        <v>2</v>
      </c>
      <c r="P735">
        <v>12</v>
      </c>
      <c r="Q735">
        <v>4</v>
      </c>
      <c r="R735">
        <v>1</v>
      </c>
      <c r="S735">
        <v>0</v>
      </c>
      <c r="AB735" t="str">
        <f t="shared" si="33"/>
        <v>Normal</v>
      </c>
      <c r="AC735" t="str">
        <f t="shared" si="34"/>
        <v>Normal</v>
      </c>
    </row>
    <row r="736" spans="4:29" x14ac:dyDescent="0.25">
      <c r="D736" t="s">
        <v>52</v>
      </c>
      <c r="E736">
        <v>1</v>
      </c>
      <c r="F736">
        <v>34</v>
      </c>
      <c r="G736">
        <v>284</v>
      </c>
      <c r="H736">
        <v>188</v>
      </c>
      <c r="I736" s="11">
        <f t="shared" si="35"/>
        <v>66.197183098591552</v>
      </c>
      <c r="J736">
        <v>1</v>
      </c>
      <c r="K736" t="s">
        <v>40</v>
      </c>
      <c r="L736">
        <v>1</v>
      </c>
      <c r="M736" t="s">
        <v>40</v>
      </c>
      <c r="N736">
        <v>6</v>
      </c>
      <c r="O736">
        <v>3</v>
      </c>
      <c r="P736">
        <v>12</v>
      </c>
      <c r="Q736">
        <v>0</v>
      </c>
      <c r="R736">
        <v>3</v>
      </c>
      <c r="S736">
        <v>1</v>
      </c>
      <c r="AB736" t="str">
        <f t="shared" si="33"/>
        <v>Normal</v>
      </c>
      <c r="AC736" t="str">
        <f t="shared" si="34"/>
        <v>Normal</v>
      </c>
    </row>
    <row r="737" spans="4:29" x14ac:dyDescent="0.25">
      <c r="D737" t="s">
        <v>57</v>
      </c>
      <c r="E737">
        <v>0.7</v>
      </c>
      <c r="F737">
        <v>55</v>
      </c>
      <c r="G737">
        <v>540</v>
      </c>
      <c r="H737">
        <v>455</v>
      </c>
      <c r="I737" s="11">
        <f t="shared" si="35"/>
        <v>84.259259259259252</v>
      </c>
      <c r="J737">
        <v>0</v>
      </c>
      <c r="K737" t="s">
        <v>35</v>
      </c>
      <c r="L737">
        <v>0</v>
      </c>
      <c r="M737" t="s">
        <v>35</v>
      </c>
      <c r="N737">
        <v>10</v>
      </c>
      <c r="O737">
        <v>3</v>
      </c>
      <c r="P737">
        <v>13</v>
      </c>
      <c r="Q737">
        <v>8</v>
      </c>
      <c r="R737">
        <v>2</v>
      </c>
      <c r="S737">
        <v>1</v>
      </c>
      <c r="AB737" t="str">
        <f t="shared" si="33"/>
        <v>Normal</v>
      </c>
      <c r="AC737" t="str">
        <f t="shared" si="34"/>
        <v>Normal</v>
      </c>
    </row>
    <row r="738" spans="4:29" x14ac:dyDescent="0.25">
      <c r="D738" t="s">
        <v>51</v>
      </c>
      <c r="E738">
        <v>1.7</v>
      </c>
      <c r="F738">
        <v>48</v>
      </c>
      <c r="G738">
        <v>505</v>
      </c>
      <c r="H738">
        <v>422</v>
      </c>
      <c r="I738" s="11">
        <f t="shared" si="35"/>
        <v>83.56435643564356</v>
      </c>
      <c r="J738">
        <v>2</v>
      </c>
      <c r="K738" t="s">
        <v>40</v>
      </c>
      <c r="L738">
        <v>1</v>
      </c>
      <c r="M738" t="s">
        <v>40</v>
      </c>
      <c r="N738">
        <v>9</v>
      </c>
      <c r="O738">
        <v>4</v>
      </c>
      <c r="P738">
        <v>13</v>
      </c>
      <c r="Q738">
        <v>5</v>
      </c>
      <c r="R738">
        <v>1</v>
      </c>
      <c r="S738">
        <v>0</v>
      </c>
      <c r="AB738" t="str">
        <f t="shared" si="33"/>
        <v>Normal</v>
      </c>
      <c r="AC738" t="str">
        <f t="shared" si="34"/>
        <v>Normal</v>
      </c>
    </row>
    <row r="739" spans="4:29" x14ac:dyDescent="0.25">
      <c r="D739" t="s">
        <v>59</v>
      </c>
      <c r="E739">
        <v>1.1000000000000001</v>
      </c>
      <c r="F739">
        <v>45</v>
      </c>
      <c r="G739">
        <v>385</v>
      </c>
      <c r="H739">
        <v>298</v>
      </c>
      <c r="I739" s="11">
        <f t="shared" si="35"/>
        <v>77.402597402597408</v>
      </c>
      <c r="J739">
        <v>2</v>
      </c>
      <c r="K739" t="s">
        <v>36</v>
      </c>
      <c r="L739">
        <v>1</v>
      </c>
      <c r="M739" t="s">
        <v>36</v>
      </c>
      <c r="N739">
        <v>10</v>
      </c>
      <c r="O739">
        <v>6</v>
      </c>
      <c r="P739">
        <v>11</v>
      </c>
      <c r="Q739">
        <v>4</v>
      </c>
      <c r="R739">
        <v>3</v>
      </c>
      <c r="S739">
        <v>0</v>
      </c>
      <c r="AB739" t="str">
        <f t="shared" si="33"/>
        <v>Normal</v>
      </c>
      <c r="AC739" t="str">
        <f t="shared" si="34"/>
        <v>Normal</v>
      </c>
    </row>
    <row r="740" spans="4:29" x14ac:dyDescent="0.25">
      <c r="D740" t="s">
        <v>55</v>
      </c>
      <c r="E740">
        <v>3.3</v>
      </c>
      <c r="F740">
        <v>52</v>
      </c>
      <c r="G740">
        <v>455</v>
      </c>
      <c r="H740">
        <v>359</v>
      </c>
      <c r="I740" s="11">
        <f t="shared" si="35"/>
        <v>78.901098901098905</v>
      </c>
      <c r="J740">
        <v>2</v>
      </c>
      <c r="K740" t="s">
        <v>40</v>
      </c>
      <c r="L740">
        <v>1</v>
      </c>
      <c r="M740" t="s">
        <v>40</v>
      </c>
      <c r="N740">
        <v>23</v>
      </c>
      <c r="O740">
        <v>10</v>
      </c>
      <c r="P740">
        <v>10</v>
      </c>
      <c r="Q740">
        <v>8</v>
      </c>
      <c r="R740">
        <v>1</v>
      </c>
      <c r="S740">
        <v>0</v>
      </c>
      <c r="AB740" t="str">
        <f t="shared" si="33"/>
        <v>Normal</v>
      </c>
      <c r="AC740" t="str">
        <f t="shared" si="34"/>
        <v>Normal</v>
      </c>
    </row>
    <row r="741" spans="4:29" x14ac:dyDescent="0.25">
      <c r="D741" t="s">
        <v>42</v>
      </c>
      <c r="E741">
        <v>2.6</v>
      </c>
      <c r="F741">
        <v>55</v>
      </c>
      <c r="G741">
        <v>478</v>
      </c>
      <c r="H741">
        <v>402</v>
      </c>
      <c r="I741" s="11">
        <f t="shared" si="35"/>
        <v>84.10041841004184</v>
      </c>
      <c r="J741">
        <v>2</v>
      </c>
      <c r="K741" t="s">
        <v>36</v>
      </c>
      <c r="L741">
        <v>0</v>
      </c>
      <c r="M741" t="s">
        <v>35</v>
      </c>
      <c r="N741">
        <v>15</v>
      </c>
      <c r="O741">
        <v>7</v>
      </c>
      <c r="P741">
        <v>10</v>
      </c>
      <c r="Q741">
        <v>1</v>
      </c>
      <c r="R741">
        <v>1</v>
      </c>
      <c r="S741">
        <v>1</v>
      </c>
      <c r="AB741" t="str">
        <f t="shared" si="33"/>
        <v>Normal</v>
      </c>
      <c r="AC741" t="str">
        <f t="shared" si="34"/>
        <v>Normal</v>
      </c>
    </row>
    <row r="742" spans="4:29" x14ac:dyDescent="0.25">
      <c r="D742" t="s">
        <v>60</v>
      </c>
      <c r="E742">
        <v>0.5</v>
      </c>
      <c r="F742">
        <v>33</v>
      </c>
      <c r="G742">
        <v>305</v>
      </c>
      <c r="H742">
        <v>241</v>
      </c>
      <c r="I742" s="11">
        <f t="shared" si="35"/>
        <v>79.016393442622942</v>
      </c>
      <c r="J742">
        <v>0</v>
      </c>
      <c r="K742" t="s">
        <v>35</v>
      </c>
      <c r="L742">
        <v>0</v>
      </c>
      <c r="M742" t="s">
        <v>36</v>
      </c>
      <c r="N742">
        <v>3</v>
      </c>
      <c r="O742">
        <v>1</v>
      </c>
      <c r="P742">
        <v>12</v>
      </c>
      <c r="Q742">
        <v>1</v>
      </c>
      <c r="R742">
        <v>2</v>
      </c>
      <c r="S742">
        <v>0</v>
      </c>
      <c r="AB742" t="str">
        <f t="shared" si="33"/>
        <v>Normal</v>
      </c>
      <c r="AC742" t="str">
        <f t="shared" si="34"/>
        <v>Normal</v>
      </c>
    </row>
    <row r="743" spans="4:29" x14ac:dyDescent="0.25">
      <c r="D743" t="s">
        <v>33</v>
      </c>
      <c r="E743">
        <v>0.3</v>
      </c>
      <c r="F743">
        <v>53</v>
      </c>
      <c r="G743">
        <v>505</v>
      </c>
      <c r="H743">
        <v>405</v>
      </c>
      <c r="I743" s="11">
        <f t="shared" si="35"/>
        <v>80.198019801980209</v>
      </c>
      <c r="J743">
        <v>0</v>
      </c>
      <c r="K743" t="s">
        <v>35</v>
      </c>
      <c r="L743">
        <v>0</v>
      </c>
      <c r="M743" t="s">
        <v>36</v>
      </c>
      <c r="N743">
        <v>4</v>
      </c>
      <c r="O743">
        <v>1</v>
      </c>
      <c r="P743">
        <v>14</v>
      </c>
      <c r="Q743">
        <v>2</v>
      </c>
      <c r="R743">
        <v>6</v>
      </c>
      <c r="S743">
        <v>0</v>
      </c>
      <c r="AB743" t="str">
        <f t="shared" si="33"/>
        <v>Normal</v>
      </c>
      <c r="AC743" t="str">
        <f t="shared" si="34"/>
        <v>Normal</v>
      </c>
    </row>
    <row r="744" spans="4:29" x14ac:dyDescent="0.25">
      <c r="D744" t="s">
        <v>47</v>
      </c>
      <c r="E744">
        <v>1.2</v>
      </c>
      <c r="F744">
        <v>50</v>
      </c>
      <c r="G744">
        <v>543</v>
      </c>
      <c r="H744">
        <v>463</v>
      </c>
      <c r="I744" s="11">
        <f t="shared" si="35"/>
        <v>85.267034990791899</v>
      </c>
      <c r="J744">
        <v>0</v>
      </c>
      <c r="K744" t="s">
        <v>35</v>
      </c>
      <c r="L744">
        <v>0</v>
      </c>
      <c r="M744" t="s">
        <v>35</v>
      </c>
      <c r="N744">
        <v>6</v>
      </c>
      <c r="O744">
        <v>2</v>
      </c>
      <c r="P744">
        <v>10</v>
      </c>
      <c r="Q744">
        <v>5</v>
      </c>
      <c r="R744">
        <v>1</v>
      </c>
      <c r="S744">
        <v>0</v>
      </c>
      <c r="AB744" t="str">
        <f t="shared" si="33"/>
        <v>Normal</v>
      </c>
      <c r="AC744" t="str">
        <f t="shared" si="34"/>
        <v>Normal</v>
      </c>
    </row>
    <row r="745" spans="4:29" x14ac:dyDescent="0.25">
      <c r="D745" t="s">
        <v>48</v>
      </c>
      <c r="E745">
        <v>1.9</v>
      </c>
      <c r="F745">
        <v>40</v>
      </c>
      <c r="G745">
        <v>371</v>
      </c>
      <c r="H745">
        <v>277</v>
      </c>
      <c r="I745" s="11">
        <f t="shared" si="35"/>
        <v>74.66307277628033</v>
      </c>
      <c r="J745">
        <v>2</v>
      </c>
      <c r="K745" t="s">
        <v>40</v>
      </c>
      <c r="L745">
        <v>1</v>
      </c>
      <c r="M745" t="s">
        <v>40</v>
      </c>
      <c r="N745">
        <v>10</v>
      </c>
      <c r="O745">
        <v>5</v>
      </c>
      <c r="P745">
        <v>7</v>
      </c>
      <c r="Q745">
        <v>7</v>
      </c>
      <c r="R745">
        <v>3</v>
      </c>
      <c r="S745">
        <v>0</v>
      </c>
      <c r="AB745" t="str">
        <f t="shared" si="33"/>
        <v>Normal</v>
      </c>
      <c r="AC745" t="str">
        <f t="shared" si="34"/>
        <v>Normal</v>
      </c>
    </row>
    <row r="746" spans="4:29" x14ac:dyDescent="0.25">
      <c r="D746" t="s">
        <v>34</v>
      </c>
      <c r="E746">
        <v>1</v>
      </c>
      <c r="F746">
        <v>49</v>
      </c>
      <c r="G746">
        <v>400</v>
      </c>
      <c r="H746">
        <v>328</v>
      </c>
      <c r="I746" s="11">
        <f t="shared" si="35"/>
        <v>82</v>
      </c>
      <c r="J746">
        <v>3</v>
      </c>
      <c r="K746" t="s">
        <v>40</v>
      </c>
      <c r="L746">
        <v>1</v>
      </c>
      <c r="M746" t="s">
        <v>35</v>
      </c>
      <c r="N746">
        <v>16</v>
      </c>
      <c r="O746">
        <v>7</v>
      </c>
      <c r="P746">
        <v>8</v>
      </c>
      <c r="Q746">
        <v>3</v>
      </c>
      <c r="R746">
        <v>4</v>
      </c>
      <c r="S746">
        <v>0</v>
      </c>
      <c r="AB746" t="str">
        <f t="shared" si="33"/>
        <v>Normal</v>
      </c>
      <c r="AC746" t="str">
        <f t="shared" si="34"/>
        <v>Normal</v>
      </c>
    </row>
    <row r="747" spans="4:29" x14ac:dyDescent="0.25">
      <c r="D747" t="s">
        <v>38</v>
      </c>
      <c r="E747">
        <v>1.4</v>
      </c>
      <c r="F747">
        <v>50</v>
      </c>
      <c r="G747">
        <v>478</v>
      </c>
      <c r="H747">
        <v>404</v>
      </c>
      <c r="I747" s="11">
        <f t="shared" si="35"/>
        <v>84.51882845188284</v>
      </c>
      <c r="J747">
        <v>0</v>
      </c>
      <c r="K747" t="s">
        <v>35</v>
      </c>
      <c r="L747">
        <v>0</v>
      </c>
      <c r="M747" t="s">
        <v>35</v>
      </c>
      <c r="N747">
        <v>20</v>
      </c>
      <c r="O747">
        <v>2</v>
      </c>
      <c r="P747">
        <v>12</v>
      </c>
      <c r="Q747">
        <v>2</v>
      </c>
      <c r="R747">
        <v>0</v>
      </c>
      <c r="S747">
        <v>0</v>
      </c>
      <c r="AB747" t="str">
        <f t="shared" si="33"/>
        <v>Normal</v>
      </c>
      <c r="AC747" t="str">
        <f t="shared" si="34"/>
        <v>Normal</v>
      </c>
    </row>
    <row r="748" spans="4:29" x14ac:dyDescent="0.25">
      <c r="D748" t="s">
        <v>46</v>
      </c>
      <c r="E748">
        <v>1.5</v>
      </c>
      <c r="F748">
        <v>49</v>
      </c>
      <c r="G748">
        <v>427</v>
      </c>
      <c r="H748">
        <v>338</v>
      </c>
      <c r="I748" s="11">
        <f t="shared" si="35"/>
        <v>79.156908665105391</v>
      </c>
      <c r="J748">
        <v>0</v>
      </c>
      <c r="K748" t="s">
        <v>35</v>
      </c>
      <c r="L748">
        <v>0</v>
      </c>
      <c r="M748" t="s">
        <v>36</v>
      </c>
      <c r="N748">
        <v>14</v>
      </c>
      <c r="O748">
        <v>5</v>
      </c>
      <c r="P748">
        <v>9</v>
      </c>
      <c r="Q748">
        <v>7</v>
      </c>
      <c r="R748">
        <v>3</v>
      </c>
      <c r="S748">
        <v>0</v>
      </c>
      <c r="AB748" t="str">
        <f t="shared" si="33"/>
        <v>Normal</v>
      </c>
      <c r="AC748" t="str">
        <f t="shared" si="34"/>
        <v>Normal</v>
      </c>
    </row>
    <row r="749" spans="4:29" x14ac:dyDescent="0.25">
      <c r="D749" t="s">
        <v>39</v>
      </c>
      <c r="E749">
        <v>2.2000000000000002</v>
      </c>
      <c r="F749">
        <v>51</v>
      </c>
      <c r="G749">
        <v>501</v>
      </c>
      <c r="H749">
        <v>432</v>
      </c>
      <c r="I749" s="11">
        <f t="shared" si="35"/>
        <v>86.227544910179645</v>
      </c>
      <c r="J749">
        <v>2</v>
      </c>
      <c r="K749" t="s">
        <v>35</v>
      </c>
      <c r="L749">
        <v>2</v>
      </c>
      <c r="M749" t="s">
        <v>40</v>
      </c>
      <c r="N749">
        <v>18</v>
      </c>
      <c r="O749">
        <v>5</v>
      </c>
      <c r="P749">
        <v>8</v>
      </c>
      <c r="Q749">
        <v>3</v>
      </c>
      <c r="R749">
        <v>0</v>
      </c>
      <c r="S749">
        <v>0</v>
      </c>
      <c r="AB749" t="str">
        <f t="shared" si="33"/>
        <v>Normal</v>
      </c>
      <c r="AC749" t="str">
        <f t="shared" si="34"/>
        <v>Normal</v>
      </c>
    </row>
    <row r="750" spans="4:29" x14ac:dyDescent="0.25">
      <c r="D750" t="s">
        <v>43</v>
      </c>
      <c r="E750">
        <v>1.4</v>
      </c>
      <c r="F750">
        <v>69</v>
      </c>
      <c r="G750">
        <v>671</v>
      </c>
      <c r="H750">
        <v>577</v>
      </c>
      <c r="I750" s="11">
        <f t="shared" si="35"/>
        <v>85.991058122205672</v>
      </c>
      <c r="J750">
        <v>2</v>
      </c>
      <c r="K750" t="s">
        <v>35</v>
      </c>
      <c r="L750">
        <v>1</v>
      </c>
      <c r="M750" t="s">
        <v>35</v>
      </c>
      <c r="N750">
        <v>12</v>
      </c>
      <c r="O750">
        <v>3</v>
      </c>
      <c r="P750">
        <v>8</v>
      </c>
      <c r="Q750">
        <v>10</v>
      </c>
      <c r="R750">
        <v>2</v>
      </c>
      <c r="S750">
        <v>0</v>
      </c>
      <c r="AB750" t="str">
        <f t="shared" si="33"/>
        <v>Normal</v>
      </c>
      <c r="AC750" t="str">
        <f t="shared" si="34"/>
        <v>Normal</v>
      </c>
    </row>
    <row r="751" spans="4:29" x14ac:dyDescent="0.25">
      <c r="D751" t="s">
        <v>49</v>
      </c>
      <c r="E751">
        <v>1.1000000000000001</v>
      </c>
      <c r="F751">
        <v>43</v>
      </c>
      <c r="G751">
        <v>482</v>
      </c>
      <c r="H751">
        <v>401</v>
      </c>
      <c r="I751" s="11">
        <f t="shared" si="35"/>
        <v>83.195020746887977</v>
      </c>
      <c r="J751">
        <v>1</v>
      </c>
      <c r="K751" t="s">
        <v>35</v>
      </c>
      <c r="L751">
        <v>0</v>
      </c>
      <c r="M751" t="s">
        <v>35</v>
      </c>
      <c r="N751">
        <v>8</v>
      </c>
      <c r="O751">
        <v>2</v>
      </c>
      <c r="P751">
        <v>13</v>
      </c>
      <c r="Q751">
        <v>1</v>
      </c>
      <c r="R751">
        <v>3</v>
      </c>
      <c r="S751">
        <v>1</v>
      </c>
      <c r="AB751" t="str">
        <f t="shared" si="33"/>
        <v>Normal</v>
      </c>
      <c r="AC751" t="str">
        <f t="shared" si="34"/>
        <v>Normal</v>
      </c>
    </row>
    <row r="752" spans="4:29" x14ac:dyDescent="0.25">
      <c r="D752" t="s">
        <v>59</v>
      </c>
      <c r="E752">
        <v>0.3</v>
      </c>
      <c r="F752">
        <v>37</v>
      </c>
      <c r="G752">
        <v>322</v>
      </c>
      <c r="H752">
        <v>234</v>
      </c>
      <c r="I752" s="11">
        <f t="shared" si="35"/>
        <v>72.67080745341616</v>
      </c>
      <c r="J752">
        <v>0</v>
      </c>
      <c r="K752" t="s">
        <v>35</v>
      </c>
      <c r="L752">
        <v>0</v>
      </c>
      <c r="M752" t="s">
        <v>36</v>
      </c>
      <c r="N752">
        <v>3</v>
      </c>
      <c r="O752">
        <v>0</v>
      </c>
      <c r="P752">
        <v>16</v>
      </c>
      <c r="Q752">
        <v>1</v>
      </c>
      <c r="R752">
        <v>2</v>
      </c>
      <c r="S752">
        <v>0</v>
      </c>
      <c r="AB752" t="str">
        <f t="shared" si="33"/>
        <v>Normal</v>
      </c>
      <c r="AC752" t="str">
        <f t="shared" si="34"/>
        <v>Normal</v>
      </c>
    </row>
    <row r="753" spans="4:29" x14ac:dyDescent="0.25">
      <c r="D753" t="s">
        <v>58</v>
      </c>
      <c r="E753">
        <v>3</v>
      </c>
      <c r="F753">
        <v>53</v>
      </c>
      <c r="G753">
        <v>539</v>
      </c>
      <c r="H753">
        <v>448</v>
      </c>
      <c r="I753" s="11">
        <f t="shared" si="35"/>
        <v>83.116883116883116</v>
      </c>
      <c r="J753">
        <v>2</v>
      </c>
      <c r="K753" t="s">
        <v>40</v>
      </c>
      <c r="L753">
        <v>1</v>
      </c>
      <c r="M753" t="s">
        <v>40</v>
      </c>
      <c r="N753">
        <v>20</v>
      </c>
      <c r="O753">
        <v>5</v>
      </c>
      <c r="P753">
        <v>5</v>
      </c>
      <c r="Q753">
        <v>6</v>
      </c>
      <c r="R753">
        <v>0</v>
      </c>
      <c r="S753">
        <v>0</v>
      </c>
      <c r="AB753" t="str">
        <f t="shared" si="33"/>
        <v>Normal</v>
      </c>
      <c r="AC753" t="str">
        <f t="shared" si="34"/>
        <v>Normal</v>
      </c>
    </row>
    <row r="754" spans="4:29" x14ac:dyDescent="0.25">
      <c r="D754" t="s">
        <v>51</v>
      </c>
      <c r="E754">
        <v>1.1000000000000001</v>
      </c>
      <c r="F754">
        <v>58</v>
      </c>
      <c r="G754">
        <v>654</v>
      </c>
      <c r="H754">
        <v>564</v>
      </c>
      <c r="I754" s="11">
        <f t="shared" si="35"/>
        <v>86.238532110091754</v>
      </c>
      <c r="J754">
        <v>3</v>
      </c>
      <c r="K754" t="s">
        <v>40</v>
      </c>
      <c r="L754">
        <v>1</v>
      </c>
      <c r="M754" t="s">
        <v>40</v>
      </c>
      <c r="N754">
        <v>10</v>
      </c>
      <c r="O754">
        <v>6</v>
      </c>
      <c r="P754">
        <v>9</v>
      </c>
      <c r="Q754">
        <v>0</v>
      </c>
      <c r="R754">
        <v>1</v>
      </c>
      <c r="S754">
        <v>0</v>
      </c>
      <c r="AB754" t="str">
        <f t="shared" si="33"/>
        <v>Normal</v>
      </c>
      <c r="AC754" t="str">
        <f t="shared" si="34"/>
        <v>Normal</v>
      </c>
    </row>
    <row r="755" spans="4:29" x14ac:dyDescent="0.25">
      <c r="D755" t="s">
        <v>55</v>
      </c>
      <c r="E755">
        <v>1.8</v>
      </c>
      <c r="F755">
        <v>31</v>
      </c>
      <c r="G755">
        <v>319</v>
      </c>
      <c r="H755">
        <v>224</v>
      </c>
      <c r="I755" s="11">
        <f t="shared" si="35"/>
        <v>70.219435736677113</v>
      </c>
      <c r="J755">
        <v>1</v>
      </c>
      <c r="K755" t="s">
        <v>36</v>
      </c>
      <c r="L755">
        <v>1</v>
      </c>
      <c r="M755" t="s">
        <v>40</v>
      </c>
      <c r="N755">
        <v>8</v>
      </c>
      <c r="O755">
        <v>5</v>
      </c>
      <c r="P755">
        <v>10</v>
      </c>
      <c r="Q755">
        <v>0</v>
      </c>
      <c r="R755">
        <v>0</v>
      </c>
      <c r="S755">
        <v>0</v>
      </c>
      <c r="AB755" t="str">
        <f t="shared" si="33"/>
        <v>Normal</v>
      </c>
      <c r="AC755" t="str">
        <f t="shared" si="34"/>
        <v>Normal</v>
      </c>
    </row>
    <row r="756" spans="4:29" x14ac:dyDescent="0.25">
      <c r="D756" t="s">
        <v>52</v>
      </c>
      <c r="E756">
        <v>0.4</v>
      </c>
      <c r="F756">
        <v>33</v>
      </c>
      <c r="G756">
        <v>322</v>
      </c>
      <c r="H756">
        <v>223</v>
      </c>
      <c r="I756" s="11">
        <f t="shared" si="35"/>
        <v>69.254658385093165</v>
      </c>
      <c r="J756">
        <v>0</v>
      </c>
      <c r="K756" t="s">
        <v>35</v>
      </c>
      <c r="L756">
        <v>0</v>
      </c>
      <c r="M756" t="s">
        <v>36</v>
      </c>
      <c r="N756">
        <v>6</v>
      </c>
      <c r="O756">
        <v>1</v>
      </c>
      <c r="P756">
        <v>10</v>
      </c>
      <c r="Q756">
        <v>3</v>
      </c>
      <c r="R756">
        <v>2</v>
      </c>
      <c r="S756">
        <v>1</v>
      </c>
      <c r="AB756" t="str">
        <f t="shared" si="33"/>
        <v>Normal</v>
      </c>
      <c r="AC756" t="str">
        <f t="shared" si="34"/>
        <v>Normal</v>
      </c>
    </row>
    <row r="757" spans="4:29" x14ac:dyDescent="0.25">
      <c r="D757" t="s">
        <v>44</v>
      </c>
      <c r="E757">
        <v>1.2</v>
      </c>
      <c r="F757">
        <v>35</v>
      </c>
      <c r="G757">
        <v>318</v>
      </c>
      <c r="H757">
        <v>240</v>
      </c>
      <c r="I757" s="11">
        <f t="shared" si="35"/>
        <v>75.471698113207552</v>
      </c>
      <c r="J757">
        <v>1</v>
      </c>
      <c r="K757" t="s">
        <v>40</v>
      </c>
      <c r="L757">
        <v>0</v>
      </c>
      <c r="M757" t="s">
        <v>36</v>
      </c>
      <c r="N757">
        <v>14</v>
      </c>
      <c r="O757">
        <v>6</v>
      </c>
      <c r="P757">
        <v>9</v>
      </c>
      <c r="Q757">
        <v>3</v>
      </c>
      <c r="R757">
        <v>4</v>
      </c>
      <c r="S757">
        <v>0</v>
      </c>
      <c r="AB757" t="str">
        <f t="shared" si="33"/>
        <v>Normal</v>
      </c>
      <c r="AC757" t="str">
        <f t="shared" si="34"/>
        <v>Normal</v>
      </c>
    </row>
    <row r="758" spans="4:29" x14ac:dyDescent="0.25">
      <c r="D758" t="s">
        <v>57</v>
      </c>
      <c r="E758">
        <v>1.1000000000000001</v>
      </c>
      <c r="F758">
        <v>48</v>
      </c>
      <c r="G758">
        <v>443</v>
      </c>
      <c r="H758">
        <v>347</v>
      </c>
      <c r="I758" s="11">
        <f t="shared" si="35"/>
        <v>78.329571106094804</v>
      </c>
      <c r="J758">
        <v>1</v>
      </c>
      <c r="K758" t="s">
        <v>40</v>
      </c>
      <c r="L758">
        <v>0</v>
      </c>
      <c r="M758" t="s">
        <v>36</v>
      </c>
      <c r="N758">
        <v>6</v>
      </c>
      <c r="O758">
        <v>2</v>
      </c>
      <c r="P758">
        <v>11</v>
      </c>
      <c r="Q758">
        <v>4</v>
      </c>
      <c r="R758">
        <v>2</v>
      </c>
      <c r="S758">
        <v>0</v>
      </c>
      <c r="AB758" t="str">
        <f t="shared" si="33"/>
        <v>Normal</v>
      </c>
      <c r="AC758" t="str">
        <f t="shared" si="34"/>
        <v>Normal</v>
      </c>
    </row>
    <row r="759" spans="4:29" x14ac:dyDescent="0.25">
      <c r="D759" t="s">
        <v>42</v>
      </c>
      <c r="E759">
        <v>2.2999999999999998</v>
      </c>
      <c r="F759">
        <v>62</v>
      </c>
      <c r="G759">
        <v>581</v>
      </c>
      <c r="H759">
        <v>509</v>
      </c>
      <c r="I759" s="11">
        <f t="shared" si="35"/>
        <v>87.607573149741825</v>
      </c>
      <c r="J759">
        <v>2</v>
      </c>
      <c r="K759" t="s">
        <v>40</v>
      </c>
      <c r="L759">
        <v>1</v>
      </c>
      <c r="M759" t="s">
        <v>40</v>
      </c>
      <c r="N759">
        <v>23</v>
      </c>
      <c r="O759">
        <v>8</v>
      </c>
      <c r="P759">
        <v>8</v>
      </c>
      <c r="Q759">
        <v>8</v>
      </c>
      <c r="R759">
        <v>0</v>
      </c>
      <c r="S759">
        <v>0</v>
      </c>
      <c r="AB759" t="str">
        <f t="shared" si="33"/>
        <v>Normal</v>
      </c>
      <c r="AC759" t="str">
        <f t="shared" si="34"/>
        <v>Normal</v>
      </c>
    </row>
    <row r="760" spans="4:29" x14ac:dyDescent="0.25">
      <c r="D760" t="s">
        <v>45</v>
      </c>
      <c r="E760">
        <v>2.2000000000000002</v>
      </c>
      <c r="F760">
        <v>66</v>
      </c>
      <c r="G760">
        <v>592</v>
      </c>
      <c r="H760">
        <v>509</v>
      </c>
      <c r="I760" s="11">
        <f t="shared" si="35"/>
        <v>85.979729729729726</v>
      </c>
      <c r="J760">
        <v>4</v>
      </c>
      <c r="K760" t="s">
        <v>40</v>
      </c>
      <c r="L760">
        <v>0</v>
      </c>
      <c r="M760" t="s">
        <v>35</v>
      </c>
      <c r="N760">
        <v>23</v>
      </c>
      <c r="O760">
        <v>8</v>
      </c>
      <c r="P760">
        <v>8</v>
      </c>
      <c r="Q760">
        <v>11</v>
      </c>
      <c r="R760">
        <v>1</v>
      </c>
      <c r="S760">
        <v>0</v>
      </c>
      <c r="AB760" t="str">
        <f t="shared" si="33"/>
        <v>Normal</v>
      </c>
      <c r="AC760" t="str">
        <f t="shared" si="34"/>
        <v>Normal</v>
      </c>
    </row>
    <row r="761" spans="4:29" x14ac:dyDescent="0.25">
      <c r="D761" t="s">
        <v>54</v>
      </c>
      <c r="E761">
        <v>1.4</v>
      </c>
      <c r="F761">
        <v>51</v>
      </c>
      <c r="G761">
        <v>490</v>
      </c>
      <c r="H761">
        <v>402</v>
      </c>
      <c r="I761" s="11">
        <f t="shared" si="35"/>
        <v>82.040816326530603</v>
      </c>
      <c r="J761">
        <v>1</v>
      </c>
      <c r="K761" t="s">
        <v>36</v>
      </c>
      <c r="L761">
        <v>1</v>
      </c>
      <c r="M761" t="s">
        <v>40</v>
      </c>
      <c r="N761">
        <v>13</v>
      </c>
      <c r="O761">
        <v>7</v>
      </c>
      <c r="P761">
        <v>9</v>
      </c>
      <c r="Q761">
        <v>3</v>
      </c>
      <c r="R761">
        <v>1</v>
      </c>
      <c r="S761">
        <v>0</v>
      </c>
      <c r="AB761" t="str">
        <f t="shared" si="33"/>
        <v>Normal</v>
      </c>
      <c r="AC761" t="str">
        <f t="shared" si="34"/>
        <v>Normal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3454-B7DC-41A5-9175-06DA8D2DDCE0}">
  <dimension ref="A1:Z171"/>
  <sheetViews>
    <sheetView topLeftCell="C1" zoomScaleNormal="100" workbookViewId="0">
      <selection activeCell="L1" sqref="L1:L22"/>
    </sheetView>
  </sheetViews>
  <sheetFormatPr defaultRowHeight="15" x14ac:dyDescent="0.25"/>
  <cols>
    <col min="1" max="1" width="15.42578125" bestFit="1" customWidth="1"/>
    <col min="2" max="2" width="14.85546875" bestFit="1" customWidth="1"/>
    <col min="3" max="3" width="16.42578125" bestFit="1" customWidth="1"/>
    <col min="4" max="5" width="14.5703125" bestFit="1" customWidth="1"/>
    <col min="6" max="6" width="13.42578125" bestFit="1" customWidth="1"/>
    <col min="7" max="7" width="14.42578125" bestFit="1" customWidth="1"/>
    <col min="8" max="8" width="13.42578125" bestFit="1" customWidth="1"/>
    <col min="9" max="11" width="13.5703125" bestFit="1" customWidth="1"/>
    <col min="12" max="12" width="15.85546875" bestFit="1" customWidth="1"/>
    <col min="13" max="13" width="13.28515625" bestFit="1" customWidth="1"/>
    <col min="14" max="14" width="12.140625" bestFit="1" customWidth="1"/>
    <col min="15" max="19" width="10.5703125" bestFit="1" customWidth="1"/>
    <col min="20" max="20" width="10.5703125" customWidth="1"/>
    <col min="21" max="23" width="10.5703125" bestFit="1" customWidth="1"/>
  </cols>
  <sheetData>
    <row r="1" spans="1:26" x14ac:dyDescent="0.25">
      <c r="A1" s="4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111</v>
      </c>
      <c r="P1" t="s">
        <v>71</v>
      </c>
      <c r="Q1" t="s">
        <v>72</v>
      </c>
      <c r="R1" t="s">
        <v>73</v>
      </c>
      <c r="S1" t="s">
        <v>74</v>
      </c>
      <c r="T1" t="s">
        <v>110</v>
      </c>
      <c r="U1" t="s">
        <v>75</v>
      </c>
      <c r="V1" t="s">
        <v>87</v>
      </c>
      <c r="W1" t="s">
        <v>88</v>
      </c>
      <c r="X1" t="s">
        <v>89</v>
      </c>
    </row>
    <row r="2" spans="1:26" x14ac:dyDescent="0.25">
      <c r="A2" s="5" t="s">
        <v>42</v>
      </c>
      <c r="B2" s="7">
        <v>1.5789473684210522</v>
      </c>
      <c r="C2" s="11">
        <v>56.89473684210526</v>
      </c>
      <c r="D2" s="7">
        <v>532.65789473684208</v>
      </c>
      <c r="E2" s="7">
        <v>449.10526315789474</v>
      </c>
      <c r="F2" s="7">
        <v>14.394736842105264</v>
      </c>
      <c r="G2" s="7">
        <v>4.9473684210526319</v>
      </c>
      <c r="H2" s="7">
        <v>10.526315789473685</v>
      </c>
      <c r="I2" s="7">
        <v>6.6052631578947372</v>
      </c>
      <c r="J2" s="7">
        <v>1.6842105263157894</v>
      </c>
      <c r="K2" s="7">
        <v>0.15789473684210525</v>
      </c>
      <c r="L2" s="11">
        <v>83.394259813476538</v>
      </c>
      <c r="P2" s="7">
        <f t="shared" ref="P2:P21" si="0">(B2-(MIN($B$2:$B$21)))/((MAX($B$2:$B$21))-(MIN($B$2:$B$21)))</f>
        <v>0.55443548387096742</v>
      </c>
      <c r="Q2" s="7">
        <f t="shared" ref="Q2:Q21" si="1">(C2-(MIN($C$2:$C$21)))/((MAX($C$2:$C$21))-(MIN($C$2:$C$21)))</f>
        <v>0.78580481622306686</v>
      </c>
      <c r="R2" s="7">
        <f t="shared" ref="R2:R21" si="2">(D2-(MIN($D$2:$D$21)))/((MAX($D$2:$D$21))-(MIN($D$2:$D$21)))</f>
        <v>0.58301081671132282</v>
      </c>
      <c r="S2" s="7">
        <f t="shared" ref="S2:S21" si="3">(E2-(MIN($E$2:$E$21)))/((MAX($E$2:$E$21))-(MIN($E$2:$E$21)))</f>
        <v>0.58306097674852941</v>
      </c>
      <c r="T2" s="7"/>
      <c r="U2" s="7">
        <f t="shared" ref="U2:U21" si="4">(F2-(MIN($F$2:$F$21)))/((MAX($F$2:$F$21))-(MIN($F$2:$F$21)))</f>
        <v>0.67731629392971238</v>
      </c>
      <c r="V2" s="7">
        <f t="shared" ref="V2:V21" si="5">(G2-(MIN($G$2:$G$21)))/((MAX($G$2:$G$21))-(MIN($G$2:$G$21)))</f>
        <v>0.64166666666666683</v>
      </c>
      <c r="W2" s="7">
        <f t="shared" ref="W2:W21" si="6">(H2-(MIN($H$2:$H$21)))/((MAX($H$2:$H$21))-(MIN($H$2:$H$21)))</f>
        <v>0.49779735682819393</v>
      </c>
      <c r="X2" s="7">
        <f t="shared" ref="X2:X21" si="7">(I2-(MIN($I$2:$I$21)))/((MAX($I$2:$I$21))-(MIN($I$2:$I$21)))</f>
        <v>0.98214285714285721</v>
      </c>
      <c r="Y2" s="7"/>
      <c r="Z2" s="7"/>
    </row>
    <row r="3" spans="1:26" x14ac:dyDescent="0.25">
      <c r="A3" s="5" t="s">
        <v>52</v>
      </c>
      <c r="B3" s="7">
        <v>1.4736842105263157</v>
      </c>
      <c r="C3" s="11">
        <v>50.526315789473685</v>
      </c>
      <c r="D3" s="7">
        <v>468.34210526315792</v>
      </c>
      <c r="E3" s="7">
        <v>386.86842105263156</v>
      </c>
      <c r="F3" s="7">
        <v>12.736842105263158</v>
      </c>
      <c r="G3" s="7">
        <v>4.4736842105263159</v>
      </c>
      <c r="H3" s="7">
        <v>10.684210526315789</v>
      </c>
      <c r="I3" s="7">
        <v>6.1052631578947372</v>
      </c>
      <c r="J3" s="7">
        <v>1.8947368421052631</v>
      </c>
      <c r="K3" s="7">
        <v>0.10526315789473684</v>
      </c>
      <c r="L3" s="11">
        <v>81.684417313068394</v>
      </c>
      <c r="P3" s="7">
        <f t="shared" si="0"/>
        <v>0.47379032258064507</v>
      </c>
      <c r="Q3" s="7">
        <f t="shared" si="1"/>
        <v>0.47908745247148282</v>
      </c>
      <c r="R3" s="7">
        <f t="shared" si="2"/>
        <v>0.34047831695941272</v>
      </c>
      <c r="S3" s="7">
        <f t="shared" si="3"/>
        <v>0.36221869455598099</v>
      </c>
      <c r="T3" s="7"/>
      <c r="U3" s="7">
        <f t="shared" si="4"/>
        <v>0.47603833865814682</v>
      </c>
      <c r="V3" s="7">
        <f t="shared" si="5"/>
        <v>0.49166666666666681</v>
      </c>
      <c r="W3" s="7">
        <f t="shared" si="6"/>
        <v>0.52422907488986781</v>
      </c>
      <c r="X3" s="7">
        <f t="shared" si="7"/>
        <v>0.81250000000000011</v>
      </c>
      <c r="Y3" s="7"/>
      <c r="Z3" s="7"/>
    </row>
    <row r="4" spans="1:26" x14ac:dyDescent="0.25">
      <c r="A4" s="5" t="s">
        <v>49</v>
      </c>
      <c r="B4" s="7">
        <v>1.6789473684210532</v>
      </c>
      <c r="C4" s="11">
        <v>48.5</v>
      </c>
      <c r="D4" s="7">
        <v>444.73684210526318</v>
      </c>
      <c r="E4" s="7">
        <v>341.5</v>
      </c>
      <c r="F4" s="7">
        <v>15.263157894736842</v>
      </c>
      <c r="G4" s="7">
        <v>5.3157894736842106</v>
      </c>
      <c r="H4" s="7">
        <v>13.526315789473685</v>
      </c>
      <c r="I4" s="7">
        <v>6.0263157894736841</v>
      </c>
      <c r="J4" s="7">
        <v>2.5526315789473686</v>
      </c>
      <c r="K4" s="7">
        <v>7.8947368421052627E-2</v>
      </c>
      <c r="L4" s="11">
        <v>76.275310576047232</v>
      </c>
      <c r="P4" s="7">
        <f t="shared" si="0"/>
        <v>0.63104838709677469</v>
      </c>
      <c r="Q4" s="7">
        <f t="shared" si="1"/>
        <v>0.38149556400506962</v>
      </c>
      <c r="R4" s="7">
        <f t="shared" si="2"/>
        <v>0.25146372928450944</v>
      </c>
      <c r="S4" s="7">
        <f t="shared" si="3"/>
        <v>0.20123260808665613</v>
      </c>
      <c r="T4" s="7"/>
      <c r="U4" s="7">
        <f t="shared" si="4"/>
        <v>0.78274760383386577</v>
      </c>
      <c r="V4" s="7">
        <f t="shared" si="5"/>
        <v>0.75833333333333341</v>
      </c>
      <c r="W4" s="7">
        <f t="shared" si="6"/>
        <v>1</v>
      </c>
      <c r="X4" s="7">
        <f t="shared" si="7"/>
        <v>0.78571428571428559</v>
      </c>
      <c r="Y4" s="7"/>
      <c r="Z4" s="7"/>
    </row>
    <row r="5" spans="1:26" x14ac:dyDescent="0.25">
      <c r="A5" s="5" t="s">
        <v>54</v>
      </c>
      <c r="B5" s="7">
        <v>1.5526315789473681</v>
      </c>
      <c r="C5" s="11">
        <v>47.868421052631582</v>
      </c>
      <c r="D5" s="7">
        <v>450</v>
      </c>
      <c r="E5" s="7">
        <v>351.5263157894737</v>
      </c>
      <c r="F5" s="7">
        <v>11.605263157894736</v>
      </c>
      <c r="G5" s="7">
        <v>4.8421052631578947</v>
      </c>
      <c r="H5" s="7">
        <v>8.3947368421052637</v>
      </c>
      <c r="I5" s="7">
        <v>4.6052631578947372</v>
      </c>
      <c r="J5" s="7">
        <v>1.631578947368421</v>
      </c>
      <c r="K5" s="7">
        <v>2.6315789473684209E-2</v>
      </c>
      <c r="L5" s="11">
        <v>77.688921112012608</v>
      </c>
      <c r="P5" s="7">
        <f t="shared" si="0"/>
        <v>0.5342741935483869</v>
      </c>
      <c r="Q5" s="7">
        <f t="shared" si="1"/>
        <v>0.35107731305449941</v>
      </c>
      <c r="R5" s="7">
        <f t="shared" si="2"/>
        <v>0.27131090602361824</v>
      </c>
      <c r="S5" s="7">
        <f t="shared" si="3"/>
        <v>0.23681015967877497</v>
      </c>
      <c r="T5" s="7"/>
      <c r="U5" s="7">
        <f t="shared" si="4"/>
        <v>0.33865814696485608</v>
      </c>
      <c r="V5" s="7">
        <f t="shared" si="5"/>
        <v>0.60833333333333339</v>
      </c>
      <c r="W5" s="7">
        <f t="shared" si="6"/>
        <v>0.14096916299559484</v>
      </c>
      <c r="X5" s="7">
        <f t="shared" si="7"/>
        <v>0.3035714285714286</v>
      </c>
      <c r="Y5" s="7"/>
      <c r="Z5" s="7"/>
    </row>
    <row r="6" spans="1:26" x14ac:dyDescent="0.25">
      <c r="A6" s="5" t="s">
        <v>45</v>
      </c>
      <c r="B6" s="7">
        <v>1.5394736842105261</v>
      </c>
      <c r="C6" s="11">
        <v>52.342105263157897</v>
      </c>
      <c r="D6" s="7">
        <v>504.94736842105266</v>
      </c>
      <c r="E6" s="7">
        <v>416.31578947368422</v>
      </c>
      <c r="F6" s="7">
        <v>14.026315789473685</v>
      </c>
      <c r="G6" s="7">
        <v>5.0263157894736841</v>
      </c>
      <c r="H6" s="7">
        <v>11.526315789473685</v>
      </c>
      <c r="I6" s="7">
        <v>4.9736842105263159</v>
      </c>
      <c r="J6" s="7">
        <v>1.8947368421052631</v>
      </c>
      <c r="K6" s="7">
        <v>7.8947368421052627E-2</v>
      </c>
      <c r="L6" s="11">
        <v>82.088259171754004</v>
      </c>
      <c r="P6" s="7">
        <f t="shared" si="0"/>
        <v>0.52419354838709664</v>
      </c>
      <c r="Q6" s="7">
        <f t="shared" si="1"/>
        <v>0.56653992395437258</v>
      </c>
      <c r="R6" s="7">
        <f t="shared" si="2"/>
        <v>0.47851543117991485</v>
      </c>
      <c r="S6" s="7">
        <f t="shared" si="3"/>
        <v>0.46671024372023545</v>
      </c>
      <c r="T6" s="7"/>
      <c r="U6" s="7">
        <f t="shared" si="4"/>
        <v>0.63258785942492013</v>
      </c>
      <c r="V6" s="7">
        <f t="shared" si="5"/>
        <v>0.66666666666666674</v>
      </c>
      <c r="W6" s="7">
        <f t="shared" si="6"/>
        <v>0.66519823788546262</v>
      </c>
      <c r="X6" s="7">
        <f t="shared" si="7"/>
        <v>0.42857142857142855</v>
      </c>
      <c r="Y6" s="7"/>
      <c r="Z6" s="7"/>
    </row>
    <row r="7" spans="1:26" x14ac:dyDescent="0.25">
      <c r="A7" s="5" t="s">
        <v>57</v>
      </c>
      <c r="B7" s="7">
        <v>1.7842105263157895</v>
      </c>
      <c r="C7" s="11">
        <v>57.05263157894737</v>
      </c>
      <c r="D7" s="7">
        <v>561.0526315789474</v>
      </c>
      <c r="E7" s="7">
        <v>474.55263157894734</v>
      </c>
      <c r="F7" s="7">
        <v>15.657894736842104</v>
      </c>
      <c r="G7" s="7">
        <v>5.7368421052631575</v>
      </c>
      <c r="H7" s="7">
        <v>11.473684210526315</v>
      </c>
      <c r="I7" s="7">
        <v>6.2105263157894735</v>
      </c>
      <c r="J7" s="7">
        <v>2.5789473684210527</v>
      </c>
      <c r="K7" s="7">
        <v>5.2631578947368418E-2</v>
      </c>
      <c r="L7" s="11">
        <v>84.235922666645294</v>
      </c>
      <c r="P7" s="7">
        <f t="shared" si="0"/>
        <v>0.71169354838709686</v>
      </c>
      <c r="Q7" s="7">
        <f t="shared" si="1"/>
        <v>0.79340937896070973</v>
      </c>
      <c r="R7" s="7">
        <f t="shared" si="2"/>
        <v>0.69008633521881535</v>
      </c>
      <c r="S7" s="7">
        <f t="shared" si="3"/>
        <v>0.67335885703613785</v>
      </c>
      <c r="T7" s="7"/>
      <c r="U7" s="7">
        <f t="shared" si="4"/>
        <v>0.83067092651757168</v>
      </c>
      <c r="V7" s="7">
        <f t="shared" si="5"/>
        <v>0.89166666666666672</v>
      </c>
      <c r="W7" s="7">
        <f t="shared" si="6"/>
        <v>0.65638766519823766</v>
      </c>
      <c r="X7" s="7">
        <f t="shared" si="7"/>
        <v>0.84821428571428559</v>
      </c>
      <c r="Y7" s="7"/>
      <c r="Z7" s="7"/>
    </row>
    <row r="8" spans="1:26" x14ac:dyDescent="0.25">
      <c r="A8" s="5" t="s">
        <v>55</v>
      </c>
      <c r="B8" s="7">
        <v>1.5894736842105259</v>
      </c>
      <c r="C8" s="11">
        <v>42.763157894736842</v>
      </c>
      <c r="D8" s="7">
        <v>414.57894736842104</v>
      </c>
      <c r="E8" s="7">
        <v>312.5</v>
      </c>
      <c r="F8" s="7">
        <v>13.578947368421053</v>
      </c>
      <c r="G8" s="7">
        <v>4.8947368421052628</v>
      </c>
      <c r="H8" s="7">
        <v>10.973684210526315</v>
      </c>
      <c r="I8" s="7">
        <v>4.5263157894736841</v>
      </c>
      <c r="J8" s="7">
        <v>1.9736842105263157</v>
      </c>
      <c r="K8" s="7">
        <v>0.10526315789473684</v>
      </c>
      <c r="L8" s="11">
        <v>74.466894054564861</v>
      </c>
      <c r="P8" s="7">
        <f t="shared" si="0"/>
        <v>0.56249999999999967</v>
      </c>
      <c r="Q8" s="7">
        <f t="shared" si="1"/>
        <v>0.10519645120405567</v>
      </c>
      <c r="R8" s="7">
        <f t="shared" si="2"/>
        <v>0.13773940656941555</v>
      </c>
      <c r="S8" s="7">
        <f t="shared" si="3"/>
        <v>9.8328508730973985E-2</v>
      </c>
      <c r="T8" s="7"/>
      <c r="U8" s="7">
        <f t="shared" si="4"/>
        <v>0.57827476038338654</v>
      </c>
      <c r="V8" s="7">
        <f t="shared" si="5"/>
        <v>0.625</v>
      </c>
      <c r="W8" s="7">
        <f t="shared" si="6"/>
        <v>0.57268722466960331</v>
      </c>
      <c r="X8" s="7">
        <f t="shared" si="7"/>
        <v>0.27678571428571419</v>
      </c>
      <c r="Y8" s="7"/>
      <c r="Z8" s="7"/>
    </row>
    <row r="9" spans="1:26" x14ac:dyDescent="0.25">
      <c r="A9" s="5" t="s">
        <v>44</v>
      </c>
      <c r="B9" s="7">
        <v>1.1052631578947369</v>
      </c>
      <c r="C9" s="11">
        <v>40.89473684210526</v>
      </c>
      <c r="D9" s="7">
        <v>393.5</v>
      </c>
      <c r="E9" s="7">
        <v>300.13157894736844</v>
      </c>
      <c r="F9" s="7">
        <v>10.657894736842104</v>
      </c>
      <c r="G9" s="7">
        <v>3.7894736842105261</v>
      </c>
      <c r="H9" s="7">
        <v>11.315789473684211</v>
      </c>
      <c r="I9" s="7">
        <v>4.1052631578947372</v>
      </c>
      <c r="J9" s="7">
        <v>2.1052631578947367</v>
      </c>
      <c r="K9" s="7">
        <v>5.2631578947368418E-2</v>
      </c>
      <c r="L9" s="11">
        <v>75.339183927165507</v>
      </c>
      <c r="P9" s="7">
        <f t="shared" si="0"/>
        <v>0.1915322580645161</v>
      </c>
      <c r="Q9" s="7">
        <f t="shared" si="1"/>
        <v>1.5209125475284919E-2</v>
      </c>
      <c r="R9" s="7">
        <f t="shared" si="2"/>
        <v>5.8251463729284615E-2</v>
      </c>
      <c r="S9" s="7">
        <f t="shared" si="3"/>
        <v>5.4440190493977123E-2</v>
      </c>
      <c r="T9" s="7"/>
      <c r="U9" s="7">
        <f t="shared" si="4"/>
        <v>0.22364217252396151</v>
      </c>
      <c r="V9" s="7">
        <f t="shared" si="5"/>
        <v>0.27499999999999997</v>
      </c>
      <c r="W9" s="7">
        <f t="shared" si="6"/>
        <v>0.62995594713656378</v>
      </c>
      <c r="X9" s="7">
        <f t="shared" si="7"/>
        <v>0.13392857142857148</v>
      </c>
      <c r="Y9" s="7"/>
      <c r="Z9" s="7"/>
    </row>
    <row r="10" spans="1:26" x14ac:dyDescent="0.25">
      <c r="A10" s="5" t="s">
        <v>34</v>
      </c>
      <c r="B10" s="7">
        <v>1.2921052631578949</v>
      </c>
      <c r="C10" s="11">
        <v>52.263157894736842</v>
      </c>
      <c r="D10" s="7">
        <v>519.81578947368416</v>
      </c>
      <c r="E10" s="7">
        <v>426.28947368421052</v>
      </c>
      <c r="F10" s="7">
        <v>13.710526315789474</v>
      </c>
      <c r="G10" s="7">
        <v>4.5526315789473681</v>
      </c>
      <c r="H10" s="7">
        <v>11.368421052631579</v>
      </c>
      <c r="I10" s="7">
        <v>5.3947368421052628</v>
      </c>
      <c r="J10" s="7">
        <v>2.1052631578947367</v>
      </c>
      <c r="K10" s="7">
        <v>5.2631578947368418E-2</v>
      </c>
      <c r="L10" s="11">
        <v>81.638946237846852</v>
      </c>
      <c r="P10" s="7">
        <f t="shared" si="0"/>
        <v>0.33467741935483875</v>
      </c>
      <c r="Q10" s="7">
        <f t="shared" si="1"/>
        <v>0.56273764258555126</v>
      </c>
      <c r="R10" s="7">
        <f t="shared" si="2"/>
        <v>0.53458370546789713</v>
      </c>
      <c r="S10" s="7">
        <f t="shared" si="3"/>
        <v>0.50210103651134563</v>
      </c>
      <c r="T10" s="7"/>
      <c r="U10" s="7">
        <f t="shared" si="4"/>
        <v>0.59424920127795522</v>
      </c>
      <c r="V10" s="7">
        <f t="shared" si="5"/>
        <v>0.51666666666666661</v>
      </c>
      <c r="W10" s="7">
        <f t="shared" si="6"/>
        <v>0.6387665198237884</v>
      </c>
      <c r="X10" s="7">
        <f t="shared" si="7"/>
        <v>0.57142857142857129</v>
      </c>
      <c r="Y10" s="7"/>
      <c r="Z10" s="7"/>
    </row>
    <row r="11" spans="1:26" x14ac:dyDescent="0.25">
      <c r="A11" s="5" t="s">
        <v>38</v>
      </c>
      <c r="B11" s="7">
        <v>0.90263157894736856</v>
      </c>
      <c r="C11" s="11">
        <v>40.578947368421055</v>
      </c>
      <c r="D11" s="7">
        <v>388.81578947368422</v>
      </c>
      <c r="E11" s="7">
        <v>303.26315789473682</v>
      </c>
      <c r="F11" s="7">
        <v>9.8947368421052637</v>
      </c>
      <c r="G11" s="7">
        <v>3.3421052631578947</v>
      </c>
      <c r="H11" s="7">
        <v>11.315789473684211</v>
      </c>
      <c r="I11" s="7">
        <v>3.8157894736842106</v>
      </c>
      <c r="J11" s="7">
        <v>2.2105263157894739</v>
      </c>
      <c r="K11" s="7">
        <v>0.13157894736842105</v>
      </c>
      <c r="L11" s="11">
        <v>76.928533524388143</v>
      </c>
      <c r="P11" s="7">
        <f t="shared" si="0"/>
        <v>3.6290322580645115E-2</v>
      </c>
      <c r="Q11" s="7">
        <f t="shared" si="1"/>
        <v>0</v>
      </c>
      <c r="R11" s="7">
        <f t="shared" si="2"/>
        <v>4.0587476431477761E-2</v>
      </c>
      <c r="S11" s="7">
        <f t="shared" si="3"/>
        <v>6.5552339153982592E-2</v>
      </c>
      <c r="T11" s="7"/>
      <c r="U11" s="7">
        <f t="shared" si="4"/>
        <v>0.13099041533546329</v>
      </c>
      <c r="V11" s="7">
        <f t="shared" si="5"/>
        <v>0.13333333333333333</v>
      </c>
      <c r="W11" s="7">
        <f t="shared" si="6"/>
        <v>0.62995594713656378</v>
      </c>
      <c r="X11" s="7">
        <f t="shared" si="7"/>
        <v>3.5714285714285678E-2</v>
      </c>
      <c r="Y11" s="7"/>
      <c r="Z11" s="7"/>
    </row>
    <row r="12" spans="1:26" x14ac:dyDescent="0.25">
      <c r="A12" s="5" t="s">
        <v>59</v>
      </c>
      <c r="B12" s="7">
        <v>0.86052631578947381</v>
      </c>
      <c r="C12" s="11">
        <v>45.421052631578945</v>
      </c>
      <c r="D12" s="7">
        <v>460.15789473684208</v>
      </c>
      <c r="E12" s="7">
        <v>366.9736842105263</v>
      </c>
      <c r="F12" s="7">
        <v>8.8157894736842106</v>
      </c>
      <c r="G12" s="7">
        <v>2.9210526315789473</v>
      </c>
      <c r="H12" s="7">
        <v>11.052631578947368</v>
      </c>
      <c r="I12" s="7">
        <v>3.7105263157894739</v>
      </c>
      <c r="J12" s="7">
        <v>2.2894736842105261</v>
      </c>
      <c r="K12" s="7">
        <v>0</v>
      </c>
      <c r="L12" s="11">
        <v>78.986385076721191</v>
      </c>
      <c r="P12" s="7">
        <f t="shared" si="0"/>
        <v>4.0322580645160578E-3</v>
      </c>
      <c r="Q12" s="7">
        <f t="shared" si="1"/>
        <v>0.23320659062103907</v>
      </c>
      <c r="R12" s="7">
        <f t="shared" si="2"/>
        <v>0.30961595713009826</v>
      </c>
      <c r="S12" s="7">
        <f t="shared" si="3"/>
        <v>0.2916238677747689</v>
      </c>
      <c r="T12" s="7"/>
      <c r="U12" s="7">
        <f t="shared" si="4"/>
        <v>0</v>
      </c>
      <c r="V12" s="7">
        <f t="shared" si="5"/>
        <v>0</v>
      </c>
      <c r="W12" s="7">
        <f t="shared" si="6"/>
        <v>0.58590308370044042</v>
      </c>
      <c r="X12" s="7">
        <f t="shared" si="7"/>
        <v>0</v>
      </c>
      <c r="Y12" s="7"/>
      <c r="Z12" s="7"/>
    </row>
    <row r="13" spans="1:26" x14ac:dyDescent="0.25">
      <c r="A13" s="5" t="s">
        <v>39</v>
      </c>
      <c r="B13" s="7">
        <v>2.1605263157894736</v>
      </c>
      <c r="C13" s="11">
        <v>57.736842105263158</v>
      </c>
      <c r="D13" s="7">
        <v>572.57894736842104</v>
      </c>
      <c r="E13" s="7">
        <v>481.65789473684208</v>
      </c>
      <c r="F13" s="7">
        <v>17.05263157894737</v>
      </c>
      <c r="G13" s="7">
        <v>6.0789473684210522</v>
      </c>
      <c r="H13" s="7">
        <v>11.315789473684211</v>
      </c>
      <c r="I13" s="7">
        <v>6.6578947368421053</v>
      </c>
      <c r="J13" s="7">
        <v>1.6842105263157894</v>
      </c>
      <c r="K13" s="7">
        <v>7.8947368421052627E-2</v>
      </c>
      <c r="L13" s="11">
        <v>83.757975109850733</v>
      </c>
      <c r="P13" s="7">
        <f t="shared" si="0"/>
        <v>1</v>
      </c>
      <c r="Q13" s="7">
        <f t="shared" si="1"/>
        <v>0.82636248415716085</v>
      </c>
      <c r="R13" s="7">
        <f t="shared" si="2"/>
        <v>0.73355165227746366</v>
      </c>
      <c r="S13" s="7">
        <f t="shared" si="3"/>
        <v>0.698571295172285</v>
      </c>
      <c r="T13" s="7"/>
      <c r="U13" s="7">
        <f t="shared" si="4"/>
        <v>1</v>
      </c>
      <c r="V13" s="7">
        <f t="shared" si="5"/>
        <v>1</v>
      </c>
      <c r="W13" s="7">
        <f t="shared" si="6"/>
        <v>0.62995594713656378</v>
      </c>
      <c r="X13" s="7">
        <f t="shared" si="7"/>
        <v>1</v>
      </c>
      <c r="Y13" s="7"/>
      <c r="Z13" s="7"/>
    </row>
    <row r="14" spans="1:26" x14ac:dyDescent="0.25">
      <c r="A14" s="5" t="s">
        <v>58</v>
      </c>
      <c r="B14" s="7">
        <v>1.7868421052631576</v>
      </c>
      <c r="C14" s="11">
        <v>61.342105263157897</v>
      </c>
      <c r="D14" s="7">
        <v>643.23684210526312</v>
      </c>
      <c r="E14" s="7">
        <v>566.60526315789468</v>
      </c>
      <c r="F14" s="7">
        <v>15.973684210526315</v>
      </c>
      <c r="G14" s="7">
        <v>5.7105263157894735</v>
      </c>
      <c r="H14" s="7">
        <v>7.5526315789473681</v>
      </c>
      <c r="I14" s="7">
        <v>6.6578947368421053</v>
      </c>
      <c r="J14" s="7">
        <v>1.5</v>
      </c>
      <c r="K14" s="7">
        <v>5.2631578947368418E-2</v>
      </c>
      <c r="L14" s="11">
        <v>87.910077745346669</v>
      </c>
      <c r="P14" s="7">
        <f t="shared" si="0"/>
        <v>0.71370967741935465</v>
      </c>
      <c r="Q14" s="7">
        <f t="shared" si="1"/>
        <v>1</v>
      </c>
      <c r="R14" s="7">
        <f t="shared" si="2"/>
        <v>1</v>
      </c>
      <c r="S14" s="7">
        <f t="shared" si="3"/>
        <v>1</v>
      </c>
      <c r="T14" s="7"/>
      <c r="U14" s="7">
        <f t="shared" si="4"/>
        <v>0.86900958466453648</v>
      </c>
      <c r="V14" s="7">
        <f t="shared" si="5"/>
        <v>0.88333333333333341</v>
      </c>
      <c r="W14" s="7">
        <f t="shared" si="6"/>
        <v>0</v>
      </c>
      <c r="X14" s="7">
        <f t="shared" si="7"/>
        <v>1</v>
      </c>
      <c r="Y14" s="7"/>
      <c r="Z14" s="7"/>
    </row>
    <row r="15" spans="1:26" x14ac:dyDescent="0.25">
      <c r="A15" s="5" t="s">
        <v>33</v>
      </c>
      <c r="B15" s="7">
        <v>1.3815789473684208</v>
      </c>
      <c r="C15" s="11">
        <v>53.526315789473685</v>
      </c>
      <c r="D15" s="7">
        <v>537.23684210526312</v>
      </c>
      <c r="E15" s="7">
        <v>443.07894736842104</v>
      </c>
      <c r="F15" s="7">
        <v>13.868421052631579</v>
      </c>
      <c r="G15" s="7">
        <v>4.5789473684210522</v>
      </c>
      <c r="H15" s="7">
        <v>10.868421052631579</v>
      </c>
      <c r="I15" s="7">
        <v>5.2631578947368425</v>
      </c>
      <c r="J15" s="7">
        <v>2.1842105263157894</v>
      </c>
      <c r="K15" s="7">
        <v>7.8947368421052627E-2</v>
      </c>
      <c r="L15" s="11">
        <v>82.026350228409044</v>
      </c>
      <c r="P15" s="7">
        <f t="shared" si="0"/>
        <v>0.40322580645161266</v>
      </c>
      <c r="Q15" s="7">
        <f t="shared" si="1"/>
        <v>0.62357414448669191</v>
      </c>
      <c r="R15" s="7">
        <f t="shared" si="2"/>
        <v>0.6002778604743475</v>
      </c>
      <c r="S15" s="7">
        <f t="shared" si="3"/>
        <v>0.56167709403305643</v>
      </c>
      <c r="T15" s="7"/>
      <c r="U15" s="7">
        <f t="shared" si="4"/>
        <v>0.61341853035143756</v>
      </c>
      <c r="V15" s="7">
        <f t="shared" si="5"/>
        <v>0.52499999999999991</v>
      </c>
      <c r="W15" s="7">
        <f t="shared" si="6"/>
        <v>0.55506607929515406</v>
      </c>
      <c r="X15" s="7">
        <f t="shared" si="7"/>
        <v>0.52678571428571441</v>
      </c>
      <c r="Y15" s="7"/>
      <c r="Z15" s="7"/>
    </row>
    <row r="16" spans="1:26" x14ac:dyDescent="0.25">
      <c r="A16" s="5" t="s">
        <v>46</v>
      </c>
      <c r="B16" s="7">
        <v>1.6815789473684213</v>
      </c>
      <c r="C16" s="11">
        <v>51.315789473684212</v>
      </c>
      <c r="D16" s="7">
        <v>497.31578947368422</v>
      </c>
      <c r="E16" s="7">
        <v>405.68421052631578</v>
      </c>
      <c r="F16" s="7">
        <v>13.789473684210526</v>
      </c>
      <c r="G16" s="7">
        <v>4.5789473684210522</v>
      </c>
      <c r="H16" s="7">
        <v>10.368421052631579</v>
      </c>
      <c r="I16" s="7">
        <v>5.7368421052631575</v>
      </c>
      <c r="J16" s="7">
        <v>1.7894736842105263</v>
      </c>
      <c r="K16" s="7">
        <v>2.6315789473684209E-2</v>
      </c>
      <c r="L16" s="11">
        <v>80.581001669121136</v>
      </c>
      <c r="P16" s="7">
        <f t="shared" si="0"/>
        <v>0.63306451612903247</v>
      </c>
      <c r="Q16" s="7">
        <f t="shared" si="1"/>
        <v>0.5171102661596958</v>
      </c>
      <c r="R16" s="7">
        <f t="shared" si="2"/>
        <v>0.44973702490820694</v>
      </c>
      <c r="S16" s="7">
        <f t="shared" si="3"/>
        <v>0.42898496591651886</v>
      </c>
      <c r="T16" s="7"/>
      <c r="U16" s="7">
        <f t="shared" si="4"/>
        <v>0.60383386581469634</v>
      </c>
      <c r="V16" s="7">
        <f t="shared" si="5"/>
        <v>0.52499999999999991</v>
      </c>
      <c r="W16" s="7">
        <f t="shared" si="6"/>
        <v>0.47136563876651977</v>
      </c>
      <c r="X16" s="7">
        <f t="shared" si="7"/>
        <v>0.68749999999999989</v>
      </c>
      <c r="Y16" s="7"/>
      <c r="Z16" s="7"/>
    </row>
    <row r="17" spans="1:26" x14ac:dyDescent="0.25">
      <c r="A17" s="5" t="s">
        <v>48</v>
      </c>
      <c r="B17" s="7">
        <v>1.1921052631578946</v>
      </c>
      <c r="C17" s="11">
        <v>41.210526315789473</v>
      </c>
      <c r="D17" s="7">
        <v>378.05263157894734</v>
      </c>
      <c r="E17" s="7">
        <v>284.78947368421052</v>
      </c>
      <c r="F17" s="7">
        <v>12.184210526315789</v>
      </c>
      <c r="G17" s="7">
        <v>4.3684210526315788</v>
      </c>
      <c r="H17" s="7">
        <v>10.289473684210526</v>
      </c>
      <c r="I17" s="7">
        <v>4.2105263157894735</v>
      </c>
      <c r="J17" s="7">
        <v>2.236842105263158</v>
      </c>
      <c r="K17" s="7">
        <v>5.2631578947368418E-2</v>
      </c>
      <c r="L17" s="11">
        <v>74.522722250038171</v>
      </c>
      <c r="P17" s="7">
        <f t="shared" si="0"/>
        <v>0.25806451612903203</v>
      </c>
      <c r="Q17" s="7">
        <f t="shared" si="1"/>
        <v>3.0418250950570179E-2</v>
      </c>
      <c r="R17" s="7">
        <f t="shared" si="2"/>
        <v>0</v>
      </c>
      <c r="S17" s="7">
        <f t="shared" si="3"/>
        <v>0</v>
      </c>
      <c r="T17" s="7"/>
      <c r="U17" s="7">
        <f t="shared" si="4"/>
        <v>0.40894568690095839</v>
      </c>
      <c r="V17" s="7">
        <f t="shared" si="5"/>
        <v>0.45833333333333331</v>
      </c>
      <c r="W17" s="7">
        <f t="shared" si="6"/>
        <v>0.45814977973568266</v>
      </c>
      <c r="X17" s="7">
        <f t="shared" si="7"/>
        <v>0.16964285714285701</v>
      </c>
      <c r="Y17" s="7"/>
      <c r="Z17" s="7"/>
    </row>
    <row r="18" spans="1:26" x14ac:dyDescent="0.25">
      <c r="A18" s="5" t="s">
        <v>47</v>
      </c>
      <c r="B18" s="7">
        <v>0.85526315789473706</v>
      </c>
      <c r="C18" s="11">
        <v>48.526315789473685</v>
      </c>
      <c r="D18" s="7">
        <v>488.44736842105266</v>
      </c>
      <c r="E18" s="7">
        <v>408.68421052631578</v>
      </c>
      <c r="F18" s="7">
        <v>9.026315789473685</v>
      </c>
      <c r="G18" s="7">
        <v>2.9210526315789473</v>
      </c>
      <c r="H18" s="7">
        <v>12.078947368421053</v>
      </c>
      <c r="I18" s="7">
        <v>4</v>
      </c>
      <c r="J18" s="7">
        <v>2.3421052631578947</v>
      </c>
      <c r="K18" s="7">
        <v>7.8947368421052627E-2</v>
      </c>
      <c r="L18" s="11">
        <v>82.988888561117889</v>
      </c>
      <c r="P18" s="7">
        <f t="shared" si="0"/>
        <v>0</v>
      </c>
      <c r="Q18" s="7">
        <f t="shared" si="1"/>
        <v>0.38276299112801004</v>
      </c>
      <c r="R18" s="7">
        <f t="shared" si="2"/>
        <v>0.41629453210280859</v>
      </c>
      <c r="S18" s="7">
        <f t="shared" si="3"/>
        <v>0.43963021757400322</v>
      </c>
      <c r="T18" s="7"/>
      <c r="U18" s="7">
        <f t="shared" si="4"/>
        <v>2.5559105431309979E-2</v>
      </c>
      <c r="V18" s="7">
        <f t="shared" si="5"/>
        <v>0</v>
      </c>
      <c r="W18" s="7">
        <f t="shared" si="6"/>
        <v>0.75770925110132159</v>
      </c>
      <c r="X18" s="7">
        <f t="shared" si="7"/>
        <v>9.8214285714285643E-2</v>
      </c>
      <c r="Y18" s="7"/>
      <c r="Z18" s="7"/>
    </row>
    <row r="19" spans="1:26" x14ac:dyDescent="0.25">
      <c r="A19" s="5" t="s">
        <v>60</v>
      </c>
      <c r="B19" s="7">
        <v>1.544736842105263</v>
      </c>
      <c r="C19" s="11">
        <v>54.684210526315788</v>
      </c>
      <c r="D19" s="7">
        <v>525.26315789473688</v>
      </c>
      <c r="E19" s="7">
        <v>434.55263157894734</v>
      </c>
      <c r="F19" s="7">
        <v>13.078947368421053</v>
      </c>
      <c r="G19" s="7">
        <v>4.8684210526315788</v>
      </c>
      <c r="H19" s="7">
        <v>11.736842105263158</v>
      </c>
      <c r="I19" s="7">
        <v>6.3947368421052628</v>
      </c>
      <c r="J19" s="7">
        <v>1.8421052631578947</v>
      </c>
      <c r="K19" s="7">
        <v>2.6315789473684209E-2</v>
      </c>
      <c r="L19" s="11">
        <v>82.178770856842107</v>
      </c>
      <c r="P19" s="7">
        <f t="shared" si="0"/>
        <v>0.52822580645161277</v>
      </c>
      <c r="Q19" s="7">
        <f t="shared" si="1"/>
        <v>0.67934093789607075</v>
      </c>
      <c r="R19" s="7">
        <f t="shared" si="2"/>
        <v>0.55512553339287507</v>
      </c>
      <c r="S19" s="7">
        <f t="shared" si="3"/>
        <v>0.5314221682696797</v>
      </c>
      <c r="T19" s="7"/>
      <c r="U19" s="7">
        <f t="shared" si="4"/>
        <v>0.51757188498402551</v>
      </c>
      <c r="V19" s="7">
        <f t="shared" si="5"/>
        <v>0.6166666666666667</v>
      </c>
      <c r="W19" s="7">
        <f t="shared" si="6"/>
        <v>0.70044052863436113</v>
      </c>
      <c r="X19" s="7">
        <f t="shared" si="7"/>
        <v>0.91071428571428559</v>
      </c>
      <c r="Y19" s="7"/>
      <c r="Z19" s="7"/>
    </row>
    <row r="20" spans="1:26" x14ac:dyDescent="0.25">
      <c r="A20" s="5" t="s">
        <v>51</v>
      </c>
      <c r="B20" s="7">
        <v>1.2421052631578948</v>
      </c>
      <c r="C20" s="11">
        <v>48.44736842105263</v>
      </c>
      <c r="D20" s="7">
        <v>483.23684210526318</v>
      </c>
      <c r="E20" s="7">
        <v>390</v>
      </c>
      <c r="F20" s="7">
        <v>12.526315789473685</v>
      </c>
      <c r="G20" s="7">
        <v>3.8421052631578947</v>
      </c>
      <c r="H20" s="7">
        <v>11.657894736842104</v>
      </c>
      <c r="I20" s="7">
        <v>4.0526315789473681</v>
      </c>
      <c r="J20" s="7">
        <v>2.0526315789473686</v>
      </c>
      <c r="K20" s="7">
        <v>7.8947368421052627E-2</v>
      </c>
      <c r="L20" s="11">
        <v>80.219390723066297</v>
      </c>
      <c r="P20" s="7">
        <f t="shared" si="0"/>
        <v>0.2963709677419355</v>
      </c>
      <c r="Q20" s="7">
        <f t="shared" si="1"/>
        <v>0.37896070975918866</v>
      </c>
      <c r="R20" s="7">
        <f t="shared" si="2"/>
        <v>0.39664582713109081</v>
      </c>
      <c r="S20" s="7">
        <f t="shared" si="3"/>
        <v>0.37333084321598664</v>
      </c>
      <c r="T20" s="7"/>
      <c r="U20" s="7">
        <f t="shared" si="4"/>
        <v>0.45047923322683708</v>
      </c>
      <c r="V20" s="7">
        <f t="shared" si="5"/>
        <v>0.29166666666666669</v>
      </c>
      <c r="W20" s="7">
        <f t="shared" si="6"/>
        <v>0.68722466960352402</v>
      </c>
      <c r="X20" s="7">
        <f t="shared" si="7"/>
        <v>0.11607142857142841</v>
      </c>
      <c r="Y20" s="7"/>
      <c r="Z20" s="7"/>
    </row>
    <row r="21" spans="1:26" x14ac:dyDescent="0.25">
      <c r="A21" s="5" t="s">
        <v>43</v>
      </c>
      <c r="B21" s="7">
        <v>1.1473684210526316</v>
      </c>
      <c r="C21" s="11">
        <v>48.10526315789474</v>
      </c>
      <c r="D21" s="7">
        <v>470.63157894736844</v>
      </c>
      <c r="E21" s="7">
        <v>380.84210526315792</v>
      </c>
      <c r="F21" s="7">
        <v>11.342105263157896</v>
      </c>
      <c r="G21" s="7">
        <v>4.2105263157894735</v>
      </c>
      <c r="H21" s="7">
        <v>12.631578947368421</v>
      </c>
      <c r="I21" s="7">
        <v>3.9210526315789473</v>
      </c>
      <c r="J21" s="7">
        <v>1.9473684210526316</v>
      </c>
      <c r="K21" s="7">
        <v>5.2631578947368418E-2</v>
      </c>
      <c r="L21" s="11">
        <v>80.30395763671396</v>
      </c>
      <c r="P21" s="7">
        <f t="shared" si="0"/>
        <v>0.22379032258064507</v>
      </c>
      <c r="Q21" s="7">
        <f t="shared" si="1"/>
        <v>0.36248415716096327</v>
      </c>
      <c r="R21" s="7">
        <f t="shared" si="2"/>
        <v>0.34911183884092506</v>
      </c>
      <c r="S21" s="7">
        <f t="shared" si="3"/>
        <v>0.34083481184050812</v>
      </c>
      <c r="T21" s="7"/>
      <c r="U21" s="7">
        <f t="shared" si="4"/>
        <v>0.30670926517571889</v>
      </c>
      <c r="V21" s="7">
        <f t="shared" si="5"/>
        <v>0.40833333333333333</v>
      </c>
      <c r="W21" s="7">
        <f t="shared" si="6"/>
        <v>0.85022026431718056</v>
      </c>
      <c r="X21" s="7">
        <f t="shared" si="7"/>
        <v>7.1428571428571355E-2</v>
      </c>
      <c r="Y21" s="7"/>
      <c r="Z21" s="7"/>
    </row>
    <row r="22" spans="1:26" x14ac:dyDescent="0.25">
      <c r="A22" s="5" t="s">
        <v>96</v>
      </c>
      <c r="B22" s="7">
        <v>1.4174999999999991</v>
      </c>
      <c r="C22" s="11">
        <v>50</v>
      </c>
      <c r="D22" s="7">
        <v>486.73026315789474</v>
      </c>
      <c r="E22" s="7">
        <v>396.24605263157895</v>
      </c>
      <c r="F22" s="7">
        <v>12.95921052631579</v>
      </c>
      <c r="G22" s="7">
        <v>4.55</v>
      </c>
      <c r="H22" s="7">
        <v>11.032894736842104</v>
      </c>
      <c r="I22" s="7">
        <v>5.1486842105263158</v>
      </c>
      <c r="J22" s="7">
        <v>2.0249999999999999</v>
      </c>
      <c r="K22" s="7">
        <v>6.8421052631578952E-2</v>
      </c>
      <c r="L22" s="11">
        <v>80.360808412709758</v>
      </c>
    </row>
    <row r="25" spans="1:26" x14ac:dyDescent="0.25">
      <c r="B25" t="s">
        <v>93</v>
      </c>
      <c r="C25" t="s">
        <v>92</v>
      </c>
      <c r="E25" t="s">
        <v>94</v>
      </c>
      <c r="G25" s="7"/>
      <c r="P25" t="s">
        <v>103</v>
      </c>
    </row>
    <row r="26" spans="1:26" x14ac:dyDescent="0.25">
      <c r="A26" s="5" t="s">
        <v>42</v>
      </c>
      <c r="B26" s="7">
        <v>0</v>
      </c>
      <c r="C26" s="7">
        <f t="shared" ref="C26:C45" si="8">SQRT((P2-$P$3)^2+(Q2-$Q$3)^2+(R2-$R$3)^2+(S2-$S$3)^2+(U2-$U$3)^2+(V2-$V$3)^2+(W2-$W$3)^2+(X2-$X$3)^2+(Y2-$Y$3)^2+(Z2-$Z$3)^2)</f>
        <v>0.54832714713369157</v>
      </c>
      <c r="D26" t="s">
        <v>94</v>
      </c>
      <c r="E26" s="5" t="s">
        <v>42</v>
      </c>
      <c r="F26" s="7">
        <v>0.55443548387096742</v>
      </c>
      <c r="G26" s="7">
        <v>0.78580481622306686</v>
      </c>
      <c r="H26" s="7">
        <v>0.58301081671132282</v>
      </c>
      <c r="I26" s="7">
        <v>0.58306097674852941</v>
      </c>
      <c r="J26" s="7">
        <v>0.67731629392971238</v>
      </c>
      <c r="K26" s="7">
        <v>0.64166666666666683</v>
      </c>
      <c r="L26" s="7">
        <v>0.49779735682819393</v>
      </c>
      <c r="M26" s="7">
        <v>0.98214285714285721</v>
      </c>
      <c r="N26" s="7">
        <v>0.17073170731707307</v>
      </c>
      <c r="O26" s="7">
        <v>1</v>
      </c>
      <c r="P26" s="7">
        <f>(F26-$F$29)^2+(G26-$G$29)^2+(H26-$H$29)^2+(I26-$I$29)^2+(J26-$J$29)^2+(K26-$K$29)+(L26-$L$29)^2+(M26-$M$29)^2+(N26-$N$29)^2+(O26-$O$29)^2</f>
        <v>0.11401476039487332</v>
      </c>
    </row>
    <row r="27" spans="1:26" x14ac:dyDescent="0.25">
      <c r="A27" s="5" t="s">
        <v>52</v>
      </c>
      <c r="B27" s="7">
        <f t="shared" ref="B27:B45" si="9">SQRT((P3-$P$2)^2+(Q3-$Q$2)^2+(R3-$R$2)^2+(S3-$S$2)^2+(U3-$U$2)^2+(V3-$V$2)^2+(W3-$W$2)^2+(X3-$X$2)^2+(Y3-$Y$2)^2+(Z3-$Z$2)^2)</f>
        <v>0.54832714713369157</v>
      </c>
      <c r="C27" s="7">
        <f t="shared" si="8"/>
        <v>0</v>
      </c>
      <c r="D27" t="s">
        <v>95</v>
      </c>
      <c r="E27" s="5" t="s">
        <v>39</v>
      </c>
      <c r="F27" s="7">
        <v>1</v>
      </c>
      <c r="G27" s="7">
        <v>0.82636248415716085</v>
      </c>
      <c r="H27" s="7">
        <v>0.73355165227746366</v>
      </c>
      <c r="I27" s="7">
        <v>0.698571295172285</v>
      </c>
      <c r="J27" s="7">
        <v>1</v>
      </c>
      <c r="K27" s="7">
        <v>1</v>
      </c>
      <c r="L27" s="7">
        <v>0.62995594713656378</v>
      </c>
      <c r="M27" s="7">
        <v>1</v>
      </c>
      <c r="N27" s="7">
        <v>0.17073170731707307</v>
      </c>
      <c r="O27" s="7">
        <v>0.5</v>
      </c>
      <c r="P27" s="7">
        <f t="shared" ref="P27:P28" si="10">(F27-$F$29)^2+(G27-$G$29)^2+(H27-$H$29)^2+(I27-$I$29)^2+(J27-$J$29)^2+(K27-$K$29)+(L27-$L$29)^2+(M27-$M$29)^2+(N27-$N$29)^2+(O27-$O$29)^2</f>
        <v>0.32817111442258212</v>
      </c>
    </row>
    <row r="28" spans="1:26" x14ac:dyDescent="0.25">
      <c r="A28" s="5" t="s">
        <v>49</v>
      </c>
      <c r="B28" s="7">
        <f t="shared" si="9"/>
        <v>0.86056402049318104</v>
      </c>
      <c r="C28" s="7">
        <f t="shared" si="8"/>
        <v>0.67849209614492156</v>
      </c>
      <c r="D28" t="s">
        <v>95</v>
      </c>
      <c r="E28" s="5" t="s">
        <v>58</v>
      </c>
      <c r="F28" s="7">
        <v>0.71370967741935465</v>
      </c>
      <c r="G28" s="7">
        <v>1</v>
      </c>
      <c r="H28" s="7">
        <v>1</v>
      </c>
      <c r="I28" s="7">
        <v>1</v>
      </c>
      <c r="J28" s="7">
        <v>0.86900958466453648</v>
      </c>
      <c r="K28" s="7">
        <v>0.88333333333333341</v>
      </c>
      <c r="L28" s="7">
        <v>0</v>
      </c>
      <c r="M28" s="7">
        <v>1</v>
      </c>
      <c r="N28" s="7">
        <v>0</v>
      </c>
      <c r="O28" s="7">
        <v>0.33333333333333331</v>
      </c>
      <c r="P28" s="7">
        <f t="shared" si="10"/>
        <v>0.4012843656314784</v>
      </c>
    </row>
    <row r="29" spans="1:26" x14ac:dyDescent="0.25">
      <c r="A29" s="5" t="s">
        <v>54</v>
      </c>
      <c r="B29" s="7">
        <f t="shared" si="9"/>
        <v>1.0535781591732667</v>
      </c>
      <c r="C29" s="7">
        <f t="shared" si="8"/>
        <v>0.6920528916627221</v>
      </c>
      <c r="D29" t="s">
        <v>95</v>
      </c>
      <c r="F29" s="7">
        <f>AVERAGE(F26:F28)</f>
        <v>0.75604838709677402</v>
      </c>
      <c r="G29" s="7">
        <f t="shared" ref="G29:O29" si="11">AVERAGE(G26:G28)</f>
        <v>0.87072243346007594</v>
      </c>
      <c r="H29" s="7">
        <f t="shared" si="11"/>
        <v>0.77218748966292894</v>
      </c>
      <c r="I29" s="7">
        <f t="shared" si="11"/>
        <v>0.76054409064027151</v>
      </c>
      <c r="J29" s="7">
        <f t="shared" si="11"/>
        <v>0.84877529286474962</v>
      </c>
      <c r="K29" s="7">
        <f t="shared" si="11"/>
        <v>0.84166666666666679</v>
      </c>
      <c r="L29" s="7">
        <f t="shared" si="11"/>
        <v>0.37591776798825255</v>
      </c>
      <c r="M29" s="7">
        <f t="shared" si="11"/>
        <v>0.99404761904761907</v>
      </c>
      <c r="N29" s="7">
        <f t="shared" si="11"/>
        <v>0.11382113821138205</v>
      </c>
      <c r="O29" s="7">
        <f t="shared" si="11"/>
        <v>0.61111111111111105</v>
      </c>
      <c r="P29" s="7">
        <f>SUM(P26:P28)</f>
        <v>0.84347024044893382</v>
      </c>
    </row>
    <row r="30" spans="1:26" x14ac:dyDescent="0.25">
      <c r="A30" s="5" t="s">
        <v>45</v>
      </c>
      <c r="B30" s="7">
        <f t="shared" si="9"/>
        <v>0.6407327529318313</v>
      </c>
      <c r="C30" s="7">
        <f t="shared" si="8"/>
        <v>0.51241326487162708</v>
      </c>
      <c r="D30" t="s">
        <v>95</v>
      </c>
      <c r="E30" s="5" t="s">
        <v>95</v>
      </c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26" x14ac:dyDescent="0.25">
      <c r="A31" s="5" t="s">
        <v>57</v>
      </c>
      <c r="B31" s="7">
        <f t="shared" si="9"/>
        <v>0.41654794870198841</v>
      </c>
      <c r="C31" s="7">
        <f t="shared" si="8"/>
        <v>0.82397564346812424</v>
      </c>
      <c r="D31" t="s">
        <v>95</v>
      </c>
      <c r="E31" s="5" t="s">
        <v>52</v>
      </c>
      <c r="F31" s="7">
        <v>0.47379032258064507</v>
      </c>
      <c r="G31" s="7">
        <v>0.47908745247148282</v>
      </c>
      <c r="H31" s="7">
        <v>0.34047831695941272</v>
      </c>
      <c r="I31" s="7">
        <v>0.36221869455598099</v>
      </c>
      <c r="J31" s="7">
        <v>0.47603833865814682</v>
      </c>
      <c r="K31" s="7">
        <v>0.49166666666666681</v>
      </c>
      <c r="L31" s="7">
        <v>0.52422907488986781</v>
      </c>
      <c r="M31" s="7">
        <v>0.81250000000000011</v>
      </c>
      <c r="N31" s="7">
        <v>0.36585365853658525</v>
      </c>
      <c r="O31" s="7">
        <v>0.66666666666666663</v>
      </c>
      <c r="P31" s="7">
        <f>(F31-$F$48)^2+(G31-$G$48)^2+(H31-$H$48)^2+(I31-$I$48)^2+(J31-$J$48)^2+(K31-$K$48)+(L31-$L$48)^2+(M31-$M$48)^2+(N31-$N$48)^2+(O31-$O$48)^2</f>
        <v>0.3405042346793512</v>
      </c>
    </row>
    <row r="32" spans="1:26" x14ac:dyDescent="0.25">
      <c r="A32" s="5" t="s">
        <v>55</v>
      </c>
      <c r="B32" s="7">
        <f t="shared" si="9"/>
        <v>1.1873285862069867</v>
      </c>
      <c r="C32" s="7">
        <f t="shared" si="8"/>
        <v>0.75892887384845675</v>
      </c>
      <c r="D32" t="s">
        <v>95</v>
      </c>
      <c r="E32" s="5" t="s">
        <v>49</v>
      </c>
      <c r="F32" s="7">
        <v>0.63104838709677469</v>
      </c>
      <c r="G32" s="7">
        <v>0.38149556400506962</v>
      </c>
      <c r="H32" s="7">
        <v>0.25146372928450944</v>
      </c>
      <c r="I32" s="7">
        <v>0.20123260808665613</v>
      </c>
      <c r="J32" s="7">
        <v>0.78274760383386577</v>
      </c>
      <c r="K32" s="7">
        <v>0.75833333333333341</v>
      </c>
      <c r="L32" s="7">
        <v>1</v>
      </c>
      <c r="M32" s="7">
        <v>0.78571428571428559</v>
      </c>
      <c r="N32" s="7">
        <v>0.97560975609756106</v>
      </c>
      <c r="O32" s="7">
        <v>0.5</v>
      </c>
      <c r="P32" s="7">
        <f t="shared" ref="P32:P47" si="12">(F32-$F$48)^2+(G32-$G$48)^2+(H32-$H$48)^2+(I32-$I$48)^2+(J32-$J$48)^2+(K32-$K$48)+(L32-$L$48)^2+(M32-$M$48)^2+(N32-$N$48)^2+(O32-$O$48)^2</f>
        <v>0.99196369333888523</v>
      </c>
    </row>
    <row r="33" spans="1:16" x14ac:dyDescent="0.25">
      <c r="A33" s="5" t="s">
        <v>44</v>
      </c>
      <c r="B33" s="7">
        <f t="shared" si="9"/>
        <v>1.5354239819874196</v>
      </c>
      <c r="C33" s="7">
        <f t="shared" si="8"/>
        <v>1.0254354908038956</v>
      </c>
      <c r="D33" t="s">
        <v>95</v>
      </c>
      <c r="E33" s="5" t="s">
        <v>54</v>
      </c>
      <c r="F33" s="7">
        <v>0.5342741935483869</v>
      </c>
      <c r="G33" s="7">
        <v>0.35107731305449941</v>
      </c>
      <c r="H33" s="7">
        <v>0.27131090602361824</v>
      </c>
      <c r="I33" s="7">
        <v>0.23681015967877497</v>
      </c>
      <c r="J33" s="7">
        <v>0.33865814696485608</v>
      </c>
      <c r="K33" s="7">
        <v>0.60833333333333339</v>
      </c>
      <c r="L33" s="7">
        <v>0.14096916299559484</v>
      </c>
      <c r="M33" s="7">
        <v>0.3035714285714286</v>
      </c>
      <c r="N33" s="7">
        <v>0.12195121951219509</v>
      </c>
      <c r="O33" s="7">
        <v>0.16666666666666666</v>
      </c>
      <c r="P33" s="7">
        <f t="shared" si="12"/>
        <v>0.68011540235418599</v>
      </c>
    </row>
    <row r="34" spans="1:16" x14ac:dyDescent="0.25">
      <c r="A34" s="5" t="s">
        <v>34</v>
      </c>
      <c r="B34" s="7">
        <f t="shared" si="9"/>
        <v>0.56394675208585632</v>
      </c>
      <c r="C34" s="7">
        <f t="shared" si="8"/>
        <v>0.41161486075670201</v>
      </c>
      <c r="D34" t="s">
        <v>95</v>
      </c>
      <c r="E34" s="5" t="s">
        <v>45</v>
      </c>
      <c r="F34" s="7">
        <v>0.52419354838709664</v>
      </c>
      <c r="G34" s="7">
        <v>0.56653992395437258</v>
      </c>
      <c r="H34" s="7">
        <v>0.47851543117991485</v>
      </c>
      <c r="I34" s="7">
        <v>0.46671024372023545</v>
      </c>
      <c r="J34" s="7">
        <v>0.63258785942492013</v>
      </c>
      <c r="K34" s="7">
        <v>0.66666666666666674</v>
      </c>
      <c r="L34" s="7">
        <v>0.66519823788546262</v>
      </c>
      <c r="M34" s="7">
        <v>0.42857142857142855</v>
      </c>
      <c r="N34" s="7">
        <v>0.36585365853658525</v>
      </c>
      <c r="O34" s="7">
        <v>0.5</v>
      </c>
      <c r="P34" s="7">
        <f t="shared" si="12"/>
        <v>0.38555969573921556</v>
      </c>
    </row>
    <row r="35" spans="1:16" x14ac:dyDescent="0.25">
      <c r="A35" s="5" t="s">
        <v>38</v>
      </c>
      <c r="B35" s="7">
        <f t="shared" si="9"/>
        <v>1.7082358047533803</v>
      </c>
      <c r="C35" s="7">
        <f t="shared" si="8"/>
        <v>1.2086817382488173</v>
      </c>
      <c r="D35" t="s">
        <v>95</v>
      </c>
      <c r="E35" s="5" t="s">
        <v>57</v>
      </c>
      <c r="F35" s="7">
        <v>0.71169354838709686</v>
      </c>
      <c r="G35" s="7">
        <v>0.79340937896070973</v>
      </c>
      <c r="H35" s="7">
        <v>0.69008633521881535</v>
      </c>
      <c r="I35" s="7">
        <v>0.67335885703613785</v>
      </c>
      <c r="J35" s="7">
        <v>0.83067092651757168</v>
      </c>
      <c r="K35" s="7">
        <v>0.89166666666666672</v>
      </c>
      <c r="L35" s="7">
        <v>0.65638766519823766</v>
      </c>
      <c r="M35" s="7">
        <v>0.84821428571428559</v>
      </c>
      <c r="N35" s="7">
        <v>1</v>
      </c>
      <c r="O35" s="7">
        <v>0.33333333333333331</v>
      </c>
      <c r="P35" s="7">
        <f t="shared" si="12"/>
        <v>1.5138865596571274</v>
      </c>
    </row>
    <row r="36" spans="1:16" x14ac:dyDescent="0.25">
      <c r="A36" s="5" t="s">
        <v>59</v>
      </c>
      <c r="B36" s="7">
        <f t="shared" si="9"/>
        <v>1.6158123442180072</v>
      </c>
      <c r="C36" s="7">
        <f t="shared" si="8"/>
        <v>1.1913751284003904</v>
      </c>
      <c r="D36" t="s">
        <v>95</v>
      </c>
      <c r="E36" s="5" t="s">
        <v>55</v>
      </c>
      <c r="F36" s="7">
        <v>0.56249999999999967</v>
      </c>
      <c r="G36" s="7">
        <v>0.10519645120405567</v>
      </c>
      <c r="H36" s="7">
        <v>0.13773940656941555</v>
      </c>
      <c r="I36" s="7">
        <v>9.8328508730973985E-2</v>
      </c>
      <c r="J36" s="7">
        <v>0.57827476038338654</v>
      </c>
      <c r="K36" s="7">
        <v>0.625</v>
      </c>
      <c r="L36" s="7">
        <v>0.57268722466960331</v>
      </c>
      <c r="M36" s="7">
        <v>0.27678571428571419</v>
      </c>
      <c r="N36" s="7">
        <v>0.43902439024390233</v>
      </c>
      <c r="O36" s="7">
        <v>0.66666666666666663</v>
      </c>
      <c r="P36" s="7">
        <f t="shared" si="12"/>
        <v>0.49401863415714559</v>
      </c>
    </row>
    <row r="37" spans="1:16" x14ac:dyDescent="0.25">
      <c r="A37" s="5" t="s">
        <v>39</v>
      </c>
      <c r="B37" s="7">
        <f t="shared" si="9"/>
        <v>0.69748846713132817</v>
      </c>
      <c r="C37" s="7">
        <f t="shared" si="8"/>
        <v>1.1155309556307436</v>
      </c>
      <c r="D37" t="s">
        <v>94</v>
      </c>
      <c r="E37" s="5" t="s">
        <v>44</v>
      </c>
      <c r="F37" s="7">
        <v>0.1915322580645161</v>
      </c>
      <c r="G37" s="7">
        <v>1.5209125475284919E-2</v>
      </c>
      <c r="H37" s="7">
        <v>5.8251463729284615E-2</v>
      </c>
      <c r="I37" s="7">
        <v>5.4440190493977123E-2</v>
      </c>
      <c r="J37" s="7">
        <v>0.22364217252396151</v>
      </c>
      <c r="K37" s="7">
        <v>0.27499999999999997</v>
      </c>
      <c r="L37" s="7">
        <v>0.62995594713656378</v>
      </c>
      <c r="M37" s="7">
        <v>0.13392857142857148</v>
      </c>
      <c r="N37" s="7">
        <v>0.56097560975609739</v>
      </c>
      <c r="O37" s="7">
        <v>0.33333333333333331</v>
      </c>
      <c r="P37" s="7">
        <f t="shared" si="12"/>
        <v>0.26481820593003619</v>
      </c>
    </row>
    <row r="38" spans="1:16" x14ac:dyDescent="0.25">
      <c r="A38" s="5" t="s">
        <v>58</v>
      </c>
      <c r="B38" s="7">
        <f t="shared" si="9"/>
        <v>0.8730613695955467</v>
      </c>
      <c r="C38" s="7">
        <f t="shared" si="8"/>
        <v>1.3373281474263963</v>
      </c>
      <c r="D38" t="s">
        <v>94</v>
      </c>
      <c r="E38" s="5" t="s">
        <v>34</v>
      </c>
      <c r="F38" s="7">
        <v>0.33467741935483875</v>
      </c>
      <c r="G38" s="7">
        <v>0.56273764258555126</v>
      </c>
      <c r="H38" s="7">
        <v>0.53458370546789713</v>
      </c>
      <c r="I38" s="7">
        <v>0.50210103651134563</v>
      </c>
      <c r="J38" s="7">
        <v>0.59424920127795522</v>
      </c>
      <c r="K38" s="7">
        <v>0.51666666666666661</v>
      </c>
      <c r="L38" s="7">
        <v>0.6387665198237884</v>
      </c>
      <c r="M38" s="7">
        <v>0.57142857142857129</v>
      </c>
      <c r="N38" s="7">
        <v>0.56097560975609739</v>
      </c>
      <c r="O38" s="7">
        <v>0.33333333333333331</v>
      </c>
      <c r="P38" s="7">
        <f t="shared" si="12"/>
        <v>0.21622996110603954</v>
      </c>
    </row>
    <row r="39" spans="1:16" x14ac:dyDescent="0.25">
      <c r="A39" s="5" t="s">
        <v>33</v>
      </c>
      <c r="B39" s="7">
        <f t="shared" si="9"/>
        <v>0.52750587490855338</v>
      </c>
      <c r="C39" s="7">
        <f t="shared" si="8"/>
        <v>0.48549275290292443</v>
      </c>
      <c r="D39" t="s">
        <v>95</v>
      </c>
      <c r="E39" s="5" t="s">
        <v>38</v>
      </c>
      <c r="F39" s="7">
        <v>3.6290322580645115E-2</v>
      </c>
      <c r="G39" s="7">
        <v>0</v>
      </c>
      <c r="H39" s="7">
        <v>4.0587476431477761E-2</v>
      </c>
      <c r="I39" s="7">
        <v>6.5552339153982592E-2</v>
      </c>
      <c r="J39" s="7">
        <v>0.13099041533546329</v>
      </c>
      <c r="K39" s="7">
        <v>0.13333333333333333</v>
      </c>
      <c r="L39" s="7">
        <v>0.62995594713656378</v>
      </c>
      <c r="M39" s="7">
        <v>3.5714285714285678E-2</v>
      </c>
      <c r="N39" s="7">
        <v>0.6585365853658538</v>
      </c>
      <c r="O39" s="7">
        <v>0.83333333333333337</v>
      </c>
      <c r="P39" s="7">
        <f t="shared" si="12"/>
        <v>0.52274385264452305</v>
      </c>
    </row>
    <row r="40" spans="1:16" x14ac:dyDescent="0.25">
      <c r="A40" s="5" t="s">
        <v>46</v>
      </c>
      <c r="B40" s="7">
        <f t="shared" si="9"/>
        <v>0.47581974946493244</v>
      </c>
      <c r="C40" s="7">
        <f t="shared" si="8"/>
        <v>0.28119664666632399</v>
      </c>
      <c r="D40" t="s">
        <v>95</v>
      </c>
      <c r="E40" s="5" t="s">
        <v>59</v>
      </c>
      <c r="F40" s="7">
        <v>4.0322580645160578E-3</v>
      </c>
      <c r="G40" s="7">
        <v>0.23320659062103907</v>
      </c>
      <c r="H40" s="7">
        <v>0.30961595713009826</v>
      </c>
      <c r="I40" s="7">
        <v>0.2916238677747689</v>
      </c>
      <c r="J40" s="7">
        <v>0</v>
      </c>
      <c r="K40" s="7">
        <v>0</v>
      </c>
      <c r="L40" s="7">
        <v>0.58590308370044042</v>
      </c>
      <c r="M40" s="7">
        <v>0</v>
      </c>
      <c r="N40" s="7">
        <v>0.73170731707317049</v>
      </c>
      <c r="O40" s="7">
        <v>0</v>
      </c>
      <c r="P40" s="7">
        <f t="shared" si="12"/>
        <v>0.25164740076253156</v>
      </c>
    </row>
    <row r="41" spans="1:16" x14ac:dyDescent="0.25">
      <c r="A41" s="5" t="s">
        <v>48</v>
      </c>
      <c r="B41" s="7">
        <f t="shared" si="9"/>
        <v>1.4510921413615416</v>
      </c>
      <c r="C41" s="7">
        <f t="shared" si="8"/>
        <v>0.95823476109427963</v>
      </c>
      <c r="D41" t="s">
        <v>95</v>
      </c>
      <c r="E41" s="5" t="s">
        <v>33</v>
      </c>
      <c r="F41" s="7">
        <v>0.40322580645161266</v>
      </c>
      <c r="G41" s="7">
        <v>0.62357414448669191</v>
      </c>
      <c r="H41" s="7">
        <v>0.6002778604743475</v>
      </c>
      <c r="I41" s="7">
        <v>0.56167709403305643</v>
      </c>
      <c r="J41" s="7">
        <v>0.61341853035143756</v>
      </c>
      <c r="K41" s="7">
        <v>0.52499999999999991</v>
      </c>
      <c r="L41" s="7">
        <v>0.55506607929515406</v>
      </c>
      <c r="M41" s="7">
        <v>0.52678571428571441</v>
      </c>
      <c r="N41" s="7">
        <v>0.63414634146341453</v>
      </c>
      <c r="O41" s="7">
        <v>0.5</v>
      </c>
      <c r="P41" s="7">
        <f t="shared" si="12"/>
        <v>0.31090929814788038</v>
      </c>
    </row>
    <row r="42" spans="1:16" x14ac:dyDescent="0.25">
      <c r="A42" s="5" t="s">
        <v>47</v>
      </c>
      <c r="B42" s="7">
        <f t="shared" si="9"/>
        <v>1.484458007767512</v>
      </c>
      <c r="C42" s="7">
        <f t="shared" si="8"/>
        <v>1.1202147289671549</v>
      </c>
      <c r="D42" t="s">
        <v>95</v>
      </c>
      <c r="E42" s="5" t="s">
        <v>46</v>
      </c>
      <c r="F42" s="7">
        <v>0.63306451612903247</v>
      </c>
      <c r="G42" s="7">
        <v>0.5171102661596958</v>
      </c>
      <c r="H42" s="7">
        <v>0.44973702490820694</v>
      </c>
      <c r="I42" s="7">
        <v>0.42898496591651886</v>
      </c>
      <c r="J42" s="7">
        <v>0.60383386581469634</v>
      </c>
      <c r="K42" s="7">
        <v>0.52499999999999991</v>
      </c>
      <c r="L42" s="7">
        <v>0.47136563876651977</v>
      </c>
      <c r="M42" s="7">
        <v>0.68749999999999989</v>
      </c>
      <c r="N42" s="7">
        <v>0.26829268292682928</v>
      </c>
      <c r="O42" s="7">
        <v>0.16666666666666666</v>
      </c>
      <c r="P42" s="7">
        <f t="shared" si="12"/>
        <v>0.44076058913050675</v>
      </c>
    </row>
    <row r="43" spans="1:16" x14ac:dyDescent="0.25">
      <c r="A43" s="5" t="s">
        <v>60</v>
      </c>
      <c r="B43" s="7">
        <f t="shared" si="9"/>
        <v>0.29626885126707919</v>
      </c>
      <c r="C43" s="7">
        <f t="shared" si="8"/>
        <v>0.41930237441242435</v>
      </c>
      <c r="D43" t="s">
        <v>95</v>
      </c>
      <c r="E43" s="5" t="s">
        <v>48</v>
      </c>
      <c r="F43" s="7">
        <v>0.25806451612903203</v>
      </c>
      <c r="G43" s="7">
        <v>3.0418250950570179E-2</v>
      </c>
      <c r="H43" s="7">
        <v>0</v>
      </c>
      <c r="I43" s="7">
        <v>0</v>
      </c>
      <c r="J43" s="7">
        <v>0.40894568690095839</v>
      </c>
      <c r="K43" s="7">
        <v>0.45833333333333331</v>
      </c>
      <c r="L43" s="7">
        <v>0.45814977973568266</v>
      </c>
      <c r="M43" s="7">
        <v>0.16964285714285701</v>
      </c>
      <c r="N43" s="7">
        <v>0.68292682926829273</v>
      </c>
      <c r="O43" s="7">
        <v>0.33333333333333331</v>
      </c>
      <c r="P43" s="7">
        <f t="shared" si="12"/>
        <v>0.46602337805057031</v>
      </c>
    </row>
    <row r="44" spans="1:16" x14ac:dyDescent="0.25">
      <c r="A44" s="5" t="s">
        <v>51</v>
      </c>
      <c r="B44" s="7">
        <f t="shared" si="9"/>
        <v>1.127277932908952</v>
      </c>
      <c r="C44" s="7">
        <f t="shared" si="8"/>
        <v>0.77266735921276897</v>
      </c>
      <c r="D44" t="s">
        <v>95</v>
      </c>
      <c r="E44" s="5" t="s">
        <v>47</v>
      </c>
      <c r="F44" s="7">
        <v>0</v>
      </c>
      <c r="G44" s="7">
        <v>0.38276299112801004</v>
      </c>
      <c r="H44" s="7">
        <v>0.41629453210280859</v>
      </c>
      <c r="I44" s="7">
        <v>0.43963021757400322</v>
      </c>
      <c r="J44" s="7">
        <v>2.5559105431309979E-2</v>
      </c>
      <c r="K44" s="7">
        <v>0</v>
      </c>
      <c r="L44" s="7">
        <v>0.75770925110132159</v>
      </c>
      <c r="M44" s="7">
        <v>9.8214285714285643E-2</v>
      </c>
      <c r="N44" s="7">
        <v>0.7804878048780487</v>
      </c>
      <c r="O44" s="7">
        <v>0.5</v>
      </c>
      <c r="P44" s="7">
        <f t="shared" si="12"/>
        <v>4.2364397548300806E-2</v>
      </c>
    </row>
    <row r="45" spans="1:16" x14ac:dyDescent="0.25">
      <c r="A45" s="5" t="s">
        <v>43</v>
      </c>
      <c r="B45" s="7">
        <f t="shared" si="9"/>
        <v>1.2439072634331396</v>
      </c>
      <c r="C45" s="7">
        <f t="shared" si="8"/>
        <v>0.8761860727136298</v>
      </c>
      <c r="D45" t="s">
        <v>95</v>
      </c>
      <c r="E45" s="5" t="s">
        <v>60</v>
      </c>
      <c r="F45" s="7">
        <v>0.52822580645161277</v>
      </c>
      <c r="G45" s="7">
        <v>0.67934093789607075</v>
      </c>
      <c r="H45" s="7">
        <v>0.55512553339287507</v>
      </c>
      <c r="I45" s="7">
        <v>0.5314221682696797</v>
      </c>
      <c r="J45" s="7">
        <v>0.51757188498402551</v>
      </c>
      <c r="K45" s="7">
        <v>0.6166666666666667</v>
      </c>
      <c r="L45" s="7">
        <v>0.70044052863436113</v>
      </c>
      <c r="M45" s="7">
        <v>0.91071428571428559</v>
      </c>
      <c r="N45" s="7">
        <v>0.31707317073170727</v>
      </c>
      <c r="O45" s="7">
        <v>0.16666666666666666</v>
      </c>
      <c r="P45" s="7">
        <f t="shared" si="12"/>
        <v>0.74104350062864888</v>
      </c>
    </row>
    <row r="46" spans="1:16" x14ac:dyDescent="0.25">
      <c r="E46" s="5" t="s">
        <v>51</v>
      </c>
      <c r="F46" s="7">
        <v>0.2963709677419355</v>
      </c>
      <c r="G46" s="7">
        <v>0.37896070975918866</v>
      </c>
      <c r="H46" s="7">
        <v>0.39664582713109081</v>
      </c>
      <c r="I46" s="7">
        <v>0.37333084321598664</v>
      </c>
      <c r="J46" s="7">
        <v>0.45047923322683708</v>
      </c>
      <c r="K46" s="7">
        <v>0.29166666666666669</v>
      </c>
      <c r="L46" s="7">
        <v>0.68722466960352402</v>
      </c>
      <c r="M46" s="7">
        <v>0.11607142857142841</v>
      </c>
      <c r="N46" s="7">
        <v>0.51219512195121963</v>
      </c>
      <c r="O46" s="7">
        <v>0.5</v>
      </c>
      <c r="P46" s="7">
        <f>(F46-$F$48)^2+(G46-$G$48)^2+(H46-$H$48)^2+(I46-$I$48)^2+(J46-$J$48)^2+(K46-$K$48)+(L46-$L$48)^2+(M46-$M$48)^2+(N46-$N$48)^2+(O46-$O$48)^2</f>
        <v>-6.0593821679441412E-2</v>
      </c>
    </row>
    <row r="47" spans="1:16" x14ac:dyDescent="0.25">
      <c r="E47" s="5" t="s">
        <v>43</v>
      </c>
      <c r="F47" s="7">
        <v>0.22379032258064507</v>
      </c>
      <c r="G47" s="7">
        <v>0.36248415716096327</v>
      </c>
      <c r="H47" s="7">
        <v>0.34911183884092506</v>
      </c>
      <c r="I47" s="7">
        <v>0.34083481184050812</v>
      </c>
      <c r="J47" s="7">
        <v>0.30670926517571889</v>
      </c>
      <c r="K47" s="7">
        <v>0.40833333333333333</v>
      </c>
      <c r="L47" s="7">
        <v>0.85022026431718056</v>
      </c>
      <c r="M47" s="7">
        <v>7.1428571428571355E-2</v>
      </c>
      <c r="N47" s="7">
        <v>0.41463414634146345</v>
      </c>
      <c r="O47" s="7">
        <v>0.33333333333333331</v>
      </c>
      <c r="P47" s="7">
        <f t="shared" si="12"/>
        <v>0.17526578442749011</v>
      </c>
    </row>
    <row r="48" spans="1:16" x14ac:dyDescent="0.25">
      <c r="F48" s="7">
        <f>AVERAGE(F31:F47)</f>
        <v>0.37333965844402267</v>
      </c>
      <c r="G48" s="7">
        <f t="shared" ref="G48:O48" si="13">AVERAGE(G31:G47)</f>
        <v>0.38015358234548569</v>
      </c>
      <c r="H48" s="7">
        <f t="shared" si="13"/>
        <v>0.3458720791085117</v>
      </c>
      <c r="I48" s="7">
        <f t="shared" si="13"/>
        <v>0.33107391803485803</v>
      </c>
      <c r="J48" s="7">
        <f t="shared" si="13"/>
        <v>0.44202217628265361</v>
      </c>
      <c r="K48" s="7">
        <f t="shared" si="13"/>
        <v>0.45833333333333337</v>
      </c>
      <c r="L48" s="7">
        <f t="shared" si="13"/>
        <v>0.61907229852293322</v>
      </c>
      <c r="M48" s="7">
        <f t="shared" si="13"/>
        <v>0.39863445378151258</v>
      </c>
      <c r="N48" s="7">
        <f t="shared" si="13"/>
        <v>0.55236728837876603</v>
      </c>
      <c r="O48" s="7">
        <f t="shared" si="13"/>
        <v>0.40196078431372545</v>
      </c>
      <c r="P48" s="7">
        <f>SUM(P31:P47)</f>
        <v>7.777260766622998</v>
      </c>
    </row>
    <row r="49" spans="1:18" x14ac:dyDescent="0.25">
      <c r="E49" s="5" t="s">
        <v>98</v>
      </c>
      <c r="F49" s="7">
        <f>P29+P48</f>
        <v>8.6207310070719316</v>
      </c>
    </row>
    <row r="50" spans="1:18" x14ac:dyDescent="0.25">
      <c r="A50" s="5"/>
    </row>
    <row r="51" spans="1:18" x14ac:dyDescent="0.25">
      <c r="A51" s="5"/>
      <c r="B51" t="s">
        <v>99</v>
      </c>
      <c r="C51" t="s">
        <v>100</v>
      </c>
      <c r="D51" t="s">
        <v>101</v>
      </c>
      <c r="G51" t="s">
        <v>94</v>
      </c>
      <c r="R51" t="s">
        <v>103</v>
      </c>
    </row>
    <row r="52" spans="1:18" x14ac:dyDescent="0.25">
      <c r="A52" s="5" t="s">
        <v>42</v>
      </c>
      <c r="B52" s="7">
        <f t="shared" ref="B52:B71" si="14">SQRT((P2-$P$4)^2+(Q2-$Q$4)^2+(R2-$R$4)^2+(S2-$S$4)^2+(U2-$U$4)^2+(V2-$V$4)^2+(W2-$W$4)^2+(X2-$X$4)^2+(Y2-$Y$4)^2+(Z2-$Z$4)^2)</f>
        <v>0.86056402049318104</v>
      </c>
      <c r="C52" s="7">
        <f t="shared" ref="C52:C71" si="15">SQRT((P2-$P$5)^2+(Q2-$Q$5)^2+(R2-$R$5)^2+(S2-$S$5)^2+(U2-$U$5)^2+(V2-$V$5)^2+(W2-$W$5)^2+(X2-$X$5)^2+(Y2-$Y$5)^2+(Z2-$Z$5)^2)</f>
        <v>1.0535781591732667</v>
      </c>
      <c r="D52" s="7">
        <f t="shared" ref="D52:D71" si="16">SQRT((P2-$P$6)^2+(Q2-$Q$6)^2+(R2-$R$6)^2+(S2-$S$6)^2+(U2-$U$6)^2+(V2-$V$6)^2+(W2-$W$6)^2+(X2-$X$6)^2+(Y2-$Y$6)^2+(Z2-$Z$6)^2)</f>
        <v>0.6407327529318313</v>
      </c>
      <c r="E52">
        <v>3</v>
      </c>
      <c r="G52" s="5" t="s">
        <v>49</v>
      </c>
      <c r="H52" s="7">
        <v>0.63104838709677469</v>
      </c>
      <c r="I52" s="7">
        <v>0.38149556400506962</v>
      </c>
      <c r="J52" s="7">
        <v>0.25146372928450944</v>
      </c>
      <c r="K52" s="7">
        <v>0.20123260808665613</v>
      </c>
      <c r="L52" s="7">
        <v>0.78274760383386577</v>
      </c>
      <c r="M52" s="7">
        <v>0.75833333333333341</v>
      </c>
      <c r="N52" s="7">
        <v>1</v>
      </c>
      <c r="O52" s="7">
        <v>0.78571428571428559</v>
      </c>
      <c r="P52" s="7">
        <v>0.97560975609756106</v>
      </c>
      <c r="Q52" s="7">
        <v>0.5</v>
      </c>
      <c r="R52" s="7">
        <f>(H52-$H$54)^2+(I52-$I$54)^2+(J52-$J$54)^2+(K52-$K$54)^2+(L52-$L$54)^2+(M52-$M$54)+(N52-$N$54)^2+(O52-$O$54)^2+(P52-$P$54)^2+(Q52-$Q$54)^2</f>
        <v>0.11936198624206437</v>
      </c>
    </row>
    <row r="53" spans="1:18" x14ac:dyDescent="0.25">
      <c r="A53" s="5" t="s">
        <v>52</v>
      </c>
      <c r="B53" s="7">
        <f t="shared" si="14"/>
        <v>0.67849209614492156</v>
      </c>
      <c r="C53" s="7">
        <f t="shared" si="15"/>
        <v>0.6920528916627221</v>
      </c>
      <c r="D53" s="7">
        <f t="shared" si="16"/>
        <v>0.51241326487162708</v>
      </c>
      <c r="E53">
        <v>3</v>
      </c>
      <c r="G53" s="5" t="s">
        <v>57</v>
      </c>
      <c r="H53" s="7">
        <v>0.71169354838709686</v>
      </c>
      <c r="I53" s="7">
        <v>0.79340937896070973</v>
      </c>
      <c r="J53" s="7">
        <v>0.69008633521881535</v>
      </c>
      <c r="K53" s="7">
        <v>0.67335885703613785</v>
      </c>
      <c r="L53" s="7">
        <v>0.83067092651757168</v>
      </c>
      <c r="M53" s="7">
        <v>0.89166666666666672</v>
      </c>
      <c r="N53" s="7">
        <v>0.65638766519823766</v>
      </c>
      <c r="O53" s="7">
        <v>0.84821428571428559</v>
      </c>
      <c r="P53" s="7">
        <v>1</v>
      </c>
      <c r="Q53" s="7">
        <v>0.33333333333333331</v>
      </c>
      <c r="R53" s="7">
        <f t="shared" ref="R53" si="17">(H53-$H$54)^2+(I53-$I$54)^2+(J53-$J$54)^2+(K53-$K$54)^2+(L53-$L$54)^2+(M53-$M$54)+(N53-$N$54)^2+(O53-$O$54)^2+(P53-$P$54)^2+(Q53-$Q$54)^2</f>
        <v>0.25269531957539765</v>
      </c>
    </row>
    <row r="54" spans="1:18" x14ac:dyDescent="0.25">
      <c r="A54" s="5" t="s">
        <v>49</v>
      </c>
      <c r="B54" s="7">
        <f t="shared" si="14"/>
        <v>0</v>
      </c>
      <c r="C54" s="7">
        <f t="shared" si="15"/>
        <v>1.0963855829270168</v>
      </c>
      <c r="D54" s="7">
        <f t="shared" si="16"/>
        <v>0.66203035353510353</v>
      </c>
      <c r="E54">
        <v>1</v>
      </c>
      <c r="H54" s="7">
        <f>AVERAGE(H52:H53)</f>
        <v>0.67137096774193572</v>
      </c>
      <c r="I54" s="7">
        <f t="shared" ref="I54:Q54" si="18">AVERAGE(I52:I53)</f>
        <v>0.5874524714828897</v>
      </c>
      <c r="J54" s="7">
        <f t="shared" si="18"/>
        <v>0.4707750322516624</v>
      </c>
      <c r="K54" s="7">
        <f t="shared" si="18"/>
        <v>0.43729573256139698</v>
      </c>
      <c r="L54" s="7">
        <f t="shared" si="18"/>
        <v>0.80670926517571873</v>
      </c>
      <c r="M54" s="7">
        <f t="shared" si="18"/>
        <v>0.82500000000000007</v>
      </c>
      <c r="N54" s="7">
        <f t="shared" si="18"/>
        <v>0.82819383259911883</v>
      </c>
      <c r="O54" s="7">
        <f t="shared" si="18"/>
        <v>0.81696428571428559</v>
      </c>
      <c r="P54" s="7">
        <f t="shared" si="18"/>
        <v>0.98780487804878048</v>
      </c>
      <c r="Q54" s="7">
        <f t="shared" si="18"/>
        <v>0.41666666666666663</v>
      </c>
      <c r="R54" s="7">
        <f>SUM(R52:R53)</f>
        <v>0.37205730581746199</v>
      </c>
    </row>
    <row r="55" spans="1:18" x14ac:dyDescent="0.25">
      <c r="A55" s="5" t="s">
        <v>54</v>
      </c>
      <c r="B55" s="7">
        <f t="shared" si="14"/>
        <v>1.0963855829270168</v>
      </c>
      <c r="C55" s="7">
        <f t="shared" si="15"/>
        <v>0</v>
      </c>
      <c r="D55" s="7">
        <f t="shared" si="16"/>
        <v>0.72287764980990754</v>
      </c>
      <c r="E55">
        <v>2</v>
      </c>
      <c r="G55" t="s">
        <v>95</v>
      </c>
    </row>
    <row r="56" spans="1:18" x14ac:dyDescent="0.25">
      <c r="A56" s="5" t="s">
        <v>45</v>
      </c>
      <c r="B56" s="7">
        <f t="shared" si="14"/>
        <v>0.66203035353510353</v>
      </c>
      <c r="C56" s="7">
        <f t="shared" si="15"/>
        <v>0.72287764980990754</v>
      </c>
      <c r="D56" s="7">
        <f t="shared" si="16"/>
        <v>0</v>
      </c>
      <c r="E56">
        <v>3</v>
      </c>
      <c r="G56" s="5" t="s">
        <v>54</v>
      </c>
      <c r="H56" s="7">
        <v>0.5342741935483869</v>
      </c>
      <c r="I56" s="7">
        <v>0.35107731305449941</v>
      </c>
      <c r="J56" s="7">
        <v>0.27131090602361824</v>
      </c>
      <c r="K56" s="7">
        <v>0.23681015967877497</v>
      </c>
      <c r="L56" s="7">
        <v>0.33865814696485608</v>
      </c>
      <c r="M56" s="7">
        <v>0.60833333333333339</v>
      </c>
      <c r="N56" s="7">
        <v>0.14096916299559484</v>
      </c>
      <c r="O56" s="7">
        <v>0.3035714285714286</v>
      </c>
      <c r="P56" s="7">
        <v>0.12195121951219509</v>
      </c>
      <c r="Q56" s="7">
        <v>0.16666666666666666</v>
      </c>
      <c r="R56" s="7">
        <f>(H56-$H$61)^2+(I56-$I$61)^2+(J56-$J$61)^2+(K56-$K$61)^2+(L56-$L$61)^2+(M56-$M$61)+(N56-$N$61)^2+(O56-$O$61)^2+(P56-$P$61)^2+(Q56-$Q$61)^2</f>
        <v>0.88009042596110743</v>
      </c>
    </row>
    <row r="57" spans="1:18" x14ac:dyDescent="0.25">
      <c r="A57" s="5" t="s">
        <v>57</v>
      </c>
      <c r="B57" s="7">
        <f t="shared" si="14"/>
        <v>0.85645766248968991</v>
      </c>
      <c r="C57" s="7">
        <f t="shared" si="15"/>
        <v>1.2156189108979794</v>
      </c>
      <c r="D57" s="7">
        <f t="shared" si="16"/>
        <v>0.6634241114453292</v>
      </c>
      <c r="E57">
        <v>1</v>
      </c>
      <c r="G57" s="5" t="s">
        <v>44</v>
      </c>
      <c r="H57" s="7">
        <v>0.1915322580645161</v>
      </c>
      <c r="I57" s="7">
        <v>1.5209125475284919E-2</v>
      </c>
      <c r="J57" s="7">
        <v>5.8251463729284615E-2</v>
      </c>
      <c r="K57" s="7">
        <v>5.4440190493977123E-2</v>
      </c>
      <c r="L57" s="7">
        <v>0.22364217252396151</v>
      </c>
      <c r="M57" s="7">
        <v>0.27499999999999997</v>
      </c>
      <c r="N57" s="7">
        <v>0.62995594713656378</v>
      </c>
      <c r="O57" s="7">
        <v>0.13392857142857148</v>
      </c>
      <c r="P57" s="7">
        <v>0.56097560975609739</v>
      </c>
      <c r="Q57" s="7">
        <v>0.33333333333333331</v>
      </c>
      <c r="R57" s="7">
        <f t="shared" ref="R57:R60" si="19">(H57-$H$61)^2+(I57-$I$61)^2+(J57-$J$61)^2+(K57-$K$61)^2+(L57-$L$61)^2+(M57-$M$61)+(N57-$N$61)^2+(O57-$O$61)^2+(P57-$P$61)^2+(Q57-$Q$61)^2</f>
        <v>2.4153522680209989E-2</v>
      </c>
    </row>
    <row r="58" spans="1:18" x14ac:dyDescent="0.25">
      <c r="A58" s="5" t="s">
        <v>55</v>
      </c>
      <c r="B58" s="7">
        <f t="shared" si="14"/>
        <v>0.77830198291717223</v>
      </c>
      <c r="C58" s="7">
        <f t="shared" si="15"/>
        <v>0.58571705281572239</v>
      </c>
      <c r="D58" s="7">
        <f t="shared" si="16"/>
        <v>0.70881718388706128</v>
      </c>
      <c r="E58">
        <v>3</v>
      </c>
      <c r="G58" s="5" t="s">
        <v>38</v>
      </c>
      <c r="H58" s="7">
        <v>3.6290322580645115E-2</v>
      </c>
      <c r="I58" s="7">
        <v>0</v>
      </c>
      <c r="J58" s="7">
        <v>4.0587476431477761E-2</v>
      </c>
      <c r="K58" s="7">
        <v>6.5552339153982592E-2</v>
      </c>
      <c r="L58" s="7">
        <v>0.13099041533546329</v>
      </c>
      <c r="M58" s="7">
        <v>0.13333333333333333</v>
      </c>
      <c r="N58" s="7">
        <v>0.62995594713656378</v>
      </c>
      <c r="O58" s="7">
        <v>3.5714285714285678E-2</v>
      </c>
      <c r="P58" s="7">
        <v>0.6585365853658538</v>
      </c>
      <c r="Q58" s="7">
        <v>0.83333333333333337</v>
      </c>
      <c r="R58" s="7">
        <f t="shared" si="19"/>
        <v>0.19383531232105583</v>
      </c>
    </row>
    <row r="59" spans="1:18" x14ac:dyDescent="0.25">
      <c r="A59" s="5" t="s">
        <v>44</v>
      </c>
      <c r="B59" s="7">
        <f t="shared" si="14"/>
        <v>1.2223691705012452</v>
      </c>
      <c r="C59" s="7">
        <f t="shared" si="15"/>
        <v>0.83735247351998132</v>
      </c>
      <c r="D59" s="7">
        <f t="shared" si="16"/>
        <v>1.0816253360061465</v>
      </c>
      <c r="E59">
        <v>2</v>
      </c>
      <c r="G59" s="5" t="s">
        <v>59</v>
      </c>
      <c r="H59" s="7">
        <v>4.0322580645160578E-3</v>
      </c>
      <c r="I59" s="7">
        <v>0.23320659062103907</v>
      </c>
      <c r="J59" s="7">
        <v>0.30961595713009826</v>
      </c>
      <c r="K59" s="7">
        <v>0.2916238677747689</v>
      </c>
      <c r="L59" s="7">
        <v>0</v>
      </c>
      <c r="M59" s="7">
        <v>0</v>
      </c>
      <c r="N59" s="7">
        <v>0.58590308370044042</v>
      </c>
      <c r="O59" s="7">
        <v>0</v>
      </c>
      <c r="P59" s="7">
        <v>0.73170731707317049</v>
      </c>
      <c r="Q59" s="7">
        <v>0</v>
      </c>
      <c r="R59" s="7">
        <f t="shared" si="19"/>
        <v>3.1410497212032512E-2</v>
      </c>
    </row>
    <row r="60" spans="1:18" x14ac:dyDescent="0.25">
      <c r="A60" s="5" t="s">
        <v>34</v>
      </c>
      <c r="B60" s="7">
        <f t="shared" si="14"/>
        <v>0.74947020874505332</v>
      </c>
      <c r="C60" s="7">
        <f t="shared" si="15"/>
        <v>0.7858816742302065</v>
      </c>
      <c r="D60" s="7">
        <f t="shared" si="16"/>
        <v>0.29223899773387985</v>
      </c>
      <c r="E60">
        <v>3</v>
      </c>
      <c r="G60" s="5" t="s">
        <v>48</v>
      </c>
      <c r="H60" s="7">
        <v>0.25806451612903203</v>
      </c>
      <c r="I60" s="7">
        <v>3.0418250950570179E-2</v>
      </c>
      <c r="J60" s="7">
        <v>0</v>
      </c>
      <c r="K60" s="7">
        <v>0</v>
      </c>
      <c r="L60" s="7">
        <v>0.40894568690095839</v>
      </c>
      <c r="M60" s="7">
        <v>0.45833333333333331</v>
      </c>
      <c r="N60" s="7">
        <v>0.45814977973568266</v>
      </c>
      <c r="O60" s="7">
        <v>0.16964285714285701</v>
      </c>
      <c r="P60" s="7">
        <v>0.68292682926829273</v>
      </c>
      <c r="Q60" s="7">
        <v>0.33333333333333331</v>
      </c>
      <c r="R60" s="7">
        <f t="shared" si="19"/>
        <v>0.26611658898546514</v>
      </c>
    </row>
    <row r="61" spans="1:18" x14ac:dyDescent="0.25">
      <c r="A61" s="5" t="s">
        <v>38</v>
      </c>
      <c r="B61" s="7">
        <f t="shared" si="14"/>
        <v>1.4411797194924847</v>
      </c>
      <c r="C61" s="7">
        <f t="shared" si="15"/>
        <v>1.0165688212528756</v>
      </c>
      <c r="D61" s="7">
        <f t="shared" si="16"/>
        <v>1.2662340997008932</v>
      </c>
      <c r="E61">
        <v>2</v>
      </c>
      <c r="H61" s="7">
        <f>AVERAGE(H56:H60)</f>
        <v>0.20483870967741921</v>
      </c>
      <c r="I61" s="7">
        <f t="shared" ref="I61:Q61" si="20">AVERAGE(I56:I60)</f>
        <v>0.12598225602027871</v>
      </c>
      <c r="J61" s="7">
        <f t="shared" si="20"/>
        <v>0.13595316066289578</v>
      </c>
      <c r="K61" s="7">
        <f t="shared" si="20"/>
        <v>0.12968531142030071</v>
      </c>
      <c r="L61" s="7">
        <f t="shared" si="20"/>
        <v>0.22044728434504787</v>
      </c>
      <c r="M61" s="7">
        <f t="shared" si="20"/>
        <v>0.29499999999999998</v>
      </c>
      <c r="N61" s="7">
        <f t="shared" si="20"/>
        <v>0.48898678414096908</v>
      </c>
      <c r="O61" s="7">
        <f t="shared" si="20"/>
        <v>0.12857142857142856</v>
      </c>
      <c r="P61" s="7">
        <f t="shared" si="20"/>
        <v>0.55121951219512189</v>
      </c>
      <c r="Q61" s="7">
        <f t="shared" si="20"/>
        <v>0.33333333333333337</v>
      </c>
      <c r="R61" s="7">
        <f>SUM(R56:R60)</f>
        <v>1.395606347159871</v>
      </c>
    </row>
    <row r="62" spans="1:18" x14ac:dyDescent="0.25">
      <c r="A62" s="5" t="s">
        <v>59</v>
      </c>
      <c r="B62" s="7">
        <f t="shared" si="14"/>
        <v>1.550250804786669</v>
      </c>
      <c r="C62" s="7">
        <f t="shared" si="15"/>
        <v>1.0365338527404535</v>
      </c>
      <c r="D62" s="7">
        <f t="shared" si="16"/>
        <v>1.2146745183951186</v>
      </c>
      <c r="E62">
        <v>2</v>
      </c>
      <c r="G62" s="5" t="s">
        <v>102</v>
      </c>
    </row>
    <row r="63" spans="1:18" x14ac:dyDescent="0.25">
      <c r="A63" s="5" t="s">
        <v>39</v>
      </c>
      <c r="B63" s="7">
        <f t="shared" si="14"/>
        <v>1.0498755899159944</v>
      </c>
      <c r="C63" s="7">
        <f t="shared" si="15"/>
        <v>1.4780335006132177</v>
      </c>
      <c r="D63" s="7">
        <f t="shared" si="16"/>
        <v>0.99326632223898659</v>
      </c>
      <c r="E63">
        <v>3</v>
      </c>
      <c r="G63" s="5" t="s">
        <v>42</v>
      </c>
      <c r="H63" s="7">
        <v>0.55443548387096742</v>
      </c>
      <c r="I63" s="7">
        <v>0.78580481622306686</v>
      </c>
      <c r="J63" s="7">
        <v>0.58301081671132282</v>
      </c>
      <c r="K63" s="7">
        <v>0.58306097674852941</v>
      </c>
      <c r="L63" s="7">
        <v>0.67731629392971238</v>
      </c>
      <c r="M63" s="7">
        <v>0.64166666666666683</v>
      </c>
      <c r="N63" s="7">
        <v>0.49779735682819393</v>
      </c>
      <c r="O63" s="7">
        <v>0.98214285714285721</v>
      </c>
      <c r="P63" s="7">
        <v>0.17073170731707307</v>
      </c>
      <c r="Q63" s="7">
        <v>1</v>
      </c>
      <c r="R63" s="7">
        <f>(H63-$H$76)^2+(I63-$I$76)^2+(J63-$J$76)^2+(K63-$K$76)^2+(L63-$L$76)^2+(M63-$M$76)+(N63-$N$76)^2+(O63-$O$76)^2+(P63-$P$76)^2+(Q63-$Q$76)^2</f>
        <v>0.66650395356146697</v>
      </c>
    </row>
    <row r="64" spans="1:18" x14ac:dyDescent="0.25">
      <c r="A64" s="5" t="s">
        <v>58</v>
      </c>
      <c r="B64" s="7">
        <f t="shared" si="14"/>
        <v>1.6299389614055093</v>
      </c>
      <c r="C64" s="7">
        <f t="shared" si="15"/>
        <v>1.5583731844593807</v>
      </c>
      <c r="D64" s="7">
        <f t="shared" si="16"/>
        <v>1.2853042849457077</v>
      </c>
      <c r="E64">
        <v>3</v>
      </c>
      <c r="G64" s="5" t="s">
        <v>52</v>
      </c>
      <c r="H64" s="7">
        <v>0.47379032258064507</v>
      </c>
      <c r="I64" s="7">
        <v>0.47908745247148282</v>
      </c>
      <c r="J64" s="7">
        <v>0.34047831695941272</v>
      </c>
      <c r="K64" s="7">
        <v>0.36221869455598099</v>
      </c>
      <c r="L64" s="7">
        <v>0.47603833865814682</v>
      </c>
      <c r="M64" s="7">
        <v>0.49166666666666681</v>
      </c>
      <c r="N64" s="7">
        <v>0.52422907488986781</v>
      </c>
      <c r="O64" s="7">
        <v>0.81250000000000011</v>
      </c>
      <c r="P64" s="7">
        <v>0.36585365853658525</v>
      </c>
      <c r="Q64" s="7">
        <v>0.66666666666666663</v>
      </c>
      <c r="R64" s="7">
        <f t="shared" ref="R64:R75" si="21">(H64-$H$76)^2+(I64-$I$76)^2+(J64-$J$76)^2+(K64-$K$76)^2+(L64-$L$76)^2+(M64-$M$76)+(N64-$N$76)^2+(O64-$O$76)^2+(P64-$P$76)^2+(Q64-$Q$76)^2</f>
        <v>9.3512092423298609E-2</v>
      </c>
    </row>
    <row r="65" spans="1:20" x14ac:dyDescent="0.25">
      <c r="A65" s="5" t="s">
        <v>33</v>
      </c>
      <c r="B65" s="7">
        <f t="shared" si="14"/>
        <v>0.84274769143166095</v>
      </c>
      <c r="C65" s="7">
        <f t="shared" si="15"/>
        <v>0.78033619114937669</v>
      </c>
      <c r="D65" s="7">
        <f t="shared" si="16"/>
        <v>0.28972907110336499</v>
      </c>
      <c r="E65">
        <v>3</v>
      </c>
      <c r="G65" s="5" t="s">
        <v>45</v>
      </c>
      <c r="H65" s="7">
        <v>0.52419354838709664</v>
      </c>
      <c r="I65" s="7">
        <v>0.56653992395437258</v>
      </c>
      <c r="J65" s="7">
        <v>0.47851543117991485</v>
      </c>
      <c r="K65" s="7">
        <v>0.46671024372023545</v>
      </c>
      <c r="L65" s="7">
        <v>0.63258785942492013</v>
      </c>
      <c r="M65" s="7">
        <v>0.66666666666666674</v>
      </c>
      <c r="N65" s="7">
        <v>0.66519823788546262</v>
      </c>
      <c r="O65" s="7">
        <v>0.42857142857142855</v>
      </c>
      <c r="P65" s="7">
        <v>0.36585365853658525</v>
      </c>
      <c r="Q65" s="7">
        <v>0.5</v>
      </c>
      <c r="R65" s="7">
        <f t="shared" si="21"/>
        <v>0.15106108729759085</v>
      </c>
    </row>
    <row r="66" spans="1:20" x14ac:dyDescent="0.25">
      <c r="A66" s="5" t="s">
        <v>46</v>
      </c>
      <c r="B66" s="7">
        <f t="shared" si="14"/>
        <v>0.69651543583960884</v>
      </c>
      <c r="C66" s="7">
        <f t="shared" si="15"/>
        <v>0.66326396772186946</v>
      </c>
      <c r="D66" s="7">
        <f t="shared" si="16"/>
        <v>0.376907004599143</v>
      </c>
      <c r="E66">
        <v>3</v>
      </c>
      <c r="G66" s="5" t="s">
        <v>55</v>
      </c>
      <c r="H66" s="7">
        <v>0.56249999999999967</v>
      </c>
      <c r="I66" s="7">
        <v>0.10519645120405567</v>
      </c>
      <c r="J66" s="7">
        <v>0.13773940656941555</v>
      </c>
      <c r="K66" s="7">
        <v>9.8328508730973985E-2</v>
      </c>
      <c r="L66" s="7">
        <v>0.57827476038338654</v>
      </c>
      <c r="M66" s="7">
        <v>0.625</v>
      </c>
      <c r="N66" s="7">
        <v>0.57268722466960331</v>
      </c>
      <c r="O66" s="7">
        <v>0.27678571428571419</v>
      </c>
      <c r="P66" s="7">
        <v>0.43902439024390233</v>
      </c>
      <c r="Q66" s="7">
        <v>0.66666666666666663</v>
      </c>
      <c r="R66" s="7">
        <f t="shared" si="21"/>
        <v>0.70396415030091386</v>
      </c>
    </row>
    <row r="67" spans="1:20" x14ac:dyDescent="0.25">
      <c r="A67" s="5" t="s">
        <v>48</v>
      </c>
      <c r="B67" s="7">
        <f t="shared" si="14"/>
        <v>1.1264876194845312</v>
      </c>
      <c r="C67" s="7">
        <f t="shared" si="15"/>
        <v>0.67437632195585628</v>
      </c>
      <c r="D67" s="7">
        <f t="shared" si="16"/>
        <v>1.0041803860756138</v>
      </c>
      <c r="E67">
        <v>2</v>
      </c>
      <c r="G67" s="5" t="s">
        <v>34</v>
      </c>
      <c r="H67" s="7">
        <v>0.33467741935483875</v>
      </c>
      <c r="I67" s="7">
        <v>0.56273764258555126</v>
      </c>
      <c r="J67" s="7">
        <v>0.53458370546789713</v>
      </c>
      <c r="K67" s="7">
        <v>0.50210103651134563</v>
      </c>
      <c r="L67" s="7">
        <v>0.59424920127795522</v>
      </c>
      <c r="M67" s="7">
        <v>0.51666666666666661</v>
      </c>
      <c r="N67" s="7">
        <v>0.6387665198237884</v>
      </c>
      <c r="O67" s="7">
        <v>0.57142857142857129</v>
      </c>
      <c r="P67" s="7">
        <v>0.56097560975609739</v>
      </c>
      <c r="Q67" s="7">
        <v>0.33333333333333331</v>
      </c>
      <c r="R67" s="7">
        <f t="shared" si="21"/>
        <v>4.0939284904679289E-2</v>
      </c>
    </row>
    <row r="68" spans="1:20" x14ac:dyDescent="0.25">
      <c r="A68" s="5" t="s">
        <v>47</v>
      </c>
      <c r="B68" s="7">
        <f t="shared" si="14"/>
        <v>1.470371113207616</v>
      </c>
      <c r="C68" s="7">
        <f t="shared" si="15"/>
        <v>1.1132158238433507</v>
      </c>
      <c r="D68" s="7">
        <f t="shared" si="16"/>
        <v>1.1152488903066455</v>
      </c>
      <c r="E68">
        <v>3</v>
      </c>
      <c r="G68" s="5" t="s">
        <v>39</v>
      </c>
      <c r="H68" s="7">
        <v>1</v>
      </c>
      <c r="I68" s="7">
        <v>0.82636248415716085</v>
      </c>
      <c r="J68" s="7">
        <v>0.73355165227746366</v>
      </c>
      <c r="K68" s="7">
        <v>0.698571295172285</v>
      </c>
      <c r="L68" s="7">
        <v>1</v>
      </c>
      <c r="M68" s="7">
        <v>1</v>
      </c>
      <c r="N68" s="7">
        <v>0.62995594713656378</v>
      </c>
      <c r="O68" s="7">
        <v>1</v>
      </c>
      <c r="P68" s="7">
        <v>0.17073170731707307</v>
      </c>
      <c r="Q68" s="7">
        <v>0.5</v>
      </c>
      <c r="R68" s="7">
        <f t="shared" si="21"/>
        <v>1.300960171213708</v>
      </c>
    </row>
    <row r="69" spans="1:20" x14ac:dyDescent="0.25">
      <c r="A69" s="5" t="s">
        <v>60</v>
      </c>
      <c r="B69" s="7">
        <f t="shared" si="14"/>
        <v>0.70446324954808115</v>
      </c>
      <c r="C69" s="7">
        <f t="shared" si="15"/>
        <v>0.99440977305186018</v>
      </c>
      <c r="D69" s="7">
        <f t="shared" si="16"/>
        <v>0.52175616615335085</v>
      </c>
      <c r="E69">
        <v>3</v>
      </c>
      <c r="G69" s="5" t="s">
        <v>58</v>
      </c>
      <c r="H69" s="7">
        <v>0.71370967741935465</v>
      </c>
      <c r="I69" s="7">
        <v>1</v>
      </c>
      <c r="J69" s="7">
        <v>1</v>
      </c>
      <c r="K69" s="7">
        <v>1</v>
      </c>
      <c r="L69" s="7">
        <v>0.86900958466453648</v>
      </c>
      <c r="M69" s="7">
        <v>0.88333333333333341</v>
      </c>
      <c r="N69" s="7">
        <v>0</v>
      </c>
      <c r="O69" s="7">
        <v>1</v>
      </c>
      <c r="P69" s="7">
        <v>0</v>
      </c>
      <c r="Q69" s="7">
        <v>0.33333333333333331</v>
      </c>
      <c r="R69" s="7">
        <f t="shared" si="21"/>
        <v>1.8595254035567403</v>
      </c>
    </row>
    <row r="70" spans="1:20" x14ac:dyDescent="0.25">
      <c r="A70" s="5" t="s">
        <v>51</v>
      </c>
      <c r="B70" s="7">
        <f t="shared" si="14"/>
        <v>1.0184012253981871</v>
      </c>
      <c r="C70" s="7">
        <f t="shared" si="15"/>
        <v>0.73352248074170368</v>
      </c>
      <c r="D70" s="7">
        <f t="shared" si="16"/>
        <v>0.61191617055404857</v>
      </c>
      <c r="E70">
        <v>3</v>
      </c>
      <c r="G70" s="5" t="s">
        <v>33</v>
      </c>
      <c r="H70" s="7">
        <v>0.40322580645161266</v>
      </c>
      <c r="I70" s="7">
        <v>0.62357414448669191</v>
      </c>
      <c r="J70" s="7">
        <v>0.6002778604743475</v>
      </c>
      <c r="K70" s="7">
        <v>0.56167709403305643</v>
      </c>
      <c r="L70" s="7">
        <v>0.61341853035143756</v>
      </c>
      <c r="M70" s="7">
        <v>0.52499999999999991</v>
      </c>
      <c r="N70" s="7">
        <v>0.55506607929515406</v>
      </c>
      <c r="O70" s="7">
        <v>0.52678571428571441</v>
      </c>
      <c r="P70" s="7">
        <v>0.63414634146341453</v>
      </c>
      <c r="Q70" s="7">
        <v>0.5</v>
      </c>
      <c r="R70" s="7">
        <f t="shared" si="21"/>
        <v>6.4116686144408033E-2</v>
      </c>
    </row>
    <row r="71" spans="1:20" x14ac:dyDescent="0.25">
      <c r="A71" s="5" t="s">
        <v>43</v>
      </c>
      <c r="B71" s="7">
        <f t="shared" si="14"/>
        <v>1.037783717362518</v>
      </c>
      <c r="C71" s="7">
        <f t="shared" si="15"/>
        <v>0.84341723098600663</v>
      </c>
      <c r="D71" s="7">
        <f t="shared" si="16"/>
        <v>0.70653231212147749</v>
      </c>
      <c r="E71">
        <v>3</v>
      </c>
      <c r="G71" s="5" t="s">
        <v>46</v>
      </c>
      <c r="H71" s="7">
        <v>0.63306451612903247</v>
      </c>
      <c r="I71" s="7">
        <v>0.5171102661596958</v>
      </c>
      <c r="J71" s="7">
        <v>0.44973702490820694</v>
      </c>
      <c r="K71" s="7">
        <v>0.42898496591651886</v>
      </c>
      <c r="L71" s="7">
        <v>0.60383386581469634</v>
      </c>
      <c r="M71" s="7">
        <v>0.52499999999999991</v>
      </c>
      <c r="N71" s="7">
        <v>0.47136563876651977</v>
      </c>
      <c r="O71" s="7">
        <v>0.68749999999999989</v>
      </c>
      <c r="P71" s="7">
        <v>0.26829268292682928</v>
      </c>
      <c r="Q71" s="7">
        <v>0.16666666666666666</v>
      </c>
      <c r="R71" s="7">
        <f t="shared" si="21"/>
        <v>0.13805949662235345</v>
      </c>
    </row>
    <row r="72" spans="1:20" x14ac:dyDescent="0.25">
      <c r="G72" s="5" t="s">
        <v>47</v>
      </c>
      <c r="H72" s="7">
        <v>0</v>
      </c>
      <c r="I72" s="7">
        <v>0.38276299112801004</v>
      </c>
      <c r="J72" s="7">
        <v>0.41629453210280859</v>
      </c>
      <c r="K72" s="7">
        <v>0.43963021757400322</v>
      </c>
      <c r="L72" s="7">
        <v>2.5559105431309979E-2</v>
      </c>
      <c r="M72" s="7">
        <v>0</v>
      </c>
      <c r="N72" s="7">
        <v>0.75770925110132159</v>
      </c>
      <c r="O72" s="7">
        <v>9.8214285714285643E-2</v>
      </c>
      <c r="P72" s="7">
        <v>0.7804878048780487</v>
      </c>
      <c r="Q72" s="7">
        <v>0.5</v>
      </c>
      <c r="R72" s="7">
        <f t="shared" si="21"/>
        <v>0.42711245484796173</v>
      </c>
    </row>
    <row r="73" spans="1:20" x14ac:dyDescent="0.25">
      <c r="G73" s="5" t="s">
        <v>60</v>
      </c>
      <c r="H73" s="7">
        <v>0.52822580645161277</v>
      </c>
      <c r="I73" s="7">
        <v>0.67934093789607075</v>
      </c>
      <c r="J73" s="7">
        <v>0.55512553339287507</v>
      </c>
      <c r="K73" s="7">
        <v>0.5314221682696797</v>
      </c>
      <c r="L73" s="7">
        <v>0.51757188498402551</v>
      </c>
      <c r="M73" s="7">
        <v>0.6166666666666667</v>
      </c>
      <c r="N73" s="7">
        <v>0.70044052863436113</v>
      </c>
      <c r="O73" s="7">
        <v>0.91071428571428559</v>
      </c>
      <c r="P73" s="7">
        <v>0.31707317073170727</v>
      </c>
      <c r="Q73" s="7">
        <v>0.16666666666666666</v>
      </c>
      <c r="R73" s="7">
        <f t="shared" si="21"/>
        <v>0.31233183638338124</v>
      </c>
    </row>
    <row r="74" spans="1:20" x14ac:dyDescent="0.25">
      <c r="G74" s="5" t="s">
        <v>51</v>
      </c>
      <c r="H74" s="7">
        <v>0.2963709677419355</v>
      </c>
      <c r="I74" s="7">
        <v>0.37896070975918866</v>
      </c>
      <c r="J74" s="7">
        <v>0.39664582713109081</v>
      </c>
      <c r="K74" s="7">
        <v>0.37333084321598664</v>
      </c>
      <c r="L74" s="7">
        <v>0.45047923322683708</v>
      </c>
      <c r="M74" s="7">
        <v>0.29166666666666669</v>
      </c>
      <c r="N74" s="7">
        <v>0.68722466960352402</v>
      </c>
      <c r="O74" s="7">
        <v>0.11607142857142841</v>
      </c>
      <c r="P74" s="7">
        <v>0.51219512195121963</v>
      </c>
      <c r="Q74" s="7">
        <v>0.5</v>
      </c>
      <c r="R74" s="7">
        <f t="shared" si="21"/>
        <v>8.3220539748895636E-2</v>
      </c>
    </row>
    <row r="75" spans="1:20" x14ac:dyDescent="0.25">
      <c r="G75" s="5" t="s">
        <v>43</v>
      </c>
      <c r="H75" s="7">
        <v>0.22379032258064507</v>
      </c>
      <c r="I75" s="7">
        <v>0.36248415716096327</v>
      </c>
      <c r="J75" s="7">
        <v>0.34911183884092506</v>
      </c>
      <c r="K75" s="7">
        <v>0.34083481184050812</v>
      </c>
      <c r="L75" s="7">
        <v>0.30670926517571889</v>
      </c>
      <c r="M75" s="7">
        <v>0.40833333333333333</v>
      </c>
      <c r="N75" s="7">
        <v>0.85022026431718056</v>
      </c>
      <c r="O75" s="7">
        <v>7.1428571428571355E-2</v>
      </c>
      <c r="P75" s="7">
        <v>0.41463414634146345</v>
      </c>
      <c r="Q75" s="7">
        <v>0.33333333333333331</v>
      </c>
      <c r="R75" s="7">
        <f t="shared" si="21"/>
        <v>0.42119682531871999</v>
      </c>
    </row>
    <row r="76" spans="1:20" x14ac:dyDescent="0.25">
      <c r="H76" s="7">
        <f>AVERAGE(H63:H75)</f>
        <v>0.48061414392059548</v>
      </c>
      <c r="I76" s="7">
        <f t="shared" ref="I76:Q76" si="22">AVERAGE(I63:I75)</f>
        <v>0.55922784439894702</v>
      </c>
      <c r="J76" s="7">
        <f t="shared" si="22"/>
        <v>0.50577476507812935</v>
      </c>
      <c r="K76" s="7">
        <f t="shared" si="22"/>
        <v>0.49129775817608495</v>
      </c>
      <c r="L76" s="7">
        <f t="shared" si="22"/>
        <v>0.56500368640943721</v>
      </c>
      <c r="M76" s="7">
        <f t="shared" si="22"/>
        <v>0.55320512820512835</v>
      </c>
      <c r="N76" s="7">
        <f t="shared" si="22"/>
        <v>0.58082006099627237</v>
      </c>
      <c r="O76" s="7">
        <f t="shared" si="22"/>
        <v>0.5755494505494505</v>
      </c>
      <c r="P76" s="7">
        <f t="shared" si="22"/>
        <v>0.38461538461538464</v>
      </c>
      <c r="Q76" s="7">
        <f t="shared" si="22"/>
        <v>0.47435897435897439</v>
      </c>
      <c r="R76" s="7">
        <f>SUM(R63:R75)</f>
        <v>6.2625039823241186</v>
      </c>
    </row>
    <row r="77" spans="1:20" x14ac:dyDescent="0.25">
      <c r="G77" s="5" t="s">
        <v>97</v>
      </c>
      <c r="H77" s="7">
        <f>R54+R61+R76</f>
        <v>8.0301676353014511</v>
      </c>
    </row>
    <row r="79" spans="1:20" x14ac:dyDescent="0.25">
      <c r="B79" t="s">
        <v>104</v>
      </c>
      <c r="C79" t="s">
        <v>105</v>
      </c>
      <c r="D79" t="s">
        <v>106</v>
      </c>
      <c r="E79" t="s">
        <v>107</v>
      </c>
      <c r="H79" t="s">
        <v>94</v>
      </c>
      <c r="S79" t="s">
        <v>103</v>
      </c>
    </row>
    <row r="80" spans="1:20" x14ac:dyDescent="0.25">
      <c r="A80" s="5" t="s">
        <v>42</v>
      </c>
      <c r="B80" s="7">
        <f t="shared" ref="B80:B99" si="23">SQRT((P2-$P$7)^2+(Q2-$Q$7)^2+(R2-$R$7)^2+(S2-$S$7)^2+(U2-$U$7)^2+(V2-$V$7)^2+(W2-$W$7)^2+(X2-$X$7)^2+(Y2-$Y$7)^2+(Z2-$Z$7)^2)</f>
        <v>0.41654794870198841</v>
      </c>
      <c r="C80" s="7">
        <f t="shared" ref="C80:C99" si="24">SQRT((P2-$P$8)^2+(Q2-$Q$8)^2+(R2-$R$8)^2+(S2-$S$8)^2+(U2-$U$8)^2+(V2-$V$8)^2+(W2-$W$8)^2+(X2-$X$8)^2+(Y2-$Y$8)^2+(Z2-$Z$8)^2)</f>
        <v>1.1873285862069867</v>
      </c>
      <c r="D80" s="7">
        <f t="shared" ref="D80:D99" si="25">SQRT((P2-$P$9)^2+(Q2-$Q$9)^2+(R2-$R$9)^2+(S2-$S$9)^2+(U2-$U$9)^2+(V2-$V$9)^2+(W2-$W$9)^2+(X2-$X$9)^2+(Y2-$Y$9)^2+(Z2-$Z$9)^2)</f>
        <v>1.5354239819874196</v>
      </c>
      <c r="E80" s="7">
        <f t="shared" ref="E80:E99" si="26">SQRT((P2-$P$10)^2+(Q2-$Q$10)^2+(R2-$R$10)^2+(S2-$S$10)^2+(U2-$U$10)^2+(V2-$V$10)^2+(W2-$W$10)^2+(X2-$X$10)^2+(Y2-$Y$10)^2+(Z2-$Z$10)^2)</f>
        <v>0.56394675208585632</v>
      </c>
      <c r="F80">
        <v>4</v>
      </c>
      <c r="H80" s="5" t="s">
        <v>57</v>
      </c>
      <c r="I80" s="7">
        <v>0.71169354838709686</v>
      </c>
      <c r="J80" s="7">
        <v>0.79340937896070973</v>
      </c>
      <c r="K80" s="7">
        <v>0.69008633521881535</v>
      </c>
      <c r="L80" s="7">
        <v>0.67335885703613785</v>
      </c>
      <c r="M80" s="7">
        <v>0.83067092651757168</v>
      </c>
      <c r="N80" s="7">
        <v>0.89166666666666672</v>
      </c>
      <c r="O80" s="7">
        <v>0.65638766519823766</v>
      </c>
      <c r="P80" s="7">
        <v>0.84821428571428559</v>
      </c>
      <c r="Q80" s="7">
        <v>1</v>
      </c>
      <c r="R80" s="7">
        <v>0.33333333333333331</v>
      </c>
      <c r="S80" s="7">
        <f>(I80-$I$83)^2+(J80-$J$83)^2+(K80-$K$83)^2+(L80-$L$83)^2+(M80-$M$83)^2+(N80-$N$83)+(O80-$O$83)^2+(P80-$P$83)^2+(Q80-$Q$83)^2+(R80-$R$83)^2</f>
        <v>0.45176334650041766</v>
      </c>
      <c r="T80" s="7"/>
    </row>
    <row r="81" spans="1:20" x14ac:dyDescent="0.25">
      <c r="A81" s="5" t="s">
        <v>52</v>
      </c>
      <c r="B81" s="7">
        <f t="shared" si="23"/>
        <v>0.82397564346812424</v>
      </c>
      <c r="C81" s="7">
        <f t="shared" si="24"/>
        <v>0.75892887384845675</v>
      </c>
      <c r="D81" s="7">
        <f t="shared" si="25"/>
        <v>1.0254354908038956</v>
      </c>
      <c r="E81" s="7">
        <f t="shared" si="26"/>
        <v>0.41161486075670201</v>
      </c>
      <c r="F81">
        <v>4</v>
      </c>
      <c r="H81" s="5" t="s">
        <v>39</v>
      </c>
      <c r="I81" s="7">
        <v>1</v>
      </c>
      <c r="J81" s="7">
        <v>0.82636248415716085</v>
      </c>
      <c r="K81" s="7">
        <v>0.73355165227746366</v>
      </c>
      <c r="L81" s="7">
        <v>0.698571295172285</v>
      </c>
      <c r="M81" s="7">
        <v>1</v>
      </c>
      <c r="N81" s="7">
        <v>1</v>
      </c>
      <c r="O81" s="7">
        <v>0.62995594713656378</v>
      </c>
      <c r="P81" s="7">
        <v>1</v>
      </c>
      <c r="Q81" s="7">
        <v>0.17073170731707307</v>
      </c>
      <c r="R81" s="7">
        <v>0.5</v>
      </c>
      <c r="S81" s="7">
        <f t="shared" ref="S81:S82" si="27">(I81-$I$83)^2+(J81-$J$83)^2+(K81-$K$83)^2+(L81-$L$83)^2+(M81-$M$83)^2+(N81-$N$83)+(O81-$O$83)^2+(P81-$P$83)^2+(Q81-$Q$83)^2+(R81-$R$83)^2</f>
        <v>0.24146935034928527</v>
      </c>
      <c r="T81" s="7"/>
    </row>
    <row r="82" spans="1:20" x14ac:dyDescent="0.25">
      <c r="A82" s="5" t="s">
        <v>49</v>
      </c>
      <c r="B82" s="7">
        <f t="shared" si="23"/>
        <v>0.85645766248968991</v>
      </c>
      <c r="C82" s="7">
        <f t="shared" si="24"/>
        <v>0.77830198291717223</v>
      </c>
      <c r="D82" s="7">
        <f t="shared" si="25"/>
        <v>1.2223691705012452</v>
      </c>
      <c r="E82" s="7">
        <f t="shared" si="26"/>
        <v>0.74947020874505332</v>
      </c>
      <c r="F82">
        <v>4</v>
      </c>
      <c r="H82" s="5" t="s">
        <v>58</v>
      </c>
      <c r="I82" s="7">
        <v>0.71370967741935465</v>
      </c>
      <c r="J82" s="7">
        <v>1</v>
      </c>
      <c r="K82" s="7">
        <v>1</v>
      </c>
      <c r="L82" s="7">
        <v>1</v>
      </c>
      <c r="M82" s="7">
        <v>0.86900958466453648</v>
      </c>
      <c r="N82" s="7">
        <v>0.88333333333333341</v>
      </c>
      <c r="O82" s="7">
        <v>0</v>
      </c>
      <c r="P82" s="7">
        <v>1</v>
      </c>
      <c r="Q82" s="7">
        <v>0</v>
      </c>
      <c r="R82" s="7">
        <v>0.33333333333333331</v>
      </c>
      <c r="S82" s="7">
        <f t="shared" si="27"/>
        <v>0.40686042275754797</v>
      </c>
      <c r="T82" s="7"/>
    </row>
    <row r="83" spans="1:20" x14ac:dyDescent="0.25">
      <c r="A83" s="5" t="s">
        <v>54</v>
      </c>
      <c r="B83" s="7">
        <f t="shared" si="23"/>
        <v>1.2156189108979794</v>
      </c>
      <c r="C83" s="7">
        <f t="shared" si="24"/>
        <v>0.58571705281572239</v>
      </c>
      <c r="D83" s="7">
        <f t="shared" si="25"/>
        <v>0.83735247351998132</v>
      </c>
      <c r="E83" s="7">
        <f t="shared" si="26"/>
        <v>0.7858816742302065</v>
      </c>
      <c r="F83">
        <v>2</v>
      </c>
      <c r="I83" s="7">
        <f>AVERAGE(I80:I82)</f>
        <v>0.80846774193548387</v>
      </c>
      <c r="J83" s="7">
        <f t="shared" ref="J83:R83" si="28">AVERAGE(J80:J82)</f>
        <v>0.8732572877059569</v>
      </c>
      <c r="K83" s="7">
        <f t="shared" si="28"/>
        <v>0.80787932916542626</v>
      </c>
      <c r="L83" s="7">
        <f t="shared" si="28"/>
        <v>0.79064338406947421</v>
      </c>
      <c r="M83" s="7">
        <f t="shared" si="28"/>
        <v>0.89989350372736931</v>
      </c>
      <c r="N83" s="7">
        <f t="shared" si="28"/>
        <v>0.92499999999999993</v>
      </c>
      <c r="O83" s="7">
        <f t="shared" si="28"/>
        <v>0.42878120411160053</v>
      </c>
      <c r="P83" s="7">
        <f t="shared" si="28"/>
        <v>0.94940476190476186</v>
      </c>
      <c r="Q83" s="7">
        <f t="shared" si="28"/>
        <v>0.39024390243902435</v>
      </c>
      <c r="R83" s="7">
        <f t="shared" si="28"/>
        <v>0.38888888888888884</v>
      </c>
      <c r="S83" s="7">
        <f>SUM(S80:S82)</f>
        <v>1.100093119607251</v>
      </c>
      <c r="T83" s="7"/>
    </row>
    <row r="84" spans="1:20" x14ac:dyDescent="0.25">
      <c r="A84" s="5" t="s">
        <v>45</v>
      </c>
      <c r="B84" s="7">
        <f t="shared" si="23"/>
        <v>0.6634241114453292</v>
      </c>
      <c r="C84" s="7">
        <f t="shared" si="24"/>
        <v>0.70881718388706128</v>
      </c>
      <c r="D84" s="7">
        <f t="shared" si="25"/>
        <v>1.0816253360061465</v>
      </c>
      <c r="E84" s="7">
        <f t="shared" si="26"/>
        <v>0.29223899773387985</v>
      </c>
      <c r="F84">
        <v>4</v>
      </c>
      <c r="H84" s="5" t="s">
        <v>95</v>
      </c>
    </row>
    <row r="85" spans="1:20" x14ac:dyDescent="0.25">
      <c r="A85" s="5" t="s">
        <v>57</v>
      </c>
      <c r="B85" s="7">
        <f t="shared" si="23"/>
        <v>0</v>
      </c>
      <c r="C85" s="7">
        <f t="shared" si="24"/>
        <v>1.2649087285855978</v>
      </c>
      <c r="D85" s="7">
        <f t="shared" si="25"/>
        <v>1.7082457160503892</v>
      </c>
      <c r="E85" s="7">
        <f t="shared" si="26"/>
        <v>0.72270463470590074</v>
      </c>
      <c r="F85">
        <v>1</v>
      </c>
      <c r="H85" s="5" t="s">
        <v>54</v>
      </c>
      <c r="I85" s="7">
        <v>0.5342741935483869</v>
      </c>
      <c r="J85" s="7">
        <v>0.35107731305449941</v>
      </c>
      <c r="K85" s="7">
        <v>0.27131090602361824</v>
      </c>
      <c r="L85" s="7">
        <v>0.23681015967877497</v>
      </c>
      <c r="M85" s="7">
        <v>0.33865814696485608</v>
      </c>
      <c r="N85" s="7">
        <v>0.60833333333333339</v>
      </c>
      <c r="O85" s="7">
        <v>0.14096916299559484</v>
      </c>
      <c r="P85" s="7">
        <v>0.3035714285714286</v>
      </c>
      <c r="Q85" s="7">
        <v>0.12195121951219509</v>
      </c>
      <c r="R85" s="7">
        <v>0.16666666666666666</v>
      </c>
      <c r="S85" s="7">
        <f>(I85-$I$87)^2+(J85-$J$87)^2+(K85-$K$87)^2+(L85-$L$87)^2+(M85-$M$87)^2+(N85-$N$87)+(O85-$O$87)^2+(P85-$P$87)^2+(Q85-$Q$87)^2+(R85-$R$87)^2</f>
        <v>0.16499718761147075</v>
      </c>
      <c r="T85" s="7"/>
    </row>
    <row r="86" spans="1:20" x14ac:dyDescent="0.25">
      <c r="A86" s="5" t="s">
        <v>55</v>
      </c>
      <c r="B86" s="7">
        <f t="shared" si="23"/>
        <v>1.2649087285855978</v>
      </c>
      <c r="C86" s="7">
        <f t="shared" si="24"/>
        <v>0</v>
      </c>
      <c r="D86" s="7">
        <f t="shared" si="25"/>
        <v>0.65261891184161369</v>
      </c>
      <c r="E86" s="7">
        <f t="shared" si="26"/>
        <v>0.82760914821392761</v>
      </c>
      <c r="F86">
        <v>2</v>
      </c>
      <c r="H86" s="5" t="s">
        <v>55</v>
      </c>
      <c r="I86" s="7">
        <v>0.56249999999999967</v>
      </c>
      <c r="J86" s="7">
        <v>0.10519645120405567</v>
      </c>
      <c r="K86" s="7">
        <v>0.13773940656941555</v>
      </c>
      <c r="L86" s="7">
        <v>9.8328508730973985E-2</v>
      </c>
      <c r="M86" s="7">
        <v>0.57827476038338654</v>
      </c>
      <c r="N86" s="7">
        <v>0.625</v>
      </c>
      <c r="O86" s="7">
        <v>0.57268722466960331</v>
      </c>
      <c r="P86" s="7">
        <v>0.27678571428571419</v>
      </c>
      <c r="Q86" s="7">
        <v>0.43902439024390233</v>
      </c>
      <c r="R86" s="7">
        <v>0.66666666666666663</v>
      </c>
      <c r="S86" s="7">
        <f>(I86-$I$87)^2+(J86-$J$87)^2+(K86-$K$87)^2+(L86-$L$87)^2+(M86-$M$87)^2+(N86-$N$87)+(O86-$O$87)^2+(P86-$P$87)^2+(Q86-$Q$87)^2+(R86-$R$87)^2</f>
        <v>0.18166385427813742</v>
      </c>
      <c r="T86" s="7"/>
    </row>
    <row r="87" spans="1:20" x14ac:dyDescent="0.25">
      <c r="A87" s="5" t="s">
        <v>44</v>
      </c>
      <c r="B87" s="7">
        <f t="shared" si="23"/>
        <v>1.7082457160503892</v>
      </c>
      <c r="C87" s="7">
        <f t="shared" si="24"/>
        <v>0.65261891184161369</v>
      </c>
      <c r="D87" s="7">
        <f t="shared" si="25"/>
        <v>0</v>
      </c>
      <c r="E87" s="7">
        <f t="shared" si="26"/>
        <v>1.0652731459852143</v>
      </c>
      <c r="F87">
        <v>3</v>
      </c>
      <c r="I87" s="7">
        <f>AVERAGE(I85:I86)</f>
        <v>0.54838709677419328</v>
      </c>
      <c r="J87" s="7">
        <f t="shared" ref="J87:R87" si="29">AVERAGE(J85:J86)</f>
        <v>0.22813688212927755</v>
      </c>
      <c r="K87" s="7">
        <f t="shared" si="29"/>
        <v>0.20452515629651691</v>
      </c>
      <c r="L87" s="7">
        <f t="shared" si="29"/>
        <v>0.16756933420487446</v>
      </c>
      <c r="M87" s="7">
        <f t="shared" si="29"/>
        <v>0.45846645367412131</v>
      </c>
      <c r="N87" s="7">
        <f t="shared" si="29"/>
        <v>0.6166666666666667</v>
      </c>
      <c r="O87" s="7">
        <f t="shared" si="29"/>
        <v>0.35682819383259906</v>
      </c>
      <c r="P87" s="7">
        <f t="shared" si="29"/>
        <v>0.2901785714285714</v>
      </c>
      <c r="Q87" s="7">
        <f t="shared" si="29"/>
        <v>0.2804878048780487</v>
      </c>
      <c r="R87" s="7">
        <f t="shared" si="29"/>
        <v>0.41666666666666663</v>
      </c>
      <c r="S87" s="7">
        <f>SUM(S85:S86)</f>
        <v>0.34666104188960817</v>
      </c>
      <c r="T87" s="7"/>
    </row>
    <row r="88" spans="1:20" x14ac:dyDescent="0.25">
      <c r="A88" s="5" t="s">
        <v>34</v>
      </c>
      <c r="B88" s="7">
        <f t="shared" si="23"/>
        <v>0.72270463470590074</v>
      </c>
      <c r="C88" s="7">
        <f t="shared" si="24"/>
        <v>0.82760914821392761</v>
      </c>
      <c r="D88" s="7">
        <f t="shared" si="25"/>
        <v>1.0652731459852143</v>
      </c>
      <c r="E88" s="7">
        <f t="shared" si="26"/>
        <v>0</v>
      </c>
      <c r="F88">
        <v>4</v>
      </c>
      <c r="H88" s="5" t="s">
        <v>102</v>
      </c>
    </row>
    <row r="89" spans="1:20" x14ac:dyDescent="0.25">
      <c r="A89" s="5" t="s">
        <v>38</v>
      </c>
      <c r="B89" s="7">
        <f t="shared" si="23"/>
        <v>1.8980049100808083</v>
      </c>
      <c r="C89" s="7">
        <f t="shared" si="24"/>
        <v>0.89536039082589691</v>
      </c>
      <c r="D89" s="7">
        <f t="shared" si="25"/>
        <v>0.25113086389077843</v>
      </c>
      <c r="E89" s="7">
        <f t="shared" si="26"/>
        <v>1.2202197026263297</v>
      </c>
      <c r="F89">
        <v>3</v>
      </c>
      <c r="H89" s="5" t="s">
        <v>44</v>
      </c>
      <c r="I89" s="7">
        <v>0.1915322580645161</v>
      </c>
      <c r="J89" s="7">
        <v>1.5209125475284919E-2</v>
      </c>
      <c r="K89" s="7">
        <v>5.8251463729284615E-2</v>
      </c>
      <c r="L89" s="7">
        <v>5.4440190493977123E-2</v>
      </c>
      <c r="M89" s="7">
        <v>0.22364217252396151</v>
      </c>
      <c r="N89" s="7">
        <v>0.27499999999999997</v>
      </c>
      <c r="O89" s="7">
        <v>0.62995594713656378</v>
      </c>
      <c r="P89" s="7">
        <v>0.13392857142857148</v>
      </c>
      <c r="Q89" s="7">
        <v>0.56097560975609739</v>
      </c>
      <c r="R89" s="7">
        <v>0.33333333333333331</v>
      </c>
      <c r="S89" s="7">
        <f>(I89-$I$95)^2+(J89-$J$95)^2+(K89-$K$95)^2+(L89-$L$95)^2+(M89-$M$95)^2+(N89-$N$95)+(O89-$O$95)^2+(P89-$P$95)^2+(Q89-$Q$95)^2+(R89-$R$95)^2</f>
        <v>0.14525052262865359</v>
      </c>
      <c r="T89" s="7"/>
    </row>
    <row r="90" spans="1:20" x14ac:dyDescent="0.25">
      <c r="A90" s="5" t="s">
        <v>59</v>
      </c>
      <c r="B90" s="7">
        <f t="shared" si="23"/>
        <v>1.8206070855180785</v>
      </c>
      <c r="C90" s="7">
        <f t="shared" si="24"/>
        <v>1.094069992320245</v>
      </c>
      <c r="D90" s="7">
        <f t="shared" si="25"/>
        <v>0.58960808040097101</v>
      </c>
      <c r="E90" s="7">
        <f t="shared" si="26"/>
        <v>1.1234899981898741</v>
      </c>
      <c r="F90">
        <v>3</v>
      </c>
      <c r="H90" s="5" t="s">
        <v>38</v>
      </c>
      <c r="I90" s="7">
        <v>3.6290322580645115E-2</v>
      </c>
      <c r="J90" s="7">
        <v>0</v>
      </c>
      <c r="K90" s="7">
        <v>4.0587476431477761E-2</v>
      </c>
      <c r="L90" s="7">
        <v>6.5552339153982592E-2</v>
      </c>
      <c r="M90" s="7">
        <v>0.13099041533546329</v>
      </c>
      <c r="N90" s="7">
        <v>0.13333333333333333</v>
      </c>
      <c r="O90" s="7">
        <v>0.62995594713656378</v>
      </c>
      <c r="P90" s="7">
        <v>3.5714285714285678E-2</v>
      </c>
      <c r="Q90" s="7">
        <v>0.6585365853658538</v>
      </c>
      <c r="R90" s="7">
        <v>0.83333333333333337</v>
      </c>
      <c r="S90" s="7">
        <f t="shared" ref="S90:S94" si="30">(I90-$I$95)^2+(J90-$J$95)^2+(K90-$K$95)^2+(L90-$L$95)^2+(M90-$M$95)^2+(N90-$N$95)+(O90-$O$95)^2+(P90-$P$95)^2+(Q90-$Q$95)^2+(R90-$R$95)^2</f>
        <v>0.20207181708056565</v>
      </c>
      <c r="T90" s="7"/>
    </row>
    <row r="91" spans="1:20" x14ac:dyDescent="0.25">
      <c r="A91" s="5" t="s">
        <v>39</v>
      </c>
      <c r="B91" s="7">
        <f t="shared" si="23"/>
        <v>0.38842940545990406</v>
      </c>
      <c r="C91" s="7">
        <f t="shared" si="24"/>
        <v>1.5071715626496305</v>
      </c>
      <c r="D91" s="7">
        <f t="shared" si="25"/>
        <v>2.0151826918146951</v>
      </c>
      <c r="E91" s="7">
        <f t="shared" si="26"/>
        <v>1.082745084107716</v>
      </c>
      <c r="F91">
        <v>1</v>
      </c>
      <c r="H91" s="5" t="s">
        <v>59</v>
      </c>
      <c r="I91" s="7">
        <v>4.0322580645160578E-3</v>
      </c>
      <c r="J91" s="7">
        <v>0.23320659062103907</v>
      </c>
      <c r="K91" s="7">
        <v>0.30961595713009826</v>
      </c>
      <c r="L91" s="7">
        <v>0.2916238677747689</v>
      </c>
      <c r="M91" s="7">
        <v>0</v>
      </c>
      <c r="N91" s="7">
        <v>0</v>
      </c>
      <c r="O91" s="7">
        <v>0.58590308370044042</v>
      </c>
      <c r="P91" s="7">
        <v>0</v>
      </c>
      <c r="Q91" s="7">
        <v>0.73170731707317049</v>
      </c>
      <c r="R91" s="7">
        <v>0</v>
      </c>
      <c r="S91" s="7">
        <f t="shared" si="30"/>
        <v>3.1139218470100358E-2</v>
      </c>
      <c r="T91" s="7"/>
    </row>
    <row r="92" spans="1:20" x14ac:dyDescent="0.25">
      <c r="A92" s="5" t="s">
        <v>58</v>
      </c>
      <c r="B92" s="7">
        <f t="shared" si="23"/>
        <v>0.83716643065228646</v>
      </c>
      <c r="C92" s="7">
        <f t="shared" si="24"/>
        <v>1.8391071138341981</v>
      </c>
      <c r="D92" s="7">
        <f t="shared" si="25"/>
        <v>2.22642061133342</v>
      </c>
      <c r="E92" s="7">
        <f t="shared" si="26"/>
        <v>1.2653115726503616</v>
      </c>
      <c r="F92">
        <v>1</v>
      </c>
      <c r="H92" s="5" t="s">
        <v>48</v>
      </c>
      <c r="I92" s="7">
        <v>0.25806451612903203</v>
      </c>
      <c r="J92" s="7">
        <v>3.0418250950570179E-2</v>
      </c>
      <c r="K92" s="7">
        <v>0</v>
      </c>
      <c r="L92" s="7">
        <v>0</v>
      </c>
      <c r="M92" s="7">
        <v>0.40894568690095839</v>
      </c>
      <c r="N92" s="7">
        <v>0.45833333333333331</v>
      </c>
      <c r="O92" s="7">
        <v>0.45814977973568266</v>
      </c>
      <c r="P92" s="7">
        <v>0.16964285714285701</v>
      </c>
      <c r="Q92" s="7">
        <v>0.68292682926829273</v>
      </c>
      <c r="R92" s="7">
        <v>0.33333333333333331</v>
      </c>
      <c r="S92" s="7">
        <f t="shared" si="30"/>
        <v>0.46367478187331573</v>
      </c>
      <c r="T92" s="7"/>
    </row>
    <row r="93" spans="1:20" x14ac:dyDescent="0.25">
      <c r="A93" s="5" t="s">
        <v>33</v>
      </c>
      <c r="B93" s="7">
        <f t="shared" si="23"/>
        <v>0.6631441558152531</v>
      </c>
      <c r="C93" s="7">
        <f t="shared" si="24"/>
        <v>0.89261583214594442</v>
      </c>
      <c r="D93" s="7">
        <f t="shared" si="25"/>
        <v>1.1577456033111304</v>
      </c>
      <c r="E93" s="7">
        <f t="shared" si="26"/>
        <v>0.16031421031560258</v>
      </c>
      <c r="F93">
        <v>4</v>
      </c>
      <c r="H93" s="5" t="s">
        <v>47</v>
      </c>
      <c r="I93" s="7">
        <v>0</v>
      </c>
      <c r="J93" s="7">
        <v>0.38276299112801004</v>
      </c>
      <c r="K93" s="7">
        <v>0.41629453210280859</v>
      </c>
      <c r="L93" s="7">
        <v>0.43963021757400322</v>
      </c>
      <c r="M93" s="7">
        <v>2.5559105431309979E-2</v>
      </c>
      <c r="N93" s="7">
        <v>0</v>
      </c>
      <c r="O93" s="7">
        <v>0.75770925110132159</v>
      </c>
      <c r="P93" s="7">
        <v>9.8214285714285643E-2</v>
      </c>
      <c r="Q93" s="7">
        <v>0.7804878048780487</v>
      </c>
      <c r="R93" s="7">
        <v>0.5</v>
      </c>
      <c r="S93" s="7">
        <f t="shared" si="30"/>
        <v>2.1992908497181232E-2</v>
      </c>
      <c r="T93" s="7"/>
    </row>
    <row r="94" spans="1:20" x14ac:dyDescent="0.25">
      <c r="A94" s="5" t="s">
        <v>46</v>
      </c>
      <c r="B94" s="7">
        <f t="shared" si="23"/>
        <v>0.66781123270465625</v>
      </c>
      <c r="C94" s="7">
        <f t="shared" si="24"/>
        <v>0.75560181613437694</v>
      </c>
      <c r="D94" s="7">
        <f t="shared" si="25"/>
        <v>1.1309456925186794</v>
      </c>
      <c r="E94" s="7">
        <f t="shared" si="26"/>
        <v>0.38120673883098249</v>
      </c>
      <c r="F94">
        <v>4</v>
      </c>
      <c r="H94" s="5" t="s">
        <v>43</v>
      </c>
      <c r="I94" s="7">
        <v>0.22379032258064507</v>
      </c>
      <c r="J94" s="7">
        <v>0.36248415716096327</v>
      </c>
      <c r="K94" s="7">
        <v>0.34911183884092506</v>
      </c>
      <c r="L94" s="7">
        <v>0.34083481184050812</v>
      </c>
      <c r="M94" s="7">
        <v>0.30670926517571889</v>
      </c>
      <c r="N94" s="7">
        <v>0.40833333333333333</v>
      </c>
      <c r="O94" s="7">
        <v>0.85022026431718056</v>
      </c>
      <c r="P94" s="7">
        <v>7.1428571428571355E-2</v>
      </c>
      <c r="Q94" s="7">
        <v>0.41463414634146345</v>
      </c>
      <c r="R94" s="7">
        <v>0.33333333333333331</v>
      </c>
      <c r="S94" s="7">
        <f t="shared" si="30"/>
        <v>0.39531742769702705</v>
      </c>
      <c r="T94" s="7"/>
    </row>
    <row r="95" spans="1:20" x14ac:dyDescent="0.25">
      <c r="A95" s="5" t="s">
        <v>48</v>
      </c>
      <c r="B95" s="7">
        <f t="shared" si="23"/>
        <v>1.6071569491334459</v>
      </c>
      <c r="C95" s="7">
        <f t="shared" si="24"/>
        <v>0.45602841343185352</v>
      </c>
      <c r="D95" s="7">
        <f t="shared" si="25"/>
        <v>0.33129473153243655</v>
      </c>
      <c r="E95" s="7">
        <f t="shared" si="26"/>
        <v>1.029034983803397</v>
      </c>
      <c r="F95">
        <v>3</v>
      </c>
      <c r="I95" s="7">
        <f>AVERAGE(I89:I94)</f>
        <v>0.11895161290322571</v>
      </c>
      <c r="J95" s="7">
        <f t="shared" ref="J95:R95" si="31">AVERAGE(J89:J94)</f>
        <v>0.17068018588931122</v>
      </c>
      <c r="K95" s="7">
        <f t="shared" si="31"/>
        <v>0.19564354470576573</v>
      </c>
      <c r="L95" s="7">
        <f t="shared" si="31"/>
        <v>0.19868023780620667</v>
      </c>
      <c r="M95" s="7">
        <f t="shared" si="31"/>
        <v>0.18264110756123533</v>
      </c>
      <c r="N95" s="7">
        <f t="shared" si="31"/>
        <v>0.21249999999999999</v>
      </c>
      <c r="O95" s="7">
        <f t="shared" si="31"/>
        <v>0.6519823788546254</v>
      </c>
      <c r="P95" s="7">
        <f t="shared" si="31"/>
        <v>8.4821428571428534E-2</v>
      </c>
      <c r="Q95" s="7">
        <f t="shared" si="31"/>
        <v>0.638211382113821</v>
      </c>
      <c r="R95" s="7">
        <f t="shared" si="31"/>
        <v>0.3888888888888889</v>
      </c>
      <c r="S95" s="7">
        <f>SUM(S89:S94)</f>
        <v>1.2594466762468437</v>
      </c>
      <c r="T95" s="7"/>
    </row>
    <row r="96" spans="1:20" x14ac:dyDescent="0.25">
      <c r="A96" s="5" t="s">
        <v>47</v>
      </c>
      <c r="B96" s="7">
        <f t="shared" si="23"/>
        <v>1.6795147345829966</v>
      </c>
      <c r="C96" s="7">
        <f t="shared" si="24"/>
        <v>1.1617959154264124</v>
      </c>
      <c r="D96" s="7">
        <f t="shared" si="25"/>
        <v>0.76210561220517103</v>
      </c>
      <c r="E96" s="7">
        <f t="shared" si="26"/>
        <v>0.99535259332245085</v>
      </c>
      <c r="F96">
        <v>3</v>
      </c>
      <c r="H96" s="5" t="s">
        <v>108</v>
      </c>
    </row>
    <row r="97" spans="1:21" x14ac:dyDescent="0.25">
      <c r="A97" s="5" t="s">
        <v>60</v>
      </c>
      <c r="B97" s="7">
        <f t="shared" si="23"/>
        <v>0.51433002810593953</v>
      </c>
      <c r="C97" s="7">
        <f t="shared" si="24"/>
        <v>1.055717070342771</v>
      </c>
      <c r="D97" s="7">
        <f t="shared" si="25"/>
        <v>1.3565854809583306</v>
      </c>
      <c r="E97" s="7">
        <f t="shared" si="26"/>
        <v>0.43259321793377342</v>
      </c>
      <c r="F97">
        <v>4</v>
      </c>
      <c r="H97" s="5" t="s">
        <v>42</v>
      </c>
      <c r="I97" s="7">
        <v>0.55443548387096742</v>
      </c>
      <c r="J97" s="7">
        <v>0.78580481622306686</v>
      </c>
      <c r="K97" s="7">
        <v>0.58301081671132282</v>
      </c>
      <c r="L97" s="7">
        <v>0.58306097674852941</v>
      </c>
      <c r="M97" s="7">
        <v>0.67731629392971238</v>
      </c>
      <c r="N97" s="7">
        <v>0.64166666666666683</v>
      </c>
      <c r="O97" s="7">
        <v>0.49779735682819393</v>
      </c>
      <c r="P97" s="7">
        <v>0.98214285714285721</v>
      </c>
      <c r="Q97" s="7">
        <v>0.17073170731707307</v>
      </c>
      <c r="R97" s="7">
        <v>1</v>
      </c>
      <c r="S97" s="7">
        <f>(I97-$I$106)^2+(J97-$J$106)^2+(K97-$K$106)^2+(L97-$L$106)^2+(M97-$M$106)^2+(N97-$N$106)+(O97-$O$106)^2+(P97-$P$106)^2+(Q97-$Q$106)^2+(R97-$R$106)^2</f>
        <v>0.66747934439489109</v>
      </c>
      <c r="T97" s="7"/>
    </row>
    <row r="98" spans="1:21" x14ac:dyDescent="0.25">
      <c r="A98" s="5" t="s">
        <v>51</v>
      </c>
      <c r="B98" s="7">
        <f t="shared" si="23"/>
        <v>1.2497657756610194</v>
      </c>
      <c r="C98" s="7">
        <f t="shared" si="24"/>
        <v>0.67440423000608229</v>
      </c>
      <c r="D98" s="7">
        <f t="shared" si="25"/>
        <v>0.64408056770995281</v>
      </c>
      <c r="E98" s="7">
        <f t="shared" si="26"/>
        <v>0.59316362816691315</v>
      </c>
      <c r="F98">
        <v>4</v>
      </c>
      <c r="H98" s="5" t="s">
        <v>52</v>
      </c>
      <c r="I98" s="7">
        <v>0.47379032258064507</v>
      </c>
      <c r="J98" s="7">
        <v>0.47908745247148282</v>
      </c>
      <c r="K98" s="7">
        <v>0.34047831695941272</v>
      </c>
      <c r="L98" s="7">
        <v>0.36221869455598099</v>
      </c>
      <c r="M98" s="7">
        <v>0.47603833865814682</v>
      </c>
      <c r="N98" s="7">
        <v>0.49166666666666681</v>
      </c>
      <c r="O98" s="7">
        <v>0.52422907488986781</v>
      </c>
      <c r="P98" s="7">
        <v>0.81250000000000011</v>
      </c>
      <c r="Q98" s="7">
        <v>0.36585365853658525</v>
      </c>
      <c r="R98" s="7">
        <v>0.66666666666666663</v>
      </c>
      <c r="S98" s="7">
        <f t="shared" ref="S98:S105" si="32">(I98-$I$106)^2+(J98-$J$106)^2+(K98-$K$106)^2+(L98-$L$106)^2+(M98-$M$106)^2+(N98-$N$106)+(O98-$O$106)^2+(P98-$P$106)^2+(Q98-$Q$106)^2+(R98-$R$106)^2</f>
        <v>5.8722656243568705E-2</v>
      </c>
      <c r="T98" s="7"/>
    </row>
    <row r="99" spans="1:21" x14ac:dyDescent="0.25">
      <c r="A99" s="5" t="s">
        <v>43</v>
      </c>
      <c r="B99" s="7">
        <f t="shared" si="23"/>
        <v>1.3415274907416996</v>
      </c>
      <c r="C99" s="7">
        <f t="shared" si="24"/>
        <v>0.72408371631781732</v>
      </c>
      <c r="D99" s="7">
        <f t="shared" si="25"/>
        <v>0.60445240208585449</v>
      </c>
      <c r="E99" s="7">
        <f t="shared" si="26"/>
        <v>0.70847161355304089</v>
      </c>
      <c r="F99">
        <v>3</v>
      </c>
      <c r="H99" s="5" t="s">
        <v>49</v>
      </c>
      <c r="I99" s="7">
        <v>0.63104838709677469</v>
      </c>
      <c r="J99" s="7">
        <v>0.38149556400506962</v>
      </c>
      <c r="K99" s="7">
        <v>0.25146372928450944</v>
      </c>
      <c r="L99" s="7">
        <v>0.20123260808665613</v>
      </c>
      <c r="M99" s="7">
        <v>0.78274760383386577</v>
      </c>
      <c r="N99" s="7">
        <v>0.75833333333333341</v>
      </c>
      <c r="O99" s="7">
        <v>1</v>
      </c>
      <c r="P99" s="7">
        <v>0.78571428571428559</v>
      </c>
      <c r="Q99" s="7">
        <v>0.97560975609756106</v>
      </c>
      <c r="R99" s="7">
        <v>0.5</v>
      </c>
      <c r="S99" s="7">
        <f t="shared" si="32"/>
        <v>0.80354337194257053</v>
      </c>
      <c r="T99" s="7"/>
    </row>
    <row r="100" spans="1:21" x14ac:dyDescent="0.25">
      <c r="H100" s="5" t="s">
        <v>45</v>
      </c>
      <c r="I100" s="7">
        <v>0.52419354838709664</v>
      </c>
      <c r="J100" s="7">
        <v>0.56653992395437258</v>
      </c>
      <c r="K100" s="7">
        <v>0.47851543117991485</v>
      </c>
      <c r="L100" s="7">
        <v>0.46671024372023545</v>
      </c>
      <c r="M100" s="7">
        <v>0.63258785942492013</v>
      </c>
      <c r="N100" s="7">
        <v>0.66666666666666674</v>
      </c>
      <c r="O100" s="7">
        <v>0.66519823788546262</v>
      </c>
      <c r="P100" s="7">
        <v>0.42857142857142855</v>
      </c>
      <c r="Q100" s="7">
        <v>0.36585365853658525</v>
      </c>
      <c r="R100" s="7">
        <v>0.5</v>
      </c>
      <c r="S100" s="7">
        <f t="shared" si="32"/>
        <v>0.1693437717150002</v>
      </c>
      <c r="T100" s="7"/>
    </row>
    <row r="101" spans="1:21" x14ac:dyDescent="0.25">
      <c r="H101" s="5" t="s">
        <v>34</v>
      </c>
      <c r="I101" s="7">
        <v>0.33467741935483875</v>
      </c>
      <c r="J101" s="7">
        <v>0.56273764258555126</v>
      </c>
      <c r="K101" s="7">
        <v>0.53458370546789713</v>
      </c>
      <c r="L101" s="7">
        <v>0.50210103651134563</v>
      </c>
      <c r="M101" s="7">
        <v>0.59424920127795522</v>
      </c>
      <c r="N101" s="7">
        <v>0.51666666666666661</v>
      </c>
      <c r="O101" s="7">
        <v>0.6387665198237884</v>
      </c>
      <c r="P101" s="7">
        <v>0.57142857142857129</v>
      </c>
      <c r="Q101" s="7">
        <v>0.56097560975609739</v>
      </c>
      <c r="R101" s="7">
        <v>0.33333333333333331</v>
      </c>
      <c r="S101" s="7">
        <f t="shared" si="32"/>
        <v>2.5682577448970685E-2</v>
      </c>
      <c r="T101" s="7"/>
    </row>
    <row r="102" spans="1:21" x14ac:dyDescent="0.25">
      <c r="H102" s="5" t="s">
        <v>33</v>
      </c>
      <c r="I102" s="7">
        <v>0.40322580645161266</v>
      </c>
      <c r="J102" s="7">
        <v>0.62357414448669191</v>
      </c>
      <c r="K102" s="7">
        <v>0.6002778604743475</v>
      </c>
      <c r="L102" s="7">
        <v>0.56167709403305643</v>
      </c>
      <c r="M102" s="7">
        <v>0.61341853035143756</v>
      </c>
      <c r="N102" s="7">
        <v>0.52499999999999991</v>
      </c>
      <c r="O102" s="7">
        <v>0.55506607929515406</v>
      </c>
      <c r="P102" s="7">
        <v>0.52678571428571441</v>
      </c>
      <c r="Q102" s="7">
        <v>0.63414634146341453</v>
      </c>
      <c r="R102" s="7">
        <v>0.5</v>
      </c>
      <c r="S102" s="7">
        <f t="shared" si="32"/>
        <v>6.0434980864275054E-2</v>
      </c>
      <c r="T102" s="7"/>
    </row>
    <row r="103" spans="1:21" x14ac:dyDescent="0.25">
      <c r="H103" s="5" t="s">
        <v>46</v>
      </c>
      <c r="I103" s="7">
        <v>0.63306451612903247</v>
      </c>
      <c r="J103" s="7">
        <v>0.5171102661596958</v>
      </c>
      <c r="K103" s="7">
        <v>0.44973702490820694</v>
      </c>
      <c r="L103" s="7">
        <v>0.42898496591651886</v>
      </c>
      <c r="M103" s="7">
        <v>0.60383386581469634</v>
      </c>
      <c r="N103" s="7">
        <v>0.52499999999999991</v>
      </c>
      <c r="O103" s="7">
        <v>0.47136563876651977</v>
      </c>
      <c r="P103" s="7">
        <v>0.68749999999999989</v>
      </c>
      <c r="Q103" s="7">
        <v>0.26829268292682928</v>
      </c>
      <c r="R103" s="7">
        <v>0.16666666666666666</v>
      </c>
      <c r="S103" s="7">
        <f t="shared" si="32"/>
        <v>0.15562443595394282</v>
      </c>
      <c r="T103" s="7"/>
    </row>
    <row r="104" spans="1:21" x14ac:dyDescent="0.25">
      <c r="H104" s="5" t="s">
        <v>60</v>
      </c>
      <c r="I104" s="7">
        <v>0.52822580645161277</v>
      </c>
      <c r="J104" s="7">
        <v>0.67934093789607075</v>
      </c>
      <c r="K104" s="7">
        <v>0.55512553339287507</v>
      </c>
      <c r="L104" s="7">
        <v>0.5314221682696797</v>
      </c>
      <c r="M104" s="7">
        <v>0.51757188498402551</v>
      </c>
      <c r="N104" s="7">
        <v>0.6166666666666667</v>
      </c>
      <c r="O104" s="7">
        <v>0.70044052863436113</v>
      </c>
      <c r="P104" s="7">
        <v>0.91071428571428559</v>
      </c>
      <c r="Q104" s="7">
        <v>0.31707317073170727</v>
      </c>
      <c r="R104" s="7">
        <v>0.16666666666666666</v>
      </c>
      <c r="S104" s="7">
        <f t="shared" si="32"/>
        <v>0.29052288657684189</v>
      </c>
      <c r="T104" s="7"/>
    </row>
    <row r="105" spans="1:21" x14ac:dyDescent="0.25">
      <c r="H105" s="5" t="s">
        <v>51</v>
      </c>
      <c r="I105" s="7">
        <v>0.2963709677419355</v>
      </c>
      <c r="J105" s="7">
        <v>0.37896070975918866</v>
      </c>
      <c r="K105" s="7">
        <v>0.39664582713109081</v>
      </c>
      <c r="L105" s="7">
        <v>0.37333084321598664</v>
      </c>
      <c r="M105" s="7">
        <v>0.45047923322683708</v>
      </c>
      <c r="N105" s="7">
        <v>0.29166666666666669</v>
      </c>
      <c r="O105" s="7">
        <v>0.68722466960352402</v>
      </c>
      <c r="P105" s="7">
        <v>0.11607142857142841</v>
      </c>
      <c r="Q105" s="7">
        <v>0.51219512195121963</v>
      </c>
      <c r="R105" s="7">
        <v>0.5</v>
      </c>
      <c r="S105" s="7">
        <f t="shared" si="32"/>
        <v>0.11628828194695788</v>
      </c>
      <c r="T105" s="7"/>
    </row>
    <row r="106" spans="1:21" x14ac:dyDescent="0.25">
      <c r="I106" s="7">
        <f>AVERAGE(I97:I105)</f>
        <v>0.48655913978494625</v>
      </c>
      <c r="J106" s="7">
        <f t="shared" ref="J106:R106" si="33">AVERAGE(J97:J105)</f>
        <v>0.55273905083791008</v>
      </c>
      <c r="K106" s="7">
        <f t="shared" si="33"/>
        <v>0.46553758283439745</v>
      </c>
      <c r="L106" s="7">
        <f t="shared" si="33"/>
        <v>0.44563762567310999</v>
      </c>
      <c r="M106" s="7">
        <f t="shared" si="33"/>
        <v>0.59424920127795522</v>
      </c>
      <c r="N106" s="7">
        <f t="shared" si="33"/>
        <v>0.55925925925925934</v>
      </c>
      <c r="O106" s="7">
        <f t="shared" si="33"/>
        <v>0.6377875673029858</v>
      </c>
      <c r="P106" s="7">
        <f t="shared" si="33"/>
        <v>0.64682539682539675</v>
      </c>
      <c r="Q106" s="7">
        <f t="shared" si="33"/>
        <v>0.46341463414634138</v>
      </c>
      <c r="R106" s="7">
        <f t="shared" si="33"/>
        <v>0.48148148148148145</v>
      </c>
      <c r="S106" s="7">
        <f>SUM(S97:S105)</f>
        <v>2.3476423070870185</v>
      </c>
      <c r="T106" s="7"/>
    </row>
    <row r="107" spans="1:21" x14ac:dyDescent="0.25">
      <c r="H107" s="5" t="s">
        <v>97</v>
      </c>
      <c r="I107" s="7">
        <f>S83+S95+S87+S106</f>
        <v>5.0538431448307213</v>
      </c>
    </row>
    <row r="109" spans="1:21" x14ac:dyDescent="0.25">
      <c r="B109" t="str">
        <f>A119</f>
        <v>Ipswich Town</v>
      </c>
      <c r="C109" t="str">
        <f>A120</f>
        <v>Leicester City</v>
      </c>
      <c r="D109" t="str">
        <f>A121</f>
        <v>Liverpool</v>
      </c>
      <c r="E109" t="str">
        <f>A122</f>
        <v>Manchester City</v>
      </c>
      <c r="F109" t="str">
        <f>A123</f>
        <v>Manchester Utd</v>
      </c>
      <c r="I109" t="s">
        <v>94</v>
      </c>
      <c r="U109" t="s">
        <v>103</v>
      </c>
    </row>
    <row r="110" spans="1:21" x14ac:dyDescent="0.25">
      <c r="A110" s="5" t="s">
        <v>42</v>
      </c>
      <c r="B110" s="7">
        <f t="shared" ref="B110:B129" si="34">SQRT((P2-$P$11)^2+(Q2-$Q$11)^2+(R2-$R$11)^2+(S2-$S$11)^2+(U2-$U$11)^2+(V2-$V$11)^2+(W2-$W$11)^2+(X2-$X$11)^2+(Y2-$Y$11)^2+(Z2-$Z$11)^2)</f>
        <v>1.7082358047533803</v>
      </c>
      <c r="C110" s="7">
        <f t="shared" ref="C110:C129" si="35">SQRT((P2-$P$12)^2+(Q2-$Q$12)^2+(R2-$R$12)^2+(S2-$S$12)^2+(U2-$U$12)^2+(V2-$V$12)^2+(W2-$W$12)^2+(X2-$X$12)^2+(Y2-$Y$12)^2+(Z2-$Z$12)^2)</f>
        <v>1.6158123442180072</v>
      </c>
      <c r="D110" s="7">
        <f t="shared" ref="D110:D129" si="36">SQRT((P2-$P$13)^2+(Q2-$Q$13)^2+(R2-$R$13)^2+(S2-$S$13)^2+(U2-$U$13)^2+(V2-$V$13)^2+(W2-$W$13)^2+(X2-$X$13)^2+(Y2-$Y$13)^2+(Z2-$Z$13)^2)</f>
        <v>0.69748846713132817</v>
      </c>
      <c r="E110" s="7">
        <f t="shared" ref="E110:E129" si="37">SQRT((P2-$P$14)^2+(Q2-$Q$14)^2+(R2-$R$14)^2+(S2-$S$14)^2+(U2-$U$14)^2+(V2-$V$14)^2+(W2-$W$14)^2+(X2-$X$14)^2+(Y2-$Y$14)^2+(Z2-$Z$14)^2)</f>
        <v>0.8730613695955467</v>
      </c>
      <c r="F110" s="7">
        <f t="shared" ref="F110:F129" si="38">SQRT((P2-$P$15)^2+(Q2-$Q$15)^2+(R2-$R$15)^2+(S2-$S$15)^2+(U2-$U$15)^2+(V2-$V$15)^2+(W2-$W$15)^2+(X2-$X$15)^2+(Y2-$Y$15)^2+(Z2-$Z$15)^2)</f>
        <v>0.52750587490855338</v>
      </c>
      <c r="G110">
        <v>3</v>
      </c>
      <c r="I110" s="5" t="s">
        <v>44</v>
      </c>
      <c r="J110" s="7">
        <v>0.1915322580645161</v>
      </c>
      <c r="K110" s="7">
        <v>1.5209125475284919E-2</v>
      </c>
      <c r="L110" s="7">
        <v>5.8251463729284615E-2</v>
      </c>
      <c r="M110" s="7">
        <v>5.4440190493977123E-2</v>
      </c>
      <c r="N110" s="7">
        <v>0.22364217252396151</v>
      </c>
      <c r="O110" s="7">
        <v>0.27499999999999997</v>
      </c>
      <c r="P110" s="7">
        <v>0.62995594713656378</v>
      </c>
      <c r="Q110" s="7">
        <v>0.13392857142857148</v>
      </c>
      <c r="R110" s="7">
        <v>0.56097560975609739</v>
      </c>
      <c r="S110" s="7">
        <v>0.33333333333333331</v>
      </c>
      <c r="T110" s="7"/>
      <c r="U110" s="7">
        <f>(J110-$J$113)^2+(K110-$K$113)^2+(L110-$L$113)^2+(M110-$M$113)^2+(N110-$N$113)^2+(O110-$O$113)+(P110-$P$113)^2+(Q110-$Q$113)^2+(R110-$R$113)^2+(S110-$S$113)^2</f>
        <v>2.5633715872890289E-2</v>
      </c>
    </row>
    <row r="111" spans="1:21" x14ac:dyDescent="0.25">
      <c r="A111" s="5" t="s">
        <v>52</v>
      </c>
      <c r="B111" s="7">
        <f t="shared" si="34"/>
        <v>1.2086817382488173</v>
      </c>
      <c r="C111" s="7">
        <f t="shared" si="35"/>
        <v>1.1913751284003904</v>
      </c>
      <c r="D111" s="7">
        <f t="shared" si="36"/>
        <v>1.1155309556307436</v>
      </c>
      <c r="E111" s="7">
        <f t="shared" si="37"/>
        <v>1.3373281474263963</v>
      </c>
      <c r="F111" s="7">
        <f t="shared" si="38"/>
        <v>0.48549275290292443</v>
      </c>
      <c r="G111">
        <v>5</v>
      </c>
      <c r="I111" s="5" t="s">
        <v>38</v>
      </c>
      <c r="J111" s="7">
        <v>3.6290322580645115E-2</v>
      </c>
      <c r="K111" s="7">
        <v>0</v>
      </c>
      <c r="L111" s="7">
        <v>4.0587476431477761E-2</v>
      </c>
      <c r="M111" s="7">
        <v>6.5552339153982592E-2</v>
      </c>
      <c r="N111" s="7">
        <v>0.13099041533546329</v>
      </c>
      <c r="O111" s="7">
        <v>0.13333333333333333</v>
      </c>
      <c r="P111" s="7">
        <v>0.62995594713656378</v>
      </c>
      <c r="Q111" s="7">
        <v>3.5714285714285678E-2</v>
      </c>
      <c r="R111" s="7">
        <v>0.6585365853658538</v>
      </c>
      <c r="S111" s="7">
        <v>0.83333333333333337</v>
      </c>
      <c r="T111" s="7"/>
      <c r="U111" s="7">
        <f t="shared" ref="U111:U112" si="39">(J111-$J$113)^2+(K111-$K$113)^2+(L111-$L$113)^2+(M111-$M$113)^2+(N111-$N$113)^2+(O111-$O$113)+(P111-$P$113)^2+(Q111-$Q$113)^2+(R111-$R$113)^2+(S111-$S$113)^2</f>
        <v>-2.5847622115896252E-3</v>
      </c>
    </row>
    <row r="112" spans="1:21" x14ac:dyDescent="0.25">
      <c r="A112" s="5" t="s">
        <v>49</v>
      </c>
      <c r="B112" s="7">
        <f t="shared" si="34"/>
        <v>1.4411797194924847</v>
      </c>
      <c r="C112" s="7">
        <f t="shared" si="35"/>
        <v>1.550250804786669</v>
      </c>
      <c r="D112" s="7">
        <f t="shared" si="36"/>
        <v>1.0498755899159944</v>
      </c>
      <c r="E112" s="7">
        <f t="shared" si="37"/>
        <v>1.6299389614055093</v>
      </c>
      <c r="F112" s="7">
        <f t="shared" si="38"/>
        <v>0.84274769143166095</v>
      </c>
      <c r="G112">
        <v>5</v>
      </c>
      <c r="I112" s="5" t="s">
        <v>48</v>
      </c>
      <c r="J112" s="7">
        <v>0.25806451612903203</v>
      </c>
      <c r="K112" s="7">
        <v>3.0418250950570179E-2</v>
      </c>
      <c r="L112" s="7">
        <v>0</v>
      </c>
      <c r="M112" s="7">
        <v>0</v>
      </c>
      <c r="N112" s="7">
        <v>0.40894568690095839</v>
      </c>
      <c r="O112" s="7">
        <v>0.45833333333333331</v>
      </c>
      <c r="P112" s="7">
        <v>0.45814977973568266</v>
      </c>
      <c r="Q112" s="7">
        <v>0.16964285714285701</v>
      </c>
      <c r="R112" s="7">
        <v>0.68292682926829273</v>
      </c>
      <c r="S112" s="7">
        <v>0.33333333333333331</v>
      </c>
      <c r="T112" s="7"/>
      <c r="U112" s="7">
        <f t="shared" si="39"/>
        <v>0.25191583033992299</v>
      </c>
    </row>
    <row r="113" spans="1:21" x14ac:dyDescent="0.25">
      <c r="A113" s="5" t="s">
        <v>54</v>
      </c>
      <c r="B113" s="7">
        <f t="shared" si="34"/>
        <v>1.0165688212528756</v>
      </c>
      <c r="C113" s="7">
        <f t="shared" si="35"/>
        <v>1.0365338527404535</v>
      </c>
      <c r="D113" s="7">
        <f t="shared" si="36"/>
        <v>1.4780335006132177</v>
      </c>
      <c r="E113" s="7">
        <f t="shared" si="37"/>
        <v>1.5583731844593807</v>
      </c>
      <c r="F113" s="7">
        <f t="shared" si="38"/>
        <v>0.78033619114937669</v>
      </c>
      <c r="G113">
        <v>5</v>
      </c>
      <c r="J113" s="7">
        <f>AVERAGE(J110:J112)</f>
        <v>0.16196236559139773</v>
      </c>
      <c r="K113" s="7">
        <f t="shared" ref="K113:S113" si="40">AVERAGE(K110:K112)</f>
        <v>1.5209125475285032E-2</v>
      </c>
      <c r="L113" s="7">
        <f t="shared" si="40"/>
        <v>3.2946313386920792E-2</v>
      </c>
      <c r="M113" s="7">
        <f t="shared" si="40"/>
        <v>3.9997509882653236E-2</v>
      </c>
      <c r="N113" s="7">
        <f t="shared" si="40"/>
        <v>0.2545260915867944</v>
      </c>
      <c r="O113" s="7">
        <f t="shared" si="40"/>
        <v>0.28888888888888892</v>
      </c>
      <c r="P113" s="7">
        <f t="shared" si="40"/>
        <v>0.57268722466960342</v>
      </c>
      <c r="Q113" s="7">
        <f t="shared" si="40"/>
        <v>0.11309523809523807</v>
      </c>
      <c r="R113" s="7">
        <f t="shared" si="40"/>
        <v>0.63414634146341464</v>
      </c>
      <c r="S113" s="7">
        <f t="shared" si="40"/>
        <v>0.5</v>
      </c>
      <c r="T113" s="7"/>
      <c r="U113" s="7">
        <f>SUM(U110:U112)</f>
        <v>0.27496478400122365</v>
      </c>
    </row>
    <row r="114" spans="1:21" x14ac:dyDescent="0.25">
      <c r="A114" s="5" t="s">
        <v>45</v>
      </c>
      <c r="B114" s="7">
        <f t="shared" si="34"/>
        <v>1.2662340997008932</v>
      </c>
      <c r="C114" s="7">
        <f t="shared" si="35"/>
        <v>1.2146745183951186</v>
      </c>
      <c r="D114" s="7">
        <f t="shared" si="36"/>
        <v>0.99326632223898659</v>
      </c>
      <c r="E114" s="7">
        <f t="shared" si="37"/>
        <v>1.2853042849457077</v>
      </c>
      <c r="F114" s="7">
        <f t="shared" si="38"/>
        <v>0.28972907110336499</v>
      </c>
      <c r="G114">
        <v>5</v>
      </c>
      <c r="I114" s="5" t="s">
        <v>95</v>
      </c>
    </row>
    <row r="115" spans="1:21" x14ac:dyDescent="0.25">
      <c r="A115" s="5" t="s">
        <v>57</v>
      </c>
      <c r="B115" s="7">
        <f t="shared" si="34"/>
        <v>1.8980049100808083</v>
      </c>
      <c r="C115" s="7">
        <f t="shared" si="35"/>
        <v>1.8206070855180785</v>
      </c>
      <c r="D115" s="7">
        <f t="shared" si="36"/>
        <v>0.38842940545990406</v>
      </c>
      <c r="E115" s="7">
        <f t="shared" si="37"/>
        <v>0.83716643065228646</v>
      </c>
      <c r="F115" s="7">
        <f t="shared" si="38"/>
        <v>0.6631441558152531</v>
      </c>
      <c r="G115">
        <v>5</v>
      </c>
      <c r="I115" s="5" t="s">
        <v>59</v>
      </c>
      <c r="J115" s="7">
        <v>4.0322580645160578E-3</v>
      </c>
      <c r="K115" s="7">
        <v>0.23320659062103907</v>
      </c>
      <c r="L115" s="7">
        <v>0.30961595713009826</v>
      </c>
      <c r="M115" s="7">
        <v>0.2916238677747689</v>
      </c>
      <c r="N115" s="7">
        <v>0</v>
      </c>
      <c r="O115" s="7">
        <v>0</v>
      </c>
      <c r="P115" s="7">
        <v>0.58590308370044042</v>
      </c>
      <c r="Q115" s="7">
        <v>0</v>
      </c>
      <c r="R115" s="7">
        <v>0.73170731707317049</v>
      </c>
      <c r="S115" s="7">
        <v>0</v>
      </c>
      <c r="T115" s="7"/>
      <c r="U115" s="7">
        <f>(J115-$J$118)^2+(K115-$K$118)^2+(L115-$L$118)^2+(M115-$M$118)^2+(N115-$N$118)^2+(O115-$O$118)+(P115-$P$118)^2+(Q115-$Q$118)^2+(R115-$R$118)^2+(S115-$S$118)^2</f>
        <v>6.1508432736133017E-3</v>
      </c>
    </row>
    <row r="116" spans="1:21" x14ac:dyDescent="0.25">
      <c r="A116" s="5" t="s">
        <v>55</v>
      </c>
      <c r="B116" s="7">
        <f t="shared" si="34"/>
        <v>0.89536039082589691</v>
      </c>
      <c r="C116" s="7">
        <f t="shared" si="35"/>
        <v>1.094069992320245</v>
      </c>
      <c r="D116" s="7">
        <f t="shared" si="36"/>
        <v>1.5071715626496305</v>
      </c>
      <c r="E116" s="7">
        <f t="shared" si="37"/>
        <v>1.8391071138341981</v>
      </c>
      <c r="F116" s="7">
        <f t="shared" si="38"/>
        <v>0.89261583214594442</v>
      </c>
      <c r="G116">
        <v>4</v>
      </c>
      <c r="I116" s="5" t="s">
        <v>47</v>
      </c>
      <c r="J116" s="7">
        <v>0</v>
      </c>
      <c r="K116" s="7">
        <v>0.38276299112801004</v>
      </c>
      <c r="L116" s="7">
        <v>0.41629453210280859</v>
      </c>
      <c r="M116" s="7">
        <v>0.43963021757400322</v>
      </c>
      <c r="N116" s="7">
        <v>2.5559105431309979E-2</v>
      </c>
      <c r="O116" s="7">
        <v>0</v>
      </c>
      <c r="P116" s="7">
        <v>0.75770925110132159</v>
      </c>
      <c r="Q116" s="7">
        <v>9.8214285714285643E-2</v>
      </c>
      <c r="R116" s="7">
        <v>0.7804878048780487</v>
      </c>
      <c r="S116" s="7">
        <v>0.5</v>
      </c>
      <c r="T116" s="7"/>
      <c r="U116" s="7">
        <f>(J116-$J$118)^2+(K116-$K$118)^2+(L116-$L$118)^2+(M116-$M$118)^2+(N116-$N$118)^2+(O116-$O$118)+(P116-$P$118)^2+(Q116-$Q$118)^2+(R116-$R$118)^2+(S116-$S$118)^2</f>
        <v>-3.8834287719365458E-2</v>
      </c>
    </row>
    <row r="117" spans="1:21" x14ac:dyDescent="0.25">
      <c r="A117" s="5" t="s">
        <v>44</v>
      </c>
      <c r="B117" s="7">
        <f t="shared" si="34"/>
        <v>0.25113086389077843</v>
      </c>
      <c r="C117" s="7">
        <f t="shared" si="35"/>
        <v>0.58960808040097101</v>
      </c>
      <c r="D117" s="7">
        <f t="shared" si="36"/>
        <v>2.0151826918146951</v>
      </c>
      <c r="E117" s="7">
        <f t="shared" si="37"/>
        <v>2.22642061133342</v>
      </c>
      <c r="F117" s="7">
        <f t="shared" si="38"/>
        <v>1.1577456033111304</v>
      </c>
      <c r="G117">
        <v>1</v>
      </c>
      <c r="I117" s="5" t="s">
        <v>43</v>
      </c>
      <c r="J117" s="7">
        <v>0.22379032258064507</v>
      </c>
      <c r="K117" s="7">
        <v>0.36248415716096327</v>
      </c>
      <c r="L117" s="7">
        <v>0.34911183884092506</v>
      </c>
      <c r="M117" s="7">
        <v>0.34083481184050812</v>
      </c>
      <c r="N117" s="7">
        <v>0.30670926517571889</v>
      </c>
      <c r="O117" s="7">
        <v>0.40833333333333333</v>
      </c>
      <c r="P117" s="7">
        <v>0.85022026431718056</v>
      </c>
      <c r="Q117" s="7">
        <v>7.1428571428571355E-2</v>
      </c>
      <c r="R117" s="7">
        <v>0.41463414634146345</v>
      </c>
      <c r="S117" s="7">
        <v>0.33333333333333331</v>
      </c>
      <c r="T117" s="7"/>
      <c r="U117" s="7">
        <f t="shared" ref="U117" si="41">(J117-$J$118)^2+(K117-$K$118)^2+(L117-$L$118)^2+(M117-$M$118)^2+(N117-$N$118)^2+(O117-$O$118)+(P117-$P$118)^2+(Q117-$Q$118)^2+(R117-$R$118)^2+(S117-$S$118)^2</f>
        <v>0.40343399486208281</v>
      </c>
    </row>
    <row r="118" spans="1:21" x14ac:dyDescent="0.25">
      <c r="A118" s="5" t="s">
        <v>34</v>
      </c>
      <c r="B118" s="7">
        <f t="shared" si="34"/>
        <v>1.2202197026263297</v>
      </c>
      <c r="C118" s="7">
        <f t="shared" si="35"/>
        <v>1.1234899981898741</v>
      </c>
      <c r="D118" s="7">
        <f t="shared" si="36"/>
        <v>1.082745084107716</v>
      </c>
      <c r="E118" s="7">
        <f t="shared" si="37"/>
        <v>1.2653115726503616</v>
      </c>
      <c r="F118" s="7">
        <f t="shared" si="38"/>
        <v>0.16031421031560258</v>
      </c>
      <c r="G118">
        <v>5</v>
      </c>
      <c r="J118" s="7">
        <f>AVERAGE(J115:J117)</f>
        <v>7.594086021505371E-2</v>
      </c>
      <c r="K118" s="7">
        <f t="shared" ref="K118:S118" si="42">AVERAGE(K115:K117)</f>
        <v>0.32615124630333747</v>
      </c>
      <c r="L118" s="7">
        <f t="shared" si="42"/>
        <v>0.35834077602461067</v>
      </c>
      <c r="M118" s="7">
        <f t="shared" si="42"/>
        <v>0.35736296572976006</v>
      </c>
      <c r="N118" s="7">
        <f t="shared" si="42"/>
        <v>0.11075612353567628</v>
      </c>
      <c r="O118" s="7">
        <f t="shared" si="42"/>
        <v>0.1361111111111111</v>
      </c>
      <c r="P118" s="7">
        <f t="shared" si="42"/>
        <v>0.73127753303964749</v>
      </c>
      <c r="Q118" s="7">
        <f t="shared" si="42"/>
        <v>5.6547619047618992E-2</v>
      </c>
      <c r="R118" s="7">
        <f t="shared" si="42"/>
        <v>0.64227642276422747</v>
      </c>
      <c r="S118" s="7">
        <f t="shared" si="42"/>
        <v>0.27777777777777773</v>
      </c>
      <c r="T118" s="7"/>
      <c r="U118" s="7">
        <f>SUM(U115:U117)</f>
        <v>0.37075055041633065</v>
      </c>
    </row>
    <row r="119" spans="1:21" x14ac:dyDescent="0.25">
      <c r="A119" s="5" t="s">
        <v>38</v>
      </c>
      <c r="B119" s="7">
        <f t="shared" si="34"/>
        <v>0</v>
      </c>
      <c r="C119" s="7">
        <f t="shared" si="35"/>
        <v>0.46590019079616296</v>
      </c>
      <c r="D119" s="7">
        <f t="shared" si="36"/>
        <v>2.2200584121558538</v>
      </c>
      <c r="E119" s="7">
        <f t="shared" si="37"/>
        <v>2.384622723190446</v>
      </c>
      <c r="F119" s="7">
        <f t="shared" si="38"/>
        <v>1.3098773857082724</v>
      </c>
      <c r="G119">
        <v>1</v>
      </c>
      <c r="I119" s="5" t="s">
        <v>102</v>
      </c>
    </row>
    <row r="120" spans="1:21" x14ac:dyDescent="0.25">
      <c r="A120" s="5" t="s">
        <v>59</v>
      </c>
      <c r="B120" s="7">
        <f t="shared" si="34"/>
        <v>0.46590019079616296</v>
      </c>
      <c r="C120" s="7">
        <f t="shared" si="35"/>
        <v>0</v>
      </c>
      <c r="D120" s="7">
        <f t="shared" si="36"/>
        <v>2.1658841137224218</v>
      </c>
      <c r="E120" s="7">
        <f t="shared" si="37"/>
        <v>2.2245851080754848</v>
      </c>
      <c r="F120" s="7">
        <f t="shared" si="38"/>
        <v>1.1830117523709835</v>
      </c>
      <c r="G120">
        <v>2</v>
      </c>
      <c r="I120" s="5" t="s">
        <v>42</v>
      </c>
      <c r="J120" s="7">
        <v>0.55443548387096742</v>
      </c>
      <c r="K120" s="7">
        <v>0.78580481622306686</v>
      </c>
      <c r="L120" s="7">
        <v>0.58301081671132282</v>
      </c>
      <c r="M120" s="7">
        <v>0.58306097674852941</v>
      </c>
      <c r="N120" s="7">
        <v>0.67731629392971238</v>
      </c>
      <c r="O120" s="7">
        <v>0.64166666666666683</v>
      </c>
      <c r="P120" s="7">
        <v>0.49779735682819393</v>
      </c>
      <c r="Q120" s="7">
        <v>0.98214285714285721</v>
      </c>
      <c r="R120" s="7">
        <v>0.17073170731707307</v>
      </c>
      <c r="S120" s="7">
        <v>1</v>
      </c>
      <c r="T120" s="7"/>
      <c r="U120" s="7">
        <f>(J120-$J$122)^2+(K120-$K$122)^2+(L120-$L$122)^2+(M120-$M$122)^2+(N120-$N$122)^2+(O120-$O$122)+(P120-$P$122)^2+(Q120-$Q$122)^2+(R120-$R$122)^2+(S120-$S$122)^2</f>
        <v>-2.7144820665808533E-2</v>
      </c>
    </row>
    <row r="121" spans="1:21" x14ac:dyDescent="0.25">
      <c r="A121" s="5" t="s">
        <v>39</v>
      </c>
      <c r="B121" s="7">
        <f t="shared" si="34"/>
        <v>2.2200584121558538</v>
      </c>
      <c r="C121" s="7">
        <f t="shared" si="35"/>
        <v>2.1658841137224218</v>
      </c>
      <c r="D121" s="7">
        <f t="shared" si="36"/>
        <v>0</v>
      </c>
      <c r="E121" s="7">
        <f t="shared" si="37"/>
        <v>0.83760385455367803</v>
      </c>
      <c r="F121" s="7">
        <f t="shared" si="38"/>
        <v>1.0190068497629392</v>
      </c>
      <c r="G121">
        <v>3</v>
      </c>
      <c r="I121" s="5" t="s">
        <v>39</v>
      </c>
      <c r="J121" s="7">
        <v>1</v>
      </c>
      <c r="K121" s="7">
        <v>0.82636248415716085</v>
      </c>
      <c r="L121" s="7">
        <v>0.73355165227746366</v>
      </c>
      <c r="M121" s="7">
        <v>0.698571295172285</v>
      </c>
      <c r="N121" s="7">
        <v>1</v>
      </c>
      <c r="O121" s="7">
        <v>1</v>
      </c>
      <c r="P121" s="7">
        <v>0.62995594713656378</v>
      </c>
      <c r="Q121" s="7">
        <v>1</v>
      </c>
      <c r="R121" s="7">
        <v>0.17073170731707307</v>
      </c>
      <c r="S121" s="7">
        <v>0.5</v>
      </c>
      <c r="T121" s="7"/>
      <c r="U121" s="7">
        <f>(J121-$J$122)^2+(K121-$K$122)^2+(L121-$L$122)^2+(M121-$M$122)^2+(N121-$N$122)^2+(O121-$O$122)+(P121-$P$122)^2+(Q121-$Q$122)^2+(R121-$R$122)^2+(S121-$S$122)^2</f>
        <v>0.33118851266752458</v>
      </c>
    </row>
    <row r="122" spans="1:21" x14ac:dyDescent="0.25">
      <c r="A122" s="5" t="s">
        <v>58</v>
      </c>
      <c r="B122" s="7">
        <f t="shared" si="34"/>
        <v>2.384622723190446</v>
      </c>
      <c r="C122" s="7">
        <f t="shared" si="35"/>
        <v>2.2245851080754848</v>
      </c>
      <c r="D122" s="7">
        <f t="shared" si="36"/>
        <v>0.83760385455367803</v>
      </c>
      <c r="E122" s="7">
        <f t="shared" si="37"/>
        <v>0</v>
      </c>
      <c r="F122" s="7">
        <f t="shared" si="38"/>
        <v>1.1470662992883829</v>
      </c>
      <c r="G122">
        <v>4</v>
      </c>
      <c r="J122" s="7">
        <f>AVERAGE(J120:J121)</f>
        <v>0.77721774193548376</v>
      </c>
      <c r="K122" s="7">
        <f t="shared" ref="K122:S122" si="43">AVERAGE(K120:K121)</f>
        <v>0.80608365019011385</v>
      </c>
      <c r="L122" s="7">
        <f t="shared" si="43"/>
        <v>0.65828123449439324</v>
      </c>
      <c r="M122" s="7">
        <f t="shared" si="43"/>
        <v>0.64081613596040721</v>
      </c>
      <c r="N122" s="7">
        <f t="shared" si="43"/>
        <v>0.83865814696485619</v>
      </c>
      <c r="O122" s="7">
        <f t="shared" si="43"/>
        <v>0.82083333333333341</v>
      </c>
      <c r="P122" s="7">
        <f t="shared" si="43"/>
        <v>0.5638766519823788</v>
      </c>
      <c r="Q122" s="7">
        <f t="shared" si="43"/>
        <v>0.9910714285714286</v>
      </c>
      <c r="R122" s="7">
        <f t="shared" si="43"/>
        <v>0.17073170731707307</v>
      </c>
      <c r="S122" s="7">
        <f t="shared" si="43"/>
        <v>0.75</v>
      </c>
      <c r="T122" s="7"/>
      <c r="U122" s="7">
        <f>SUM(U120:U121)</f>
        <v>0.30404369200171605</v>
      </c>
    </row>
    <row r="123" spans="1:21" x14ac:dyDescent="0.25">
      <c r="A123" s="5" t="s">
        <v>33</v>
      </c>
      <c r="B123" s="7">
        <f t="shared" si="34"/>
        <v>1.3098773857082724</v>
      </c>
      <c r="C123" s="7">
        <f t="shared" si="35"/>
        <v>1.1830117523709835</v>
      </c>
      <c r="D123" s="7">
        <f t="shared" si="36"/>
        <v>1.0190068497629392</v>
      </c>
      <c r="E123" s="7">
        <f t="shared" si="37"/>
        <v>1.1470662992883829</v>
      </c>
      <c r="F123" s="7">
        <f t="shared" si="38"/>
        <v>0</v>
      </c>
      <c r="G123">
        <v>5</v>
      </c>
      <c r="I123" s="5" t="s">
        <v>108</v>
      </c>
    </row>
    <row r="124" spans="1:21" x14ac:dyDescent="0.25">
      <c r="A124" s="5" t="s">
        <v>46</v>
      </c>
      <c r="B124" s="7">
        <f t="shared" si="34"/>
        <v>1.3228712342333386</v>
      </c>
      <c r="C124" s="7">
        <f t="shared" si="35"/>
        <v>1.2809372652026327</v>
      </c>
      <c r="D124" s="7">
        <f t="shared" si="36"/>
        <v>0.94280743371833631</v>
      </c>
      <c r="E124" s="7">
        <f t="shared" si="37"/>
        <v>1.1777505691143642</v>
      </c>
      <c r="F124" s="7">
        <f t="shared" si="38"/>
        <v>0.3706168440091146</v>
      </c>
      <c r="G124">
        <v>5</v>
      </c>
      <c r="I124" s="5" t="s">
        <v>55</v>
      </c>
      <c r="J124" s="7">
        <v>0.56249999999999967</v>
      </c>
      <c r="K124" s="7">
        <v>0.10519645120405567</v>
      </c>
      <c r="L124" s="7">
        <v>0.13773940656941555</v>
      </c>
      <c r="M124" s="7">
        <v>9.8328508730973985E-2</v>
      </c>
      <c r="N124" s="7">
        <v>0.57827476038338654</v>
      </c>
      <c r="O124" s="7">
        <v>0.625</v>
      </c>
      <c r="P124" s="7">
        <v>0.57268722466960331</v>
      </c>
      <c r="Q124" s="7">
        <v>0.27678571428571419</v>
      </c>
      <c r="R124" s="7">
        <v>0.43902439024390233</v>
      </c>
      <c r="S124" s="7">
        <v>0.66666666666666663</v>
      </c>
      <c r="T124" s="7"/>
      <c r="U124" s="7">
        <f>(J124-$J$126)^2+(K124-$K$126)^2+(L124-$L$126)^2+(M124-$M$126)^2+(N124-$N$126)^2+(O124-$O$126)+(P124-$P$126)^2+(Q124-$Q$126)^2+(R124-$R$126)^2+(S124-$S$126)^2</f>
        <v>0.77569143117947936</v>
      </c>
    </row>
    <row r="125" spans="1:21" x14ac:dyDescent="0.25">
      <c r="A125" s="5" t="s">
        <v>48</v>
      </c>
      <c r="B125" s="7">
        <f t="shared" si="34"/>
        <v>0.53515593028526687</v>
      </c>
      <c r="C125" s="7">
        <f t="shared" si="35"/>
        <v>0.84200216445209319</v>
      </c>
      <c r="D125" s="7">
        <f t="shared" si="36"/>
        <v>1.8899348370409417</v>
      </c>
      <c r="E125" s="7">
        <f t="shared" si="37"/>
        <v>2.1069834542511683</v>
      </c>
      <c r="F125" s="7">
        <f t="shared" si="38"/>
        <v>1.1099179067225937</v>
      </c>
      <c r="G125">
        <v>1</v>
      </c>
      <c r="I125" s="5" t="s">
        <v>58</v>
      </c>
      <c r="J125" s="7">
        <v>0.71370967741935465</v>
      </c>
      <c r="K125" s="7">
        <v>1</v>
      </c>
      <c r="L125" s="7">
        <v>1</v>
      </c>
      <c r="M125" s="7">
        <v>1</v>
      </c>
      <c r="N125" s="7">
        <v>0.86900958466453648</v>
      </c>
      <c r="O125" s="7">
        <v>0.88333333333333341</v>
      </c>
      <c r="P125" s="7">
        <v>0</v>
      </c>
      <c r="Q125" s="7">
        <v>1</v>
      </c>
      <c r="R125" s="7">
        <v>0</v>
      </c>
      <c r="S125" s="7">
        <v>0.33333333333333331</v>
      </c>
      <c r="T125" s="7"/>
      <c r="U125" s="7">
        <f>(J125-$J$126)^2+(K125-$K$126)^2+(L125-$L$126)^2+(M125-$M$126)^2+(N125-$N$126)^2+(O125-$O$126)+(P125-$P$126)^2+(Q125-$Q$126)^2+(R125-$R$126)^2+(S125-$S$126)^2</f>
        <v>1.0340247645128127</v>
      </c>
    </row>
    <row r="126" spans="1:21" x14ac:dyDescent="0.25">
      <c r="A126" s="5" t="s">
        <v>47</v>
      </c>
      <c r="B126" s="7">
        <f t="shared" si="34"/>
        <v>0.6914009265646871</v>
      </c>
      <c r="C126" s="7">
        <f t="shared" si="35"/>
        <v>0.30900849004937969</v>
      </c>
      <c r="D126" s="7">
        <f t="shared" si="36"/>
        <v>2.035572772061105</v>
      </c>
      <c r="E126" s="7">
        <f t="shared" si="37"/>
        <v>2.1033584258189038</v>
      </c>
      <c r="F126" s="7">
        <f t="shared" si="38"/>
        <v>1.0560624014126321</v>
      </c>
      <c r="G126">
        <v>2</v>
      </c>
      <c r="J126" s="7">
        <f>AVERAGE(J124:J125)</f>
        <v>0.63810483870967716</v>
      </c>
      <c r="K126" s="7">
        <f t="shared" ref="K126:S126" si="44">AVERAGE(K124:K125)</f>
        <v>0.55259822560202787</v>
      </c>
      <c r="L126" s="7">
        <f t="shared" si="44"/>
        <v>0.56886970328470776</v>
      </c>
      <c r="M126" s="7">
        <f t="shared" si="44"/>
        <v>0.54916425436548699</v>
      </c>
      <c r="N126" s="7">
        <f t="shared" si="44"/>
        <v>0.72364217252396146</v>
      </c>
      <c r="O126" s="7">
        <f t="shared" si="44"/>
        <v>0.75416666666666665</v>
      </c>
      <c r="P126" s="7">
        <f t="shared" si="44"/>
        <v>0.28634361233480166</v>
      </c>
      <c r="Q126" s="7">
        <f t="shared" si="44"/>
        <v>0.6383928571428571</v>
      </c>
      <c r="R126" s="7">
        <f t="shared" si="44"/>
        <v>0.21951219512195116</v>
      </c>
      <c r="S126" s="7">
        <f t="shared" si="44"/>
        <v>0.5</v>
      </c>
      <c r="T126" s="7"/>
      <c r="U126" s="7">
        <f>SUM(U124:U125)</f>
        <v>1.809716195692292</v>
      </c>
    </row>
    <row r="127" spans="1:21" x14ac:dyDescent="0.25">
      <c r="A127" s="5" t="s">
        <v>60</v>
      </c>
      <c r="B127" s="7">
        <f t="shared" si="34"/>
        <v>1.5293587414176075</v>
      </c>
      <c r="C127" s="7">
        <f t="shared" si="35"/>
        <v>1.4430075118813199</v>
      </c>
      <c r="D127" s="7">
        <f t="shared" si="36"/>
        <v>0.83461504952552479</v>
      </c>
      <c r="E127" s="7">
        <f t="shared" si="37"/>
        <v>1.1171004505967874</v>
      </c>
      <c r="F127" s="7">
        <f t="shared" si="38"/>
        <v>0.45586540130482539</v>
      </c>
      <c r="G127">
        <v>5</v>
      </c>
      <c r="I127" s="5" t="s">
        <v>109</v>
      </c>
    </row>
    <row r="128" spans="1:21" x14ac:dyDescent="0.25">
      <c r="A128" s="5" t="s">
        <v>51</v>
      </c>
      <c r="B128" s="7">
        <f t="shared" si="34"/>
        <v>0.75474356199805215</v>
      </c>
      <c r="C128" s="7">
        <f t="shared" si="35"/>
        <v>0.65779634906508078</v>
      </c>
      <c r="D128" s="7">
        <f t="shared" si="36"/>
        <v>1.5820454037618512</v>
      </c>
      <c r="E128" s="7">
        <f t="shared" si="37"/>
        <v>1.7593909326864148</v>
      </c>
      <c r="F128" s="7">
        <f t="shared" si="38"/>
        <v>0.64446860333084377</v>
      </c>
      <c r="G128">
        <v>5</v>
      </c>
      <c r="I128" s="5" t="s">
        <v>52</v>
      </c>
      <c r="J128" s="7">
        <v>0.47379032258064507</v>
      </c>
      <c r="K128" s="7">
        <v>0.47908745247148282</v>
      </c>
      <c r="L128" s="7">
        <v>0.34047831695941272</v>
      </c>
      <c r="M128" s="7">
        <v>0.36221869455598099</v>
      </c>
      <c r="N128" s="7">
        <v>0.47603833865814682</v>
      </c>
      <c r="O128" s="7">
        <v>0.49166666666666681</v>
      </c>
      <c r="P128" s="7">
        <v>0.52422907488986781</v>
      </c>
      <c r="Q128" s="7">
        <v>0.81250000000000011</v>
      </c>
      <c r="R128" s="7">
        <v>0.36585365853658525</v>
      </c>
      <c r="S128" s="7">
        <v>0.66666666666666663</v>
      </c>
      <c r="T128" s="7"/>
      <c r="U128" s="7">
        <f>(J128-$J$138)^2+(K128-$K$138)^2+(L128-$L$138)^2+(M128-$M$138)^2+(N128-$N$138)^2+(O128-$O$138)+(P128-$P$138)^2+(Q128-$Q$138)^2+(R128-$R$138)^2+(S128-$S$138)^2</f>
        <v>9.0456032673712536E-2</v>
      </c>
    </row>
    <row r="129" spans="1:21" x14ac:dyDescent="0.25">
      <c r="A129" s="5" t="s">
        <v>43</v>
      </c>
      <c r="B129" s="7">
        <f t="shared" si="34"/>
        <v>0.7027181013589765</v>
      </c>
      <c r="C129" s="7">
        <f t="shared" si="35"/>
        <v>0.63620769805116795</v>
      </c>
      <c r="D129" s="7">
        <f t="shared" si="36"/>
        <v>1.6837270212412168</v>
      </c>
      <c r="E129" s="7">
        <f t="shared" si="37"/>
        <v>1.9056567405612983</v>
      </c>
      <c r="F129" s="7">
        <f t="shared" si="38"/>
        <v>0.78381666435698405</v>
      </c>
      <c r="G129">
        <v>2</v>
      </c>
      <c r="I129" s="5" t="s">
        <v>49</v>
      </c>
      <c r="J129" s="7">
        <v>0.63104838709677469</v>
      </c>
      <c r="K129" s="7">
        <v>0.38149556400506962</v>
      </c>
      <c r="L129" s="7">
        <v>0.25146372928450944</v>
      </c>
      <c r="M129" s="7">
        <v>0.20123260808665613</v>
      </c>
      <c r="N129" s="7">
        <v>0.78274760383386577</v>
      </c>
      <c r="O129" s="7">
        <v>0.75833333333333341</v>
      </c>
      <c r="P129" s="7">
        <v>1</v>
      </c>
      <c r="Q129" s="7">
        <v>0.78571428571428559</v>
      </c>
      <c r="R129" s="7">
        <v>0.97560975609756106</v>
      </c>
      <c r="S129" s="7">
        <v>0.5</v>
      </c>
      <c r="T129" s="7"/>
      <c r="U129" s="7">
        <f t="shared" ref="U129:U137" si="45">(J129-$J$138)^2+(K129-$K$138)^2+(L129-$L$138)^2+(M129-$M$138)^2+(N129-$N$138)^2+(O129-$O$138)+(P129-$P$138)^2+(Q129-$Q$138)^2+(R129-$R$138)^2+(S129-$S$138)^2</f>
        <v>0.76336887045128321</v>
      </c>
    </row>
    <row r="130" spans="1:21" x14ac:dyDescent="0.25">
      <c r="I130" s="5" t="s">
        <v>54</v>
      </c>
      <c r="J130" s="7">
        <v>0.5342741935483869</v>
      </c>
      <c r="K130" s="7">
        <v>0.35107731305449941</v>
      </c>
      <c r="L130" s="7">
        <v>0.27131090602361824</v>
      </c>
      <c r="M130" s="7">
        <v>0.23681015967877497</v>
      </c>
      <c r="N130" s="7">
        <v>0.33865814696485608</v>
      </c>
      <c r="O130" s="7">
        <v>0.60833333333333339</v>
      </c>
      <c r="P130" s="7">
        <v>0.14096916299559484</v>
      </c>
      <c r="Q130" s="7">
        <v>0.3035714285714286</v>
      </c>
      <c r="R130" s="7">
        <v>0.12195121951219509</v>
      </c>
      <c r="S130" s="7">
        <v>0.16666666666666666</v>
      </c>
      <c r="T130" s="7"/>
      <c r="U130" s="7">
        <f>(J130-$J$138)^2+(K130-$K$138)^2+(L130-$L$138)^2+(M130-$M$138)^2+(N130-$N$138)^2+(O130-$O$138)+(P130-$P$138)^2+(Q130-$Q$138)^2+(R130-$R$138)^2+(S130-$S$138)^2</f>
        <v>0.68748441882127531</v>
      </c>
    </row>
    <row r="131" spans="1:21" x14ac:dyDescent="0.25">
      <c r="I131" s="5" t="s">
        <v>45</v>
      </c>
      <c r="J131" s="7">
        <v>0.52419354838709664</v>
      </c>
      <c r="K131" s="7">
        <v>0.56653992395437258</v>
      </c>
      <c r="L131" s="7">
        <v>0.47851543117991485</v>
      </c>
      <c r="M131" s="7">
        <v>0.46671024372023545</v>
      </c>
      <c r="N131" s="7">
        <v>0.63258785942492013</v>
      </c>
      <c r="O131" s="7">
        <v>0.66666666666666674</v>
      </c>
      <c r="P131" s="7">
        <v>0.66519823788546262</v>
      </c>
      <c r="Q131" s="7">
        <v>0.42857142857142855</v>
      </c>
      <c r="R131" s="7">
        <v>0.36585365853658525</v>
      </c>
      <c r="S131" s="7">
        <v>0.5</v>
      </c>
      <c r="T131" s="7"/>
      <c r="U131" s="7">
        <f t="shared" si="45"/>
        <v>0.15066823701606769</v>
      </c>
    </row>
    <row r="132" spans="1:21" x14ac:dyDescent="0.25">
      <c r="I132" s="5" t="s">
        <v>57</v>
      </c>
      <c r="J132" s="7">
        <v>0.71169354838709686</v>
      </c>
      <c r="K132" s="7">
        <v>0.79340937896070973</v>
      </c>
      <c r="L132" s="7">
        <v>0.69008633521881535</v>
      </c>
      <c r="M132" s="7">
        <v>0.67335885703613785</v>
      </c>
      <c r="N132" s="7">
        <v>0.83067092651757168</v>
      </c>
      <c r="O132" s="7">
        <v>0.89166666666666672</v>
      </c>
      <c r="P132" s="7">
        <v>0.65638766519823766</v>
      </c>
      <c r="Q132" s="7">
        <v>0.84821428571428559</v>
      </c>
      <c r="R132" s="7">
        <v>1</v>
      </c>
      <c r="S132" s="7">
        <v>0.33333333333333331</v>
      </c>
      <c r="T132" s="7"/>
      <c r="U132" s="7">
        <f t="shared" si="45"/>
        <v>0.88991378174834246</v>
      </c>
    </row>
    <row r="133" spans="1:21" x14ac:dyDescent="0.25">
      <c r="I133" s="5" t="s">
        <v>34</v>
      </c>
      <c r="J133" s="7">
        <v>0.33467741935483875</v>
      </c>
      <c r="K133" s="7">
        <v>0.56273764258555126</v>
      </c>
      <c r="L133" s="7">
        <v>0.53458370546789713</v>
      </c>
      <c r="M133" s="7">
        <v>0.50210103651134563</v>
      </c>
      <c r="N133" s="7">
        <v>0.59424920127795522</v>
      </c>
      <c r="O133" s="7">
        <v>0.51666666666666661</v>
      </c>
      <c r="P133" s="7">
        <v>0.6387665198237884</v>
      </c>
      <c r="Q133" s="7">
        <v>0.57142857142857129</v>
      </c>
      <c r="R133" s="7">
        <v>0.56097560975609739</v>
      </c>
      <c r="S133" s="7">
        <v>0.33333333333333331</v>
      </c>
      <c r="T133" s="7"/>
      <c r="U133" s="7">
        <f t="shared" si="45"/>
        <v>-2.4245594486173475E-2</v>
      </c>
    </row>
    <row r="134" spans="1:21" x14ac:dyDescent="0.25">
      <c r="I134" s="5" t="s">
        <v>33</v>
      </c>
      <c r="J134" s="7">
        <v>0.40322580645161266</v>
      </c>
      <c r="K134" s="7">
        <v>0.62357414448669191</v>
      </c>
      <c r="L134" s="7">
        <v>0.6002778604743475</v>
      </c>
      <c r="M134" s="7">
        <v>0.56167709403305643</v>
      </c>
      <c r="N134" s="7">
        <v>0.61341853035143756</v>
      </c>
      <c r="O134" s="7">
        <v>0.52499999999999991</v>
      </c>
      <c r="P134" s="7">
        <v>0.55506607929515406</v>
      </c>
      <c r="Q134" s="7">
        <v>0.52678571428571441</v>
      </c>
      <c r="R134" s="7">
        <v>0.63414634146341453</v>
      </c>
      <c r="S134" s="7">
        <v>0.5</v>
      </c>
      <c r="T134" s="7"/>
      <c r="U134" s="7">
        <f>(J134-$J$138)^2+(K134-$K$138)^2+(L134-$L$138)^2+(M134-$M$138)^2+(N134-$N$138)^2+(O134-$O$138)+(P134-$P$138)^2+(Q134-$Q$138)^2+(R134-$R$138)^2+(S134-$S$138)^2</f>
        <v>2.8662090579024052E-2</v>
      </c>
    </row>
    <row r="135" spans="1:21" x14ac:dyDescent="0.25">
      <c r="I135" s="5" t="s">
        <v>46</v>
      </c>
      <c r="J135" s="7">
        <v>0.63306451612903247</v>
      </c>
      <c r="K135" s="7">
        <v>0.5171102661596958</v>
      </c>
      <c r="L135" s="7">
        <v>0.44973702490820694</v>
      </c>
      <c r="M135" s="7">
        <v>0.42898496591651886</v>
      </c>
      <c r="N135" s="7">
        <v>0.60383386581469634</v>
      </c>
      <c r="O135" s="7">
        <v>0.52499999999999991</v>
      </c>
      <c r="P135" s="7">
        <v>0.47136563876651977</v>
      </c>
      <c r="Q135" s="7">
        <v>0.68749999999999989</v>
      </c>
      <c r="R135" s="7">
        <v>0.26829268292682928</v>
      </c>
      <c r="S135" s="7">
        <v>0.16666666666666666</v>
      </c>
      <c r="T135" s="7"/>
      <c r="U135" s="7">
        <f t="shared" si="45"/>
        <v>8.4268830945567613E-2</v>
      </c>
    </row>
    <row r="136" spans="1:21" x14ac:dyDescent="0.25">
      <c r="I136" s="5" t="s">
        <v>60</v>
      </c>
      <c r="J136" s="7">
        <v>0.52822580645161277</v>
      </c>
      <c r="K136" s="7">
        <v>0.67934093789607075</v>
      </c>
      <c r="L136" s="7">
        <v>0.55512553339287507</v>
      </c>
      <c r="M136" s="7">
        <v>0.5314221682696797</v>
      </c>
      <c r="N136" s="7">
        <v>0.51757188498402551</v>
      </c>
      <c r="O136" s="7">
        <v>0.6166666666666667</v>
      </c>
      <c r="P136" s="7">
        <v>0.70044052863436113</v>
      </c>
      <c r="Q136" s="7">
        <v>0.91071428571428559</v>
      </c>
      <c r="R136" s="7">
        <v>0.31707317073170727</v>
      </c>
      <c r="S136" s="7">
        <v>0.16666666666666666</v>
      </c>
      <c r="T136" s="7"/>
      <c r="U136" s="7">
        <f t="shared" si="45"/>
        <v>0.26430263362163536</v>
      </c>
    </row>
    <row r="137" spans="1:21" x14ac:dyDescent="0.25">
      <c r="I137" s="5" t="s">
        <v>51</v>
      </c>
      <c r="J137" s="7">
        <v>0.2963709677419355</v>
      </c>
      <c r="K137" s="7">
        <v>0.37896070975918866</v>
      </c>
      <c r="L137" s="7">
        <v>0.39664582713109081</v>
      </c>
      <c r="M137" s="7">
        <v>0.37333084321598664</v>
      </c>
      <c r="N137" s="7">
        <v>0.45047923322683708</v>
      </c>
      <c r="O137" s="7">
        <v>0.29166666666666669</v>
      </c>
      <c r="P137" s="7">
        <v>0.68722466960352402</v>
      </c>
      <c r="Q137" s="7">
        <v>0.11607142857142841</v>
      </c>
      <c r="R137" s="7">
        <v>0.51219512195121963</v>
      </c>
      <c r="S137" s="7">
        <v>0.5</v>
      </c>
      <c r="T137" s="7"/>
      <c r="U137" s="7">
        <f t="shared" si="45"/>
        <v>4.969661930293949E-2</v>
      </c>
    </row>
    <row r="138" spans="1:21" x14ac:dyDescent="0.25">
      <c r="J138" s="7">
        <f>AVERAGE(J128:J137)</f>
        <v>0.50705645161290325</v>
      </c>
      <c r="K138" s="7">
        <f t="shared" ref="K138:S138" si="46">AVERAGE(K128:K137)</f>
        <v>0.53333333333333321</v>
      </c>
      <c r="L138" s="7">
        <f t="shared" si="46"/>
        <v>0.45682246700406876</v>
      </c>
      <c r="M138" s="7">
        <f t="shared" si="46"/>
        <v>0.43378466710243729</v>
      </c>
      <c r="N138" s="7">
        <f t="shared" si="46"/>
        <v>0.58402555910543119</v>
      </c>
      <c r="O138" s="7">
        <f t="shared" si="46"/>
        <v>0.58916666666666684</v>
      </c>
      <c r="P138" s="7">
        <f t="shared" si="46"/>
        <v>0.60396475770925107</v>
      </c>
      <c r="Q138" s="7">
        <f t="shared" si="46"/>
        <v>0.59910714285714284</v>
      </c>
      <c r="R138" s="7">
        <f t="shared" si="46"/>
        <v>0.51219512195121952</v>
      </c>
      <c r="S138" s="7">
        <f t="shared" si="46"/>
        <v>0.3833333333333333</v>
      </c>
      <c r="T138" s="7"/>
      <c r="U138" s="7">
        <f>SUM(U128:U137)</f>
        <v>2.9845759206736742</v>
      </c>
    </row>
    <row r="139" spans="1:21" x14ac:dyDescent="0.25">
      <c r="I139" s="5" t="s">
        <v>97</v>
      </c>
      <c r="J139" s="7">
        <f>U138+U126+U122+U118+U113</f>
        <v>5.7440511427852368</v>
      </c>
    </row>
    <row r="141" spans="1:21" x14ac:dyDescent="0.25">
      <c r="B141" t="str">
        <f>A151</f>
        <v>Ipswich Town</v>
      </c>
      <c r="C141" t="str">
        <f>A152</f>
        <v>Leicester City</v>
      </c>
      <c r="D141" t="str">
        <f>A153</f>
        <v>Liverpool</v>
      </c>
      <c r="E141" t="str">
        <f>A156</f>
        <v>Newcastle Utd</v>
      </c>
      <c r="F141" t="str">
        <f>A155</f>
        <v>Manchester Utd</v>
      </c>
      <c r="I141" s="5" t="s">
        <v>94</v>
      </c>
      <c r="U141" t="s">
        <v>103</v>
      </c>
    </row>
    <row r="142" spans="1:21" x14ac:dyDescent="0.25">
      <c r="A142" s="5" t="s">
        <v>42</v>
      </c>
      <c r="B142" s="7">
        <f t="shared" ref="B142:B161" si="47">SQRT((P2-$P$11)^2+(Q2-$Q$11)^2+(R2-$R$11)^2+(S2-$S$11)^2+(U2-$U$11)^2+(V2-$V$11)^2+(W2-$W$11)^2+(X2-$X$11)^2+(Y2-$Y$11)^2+(Z2-$Z$11)^2)</f>
        <v>1.7082358047533803</v>
      </c>
      <c r="C142" s="7">
        <f t="shared" ref="C142:C161" si="48">SQRT((P2-$P$12)^2+(Q2-$Q$12)^2+(R2-$R$12)^2+(S2-$S$12)^2+(U2-$U$12)^2+(V2-$V$12)^2+(W2-$W$12)^2+(X2-$X$12)^2+(Y2-$Y$12)^2+(Z2-$Z$12)^2)</f>
        <v>1.6158123442180072</v>
      </c>
      <c r="D142" s="7">
        <f t="shared" ref="D142:D161" si="49">SQRT((P2-$P$13)^2+(Q2-$Q$13)^2+(R2-$R$13)^2+(S2-$S$13)^2+(U2-$U$13)^2+(V2-$V$13)^2+(W2-$W$13)^2+(X2-$X$13)^2+(Y2-$Y$13)^2+(Z2-$Z$13)^2)</f>
        <v>0.69748846713132817</v>
      </c>
      <c r="E142" s="7">
        <f t="shared" ref="E142:E161" si="50">SQRT((P2-$P$16)^2+(Q2-$Q$16)^2+(R2-$R$16)^2+(S2-$S$16)^2+(U2-$U$16)^2+(V2-$V$16)^2+(W2-$W$16)^2+(X2-$X$16)^2+(Y2-$Y$16)^2+(Z2-$Z$16)^2)</f>
        <v>0.47581974946493244</v>
      </c>
      <c r="F142" s="7">
        <f t="shared" ref="F142:F161" si="51">SQRT((P2-$P$15)^2+(Q2-$Q$15)^2+(R2-$R$15)^2+(S2-$S$15)^2+(U2-$U$15)^2+(V2-$V$15)^2+(W2-$W$15)^2+(X2-$X$15)^2+(Y2-$Y$15)^2+(Z2-$Z$15)^2)</f>
        <v>0.52750587490855338</v>
      </c>
      <c r="G142">
        <v>3</v>
      </c>
      <c r="I142" s="5" t="s">
        <v>44</v>
      </c>
      <c r="J142" s="7">
        <v>0.1915322580645161</v>
      </c>
      <c r="K142" s="7">
        <v>1.5209125475284919E-2</v>
      </c>
      <c r="L142" s="7">
        <v>5.8251463729284615E-2</v>
      </c>
      <c r="M142" s="7">
        <v>5.4440190493977123E-2</v>
      </c>
      <c r="N142" s="7">
        <v>0.22364217252396151</v>
      </c>
      <c r="O142" s="7">
        <v>0.27499999999999997</v>
      </c>
      <c r="P142" s="7">
        <v>0.62995594713656378</v>
      </c>
      <c r="Q142" s="7">
        <v>0.13392857142857148</v>
      </c>
      <c r="R142" s="7">
        <v>0.56097560975609739</v>
      </c>
      <c r="S142" s="7">
        <v>0.33333333333333331</v>
      </c>
      <c r="T142" s="7"/>
      <c r="U142" s="7">
        <f>(J142-$J$145)^2+(K142-$K$145)^2+(L142-$L$145)^2+(M142-$M$145)^2+(N142-$N$145)^2+(O142-$O$145)+(P142-$P$145)^2+(Q142-$Q$145)^2+(R142-$R$145)^2+(S142-$S$145)^2</f>
        <v>2.5633715872890289E-2</v>
      </c>
    </row>
    <row r="143" spans="1:21" x14ac:dyDescent="0.25">
      <c r="A143" s="5" t="s">
        <v>52</v>
      </c>
      <c r="B143" s="7">
        <f t="shared" si="47"/>
        <v>1.2086817382488173</v>
      </c>
      <c r="C143" s="7">
        <f t="shared" si="48"/>
        <v>1.1913751284003904</v>
      </c>
      <c r="D143" s="7">
        <f t="shared" si="49"/>
        <v>1.1155309556307436</v>
      </c>
      <c r="E143" s="7">
        <f t="shared" si="50"/>
        <v>0.28119664666632399</v>
      </c>
      <c r="F143" s="7">
        <f t="shared" si="51"/>
        <v>0.48549275290292443</v>
      </c>
      <c r="G143">
        <v>5</v>
      </c>
      <c r="I143" s="5" t="s">
        <v>38</v>
      </c>
      <c r="J143" s="7">
        <v>3.6290322580645115E-2</v>
      </c>
      <c r="K143" s="7">
        <v>0</v>
      </c>
      <c r="L143" s="7">
        <v>4.0587476431477761E-2</v>
      </c>
      <c r="M143" s="7">
        <v>6.5552339153982592E-2</v>
      </c>
      <c r="N143" s="7">
        <v>0.13099041533546329</v>
      </c>
      <c r="O143" s="7">
        <v>0.13333333333333333</v>
      </c>
      <c r="P143" s="7">
        <v>0.62995594713656378</v>
      </c>
      <c r="Q143" s="7">
        <v>3.5714285714285678E-2</v>
      </c>
      <c r="R143" s="7">
        <v>0.6585365853658538</v>
      </c>
      <c r="S143" s="7">
        <v>0.83333333333333337</v>
      </c>
      <c r="T143" s="7"/>
      <c r="U143" s="7">
        <f t="shared" ref="U143:U144" si="52">(J143-$J$145)^2+(K143-$K$145)^2+(L143-$L$145)^2+(M143-$M$145)^2+(N143-$N$145)^2+(O143-$O$145)+(P143-$P$145)^2+(Q143-$Q$145)^2+(R143-$R$145)^2+(S143-$S$145)^2</f>
        <v>-2.5847622115896252E-3</v>
      </c>
    </row>
    <row r="144" spans="1:21" x14ac:dyDescent="0.25">
      <c r="A144" s="5" t="s">
        <v>49</v>
      </c>
      <c r="B144" s="7">
        <f t="shared" si="47"/>
        <v>1.4411797194924847</v>
      </c>
      <c r="C144" s="7">
        <f t="shared" si="48"/>
        <v>1.550250804786669</v>
      </c>
      <c r="D144" s="7">
        <f t="shared" si="49"/>
        <v>1.0498755899159944</v>
      </c>
      <c r="E144" s="7">
        <f t="shared" si="50"/>
        <v>0.69651543583960884</v>
      </c>
      <c r="F144" s="7">
        <f t="shared" si="51"/>
        <v>0.84274769143166095</v>
      </c>
      <c r="G144">
        <v>5</v>
      </c>
      <c r="I144" s="5" t="s">
        <v>48</v>
      </c>
      <c r="J144" s="7">
        <v>0.25806451612903203</v>
      </c>
      <c r="K144" s="7">
        <v>3.0418250950570179E-2</v>
      </c>
      <c r="L144" s="7">
        <v>0</v>
      </c>
      <c r="M144" s="7">
        <v>0</v>
      </c>
      <c r="N144" s="7">
        <v>0.40894568690095839</v>
      </c>
      <c r="O144" s="7">
        <v>0.45833333333333331</v>
      </c>
      <c r="P144" s="7">
        <v>0.45814977973568266</v>
      </c>
      <c r="Q144" s="7">
        <v>0.16964285714285701</v>
      </c>
      <c r="R144" s="7">
        <v>0.68292682926829273</v>
      </c>
      <c r="S144" s="7">
        <v>0.33333333333333331</v>
      </c>
      <c r="T144" s="7"/>
      <c r="U144" s="7">
        <f t="shared" si="52"/>
        <v>0.25191583033992299</v>
      </c>
    </row>
    <row r="145" spans="1:21" x14ac:dyDescent="0.25">
      <c r="A145" s="5" t="s">
        <v>54</v>
      </c>
      <c r="B145" s="7">
        <f t="shared" si="47"/>
        <v>1.0165688212528756</v>
      </c>
      <c r="C145" s="7">
        <f t="shared" si="48"/>
        <v>1.0365338527404535</v>
      </c>
      <c r="D145" s="7">
        <f t="shared" si="49"/>
        <v>1.4780335006132177</v>
      </c>
      <c r="E145" s="7">
        <f t="shared" si="50"/>
        <v>0.66326396772186946</v>
      </c>
      <c r="F145" s="7">
        <f t="shared" si="51"/>
        <v>0.78033619114937669</v>
      </c>
      <c r="G145">
        <v>4</v>
      </c>
      <c r="J145" s="7">
        <f>AVERAGE(J142:J144)</f>
        <v>0.16196236559139773</v>
      </c>
      <c r="K145" s="7">
        <f t="shared" ref="K145:S145" si="53">AVERAGE(K142:K144)</f>
        <v>1.5209125475285032E-2</v>
      </c>
      <c r="L145" s="7">
        <f t="shared" si="53"/>
        <v>3.2946313386920792E-2</v>
      </c>
      <c r="M145" s="7">
        <f t="shared" si="53"/>
        <v>3.9997509882653236E-2</v>
      </c>
      <c r="N145" s="7">
        <f t="shared" si="53"/>
        <v>0.2545260915867944</v>
      </c>
      <c r="O145" s="7">
        <f t="shared" si="53"/>
        <v>0.28888888888888892</v>
      </c>
      <c r="P145" s="7">
        <f t="shared" si="53"/>
        <v>0.57268722466960342</v>
      </c>
      <c r="Q145" s="7">
        <f t="shared" si="53"/>
        <v>0.11309523809523807</v>
      </c>
      <c r="R145" s="7">
        <f t="shared" si="53"/>
        <v>0.63414634146341464</v>
      </c>
      <c r="S145" s="7">
        <f t="shared" si="53"/>
        <v>0.5</v>
      </c>
      <c r="T145" s="7"/>
      <c r="U145" s="7">
        <f>SUM(U142:U144)</f>
        <v>0.27496478400122365</v>
      </c>
    </row>
    <row r="146" spans="1:21" x14ac:dyDescent="0.25">
      <c r="A146" s="5" t="s">
        <v>45</v>
      </c>
      <c r="B146" s="7">
        <f t="shared" si="47"/>
        <v>1.2662340997008932</v>
      </c>
      <c r="C146" s="7">
        <f t="shared" si="48"/>
        <v>1.2146745183951186</v>
      </c>
      <c r="D146" s="7">
        <f t="shared" si="49"/>
        <v>0.99326632223898659</v>
      </c>
      <c r="E146" s="7">
        <f t="shared" si="50"/>
        <v>0.376907004599143</v>
      </c>
      <c r="F146" s="7">
        <f t="shared" si="51"/>
        <v>0.28972907110336499</v>
      </c>
      <c r="G146">
        <v>5</v>
      </c>
      <c r="I146" s="5" t="s">
        <v>95</v>
      </c>
    </row>
    <row r="147" spans="1:21" x14ac:dyDescent="0.25">
      <c r="A147" s="5" t="s">
        <v>57</v>
      </c>
      <c r="B147" s="7">
        <f t="shared" si="47"/>
        <v>1.8980049100808083</v>
      </c>
      <c r="C147" s="7">
        <f t="shared" si="48"/>
        <v>1.8206070855180785</v>
      </c>
      <c r="D147" s="7">
        <f t="shared" si="49"/>
        <v>0.38842940545990406</v>
      </c>
      <c r="E147" s="7">
        <f t="shared" si="50"/>
        <v>0.66781123270465625</v>
      </c>
      <c r="F147" s="7">
        <f t="shared" si="51"/>
        <v>0.6631441558152531</v>
      </c>
      <c r="G147">
        <v>5</v>
      </c>
      <c r="I147" s="5" t="s">
        <v>59</v>
      </c>
      <c r="J147" s="7">
        <v>4.0322580645160578E-3</v>
      </c>
      <c r="K147" s="7">
        <v>0.23320659062103907</v>
      </c>
      <c r="L147" s="7">
        <v>0.30961595713009826</v>
      </c>
      <c r="M147" s="7">
        <v>0.2916238677747689</v>
      </c>
      <c r="N147" s="7">
        <v>0</v>
      </c>
      <c r="O147" s="7">
        <v>0</v>
      </c>
      <c r="P147" s="7">
        <v>0.58590308370044042</v>
      </c>
      <c r="Q147" s="7">
        <v>0</v>
      </c>
      <c r="R147" s="7">
        <v>0.73170731707317049</v>
      </c>
      <c r="S147" s="7">
        <v>0</v>
      </c>
      <c r="T147" s="7"/>
      <c r="U147" s="7">
        <f>(J147-$J$150)^2+(K147-$K$150)^2+(L147-$L$150)^2+(M147-$M$150)^2+(N147-$N$150)^2+(O147-$O$150)+(P147-$P$150)^2+(Q147-$Q$150)^2+(R147-$R$150)^2+(S147-$S$150)^2</f>
        <v>6.1508432736133017E-3</v>
      </c>
    </row>
    <row r="148" spans="1:21" x14ac:dyDescent="0.25">
      <c r="A148" s="5" t="s">
        <v>55</v>
      </c>
      <c r="B148" s="7">
        <f t="shared" si="47"/>
        <v>0.89536039082589691</v>
      </c>
      <c r="C148" s="7">
        <f t="shared" si="48"/>
        <v>1.094069992320245</v>
      </c>
      <c r="D148" s="7">
        <f t="shared" si="49"/>
        <v>1.5071715626496305</v>
      </c>
      <c r="E148" s="7">
        <f t="shared" si="50"/>
        <v>0.75560181613437694</v>
      </c>
      <c r="F148" s="7">
        <f t="shared" si="51"/>
        <v>0.89261583214594442</v>
      </c>
      <c r="G148">
        <v>4</v>
      </c>
      <c r="I148" s="5" t="s">
        <v>47</v>
      </c>
      <c r="J148" s="7">
        <v>0</v>
      </c>
      <c r="K148" s="7">
        <v>0.38276299112801004</v>
      </c>
      <c r="L148" s="7">
        <v>0.41629453210280859</v>
      </c>
      <c r="M148" s="7">
        <v>0.43963021757400322</v>
      </c>
      <c r="N148" s="7">
        <v>2.5559105431309979E-2</v>
      </c>
      <c r="O148" s="7">
        <v>0</v>
      </c>
      <c r="P148" s="7">
        <v>0.75770925110132159</v>
      </c>
      <c r="Q148" s="7">
        <v>9.8214285714285643E-2</v>
      </c>
      <c r="R148" s="7">
        <v>0.7804878048780487</v>
      </c>
      <c r="S148" s="7">
        <v>0.5</v>
      </c>
      <c r="T148" s="7"/>
      <c r="U148" s="7">
        <f t="shared" ref="U148:U149" si="54">(J148-$J$150)^2+(K148-$K$150)^2+(L148-$L$150)^2+(M148-$M$150)^2+(N148-$N$150)^2+(O148-$O$150)+(P148-$P$150)^2+(Q148-$Q$150)^2+(R148-$R$150)^2+(S148-$S$150)^2</f>
        <v>-3.8834287719365458E-2</v>
      </c>
    </row>
    <row r="149" spans="1:21" x14ac:dyDescent="0.25">
      <c r="A149" s="5" t="s">
        <v>44</v>
      </c>
      <c r="B149" s="7">
        <f t="shared" si="47"/>
        <v>0.25113086389077843</v>
      </c>
      <c r="C149" s="7">
        <f t="shared" si="48"/>
        <v>0.58960808040097101</v>
      </c>
      <c r="D149" s="7">
        <f t="shared" si="49"/>
        <v>2.0151826918146951</v>
      </c>
      <c r="E149" s="7">
        <f t="shared" si="50"/>
        <v>1.1309456925186794</v>
      </c>
      <c r="F149" s="7">
        <f t="shared" si="51"/>
        <v>1.1577456033111304</v>
      </c>
      <c r="G149">
        <v>1</v>
      </c>
      <c r="I149" s="5" t="s">
        <v>43</v>
      </c>
      <c r="J149" s="7">
        <v>0.22379032258064507</v>
      </c>
      <c r="K149" s="7">
        <v>0.36248415716096327</v>
      </c>
      <c r="L149" s="7">
        <v>0.34911183884092506</v>
      </c>
      <c r="M149" s="7">
        <v>0.34083481184050812</v>
      </c>
      <c r="N149" s="7">
        <v>0.30670926517571889</v>
      </c>
      <c r="O149" s="7">
        <v>0.40833333333333333</v>
      </c>
      <c r="P149" s="7">
        <v>0.85022026431718056</v>
      </c>
      <c r="Q149" s="7">
        <v>7.1428571428571355E-2</v>
      </c>
      <c r="R149" s="7">
        <v>0.41463414634146345</v>
      </c>
      <c r="S149" s="7">
        <v>0.33333333333333331</v>
      </c>
      <c r="T149" s="7"/>
      <c r="U149" s="7">
        <f t="shared" si="54"/>
        <v>0.40343399486208281</v>
      </c>
    </row>
    <row r="150" spans="1:21" x14ac:dyDescent="0.25">
      <c r="A150" s="5" t="s">
        <v>34</v>
      </c>
      <c r="B150" s="7">
        <f t="shared" si="47"/>
        <v>1.2202197026263297</v>
      </c>
      <c r="C150" s="7">
        <f t="shared" si="48"/>
        <v>1.1234899981898741</v>
      </c>
      <c r="D150" s="7">
        <f t="shared" si="49"/>
        <v>1.082745084107716</v>
      </c>
      <c r="E150" s="7">
        <f t="shared" si="50"/>
        <v>0.38120673883098249</v>
      </c>
      <c r="F150" s="7">
        <f t="shared" si="51"/>
        <v>0.16031421031560258</v>
      </c>
      <c r="G150">
        <v>5</v>
      </c>
      <c r="J150" s="7">
        <f>AVERAGE(J147:J149)</f>
        <v>7.594086021505371E-2</v>
      </c>
      <c r="K150" s="7">
        <f t="shared" ref="K150:S150" si="55">AVERAGE(K147:K149)</f>
        <v>0.32615124630333747</v>
      </c>
      <c r="L150" s="7">
        <f t="shared" si="55"/>
        <v>0.35834077602461067</v>
      </c>
      <c r="M150" s="7">
        <f t="shared" si="55"/>
        <v>0.35736296572976006</v>
      </c>
      <c r="N150" s="7">
        <f t="shared" si="55"/>
        <v>0.11075612353567628</v>
      </c>
      <c r="O150" s="7">
        <f t="shared" si="55"/>
        <v>0.1361111111111111</v>
      </c>
      <c r="P150" s="7">
        <f t="shared" si="55"/>
        <v>0.73127753303964749</v>
      </c>
      <c r="Q150" s="7">
        <f t="shared" si="55"/>
        <v>5.6547619047618992E-2</v>
      </c>
      <c r="R150" s="7">
        <f t="shared" si="55"/>
        <v>0.64227642276422747</v>
      </c>
      <c r="S150" s="7">
        <f t="shared" si="55"/>
        <v>0.27777777777777773</v>
      </c>
      <c r="T150" s="7"/>
      <c r="U150" s="7">
        <f>SUM(U147:U149)</f>
        <v>0.37075055041633065</v>
      </c>
    </row>
    <row r="151" spans="1:21" x14ac:dyDescent="0.25">
      <c r="A151" s="5" t="s">
        <v>38</v>
      </c>
      <c r="B151" s="7">
        <f t="shared" si="47"/>
        <v>0</v>
      </c>
      <c r="C151" s="7">
        <f t="shared" si="48"/>
        <v>0.46590019079616296</v>
      </c>
      <c r="D151" s="7">
        <f t="shared" si="49"/>
        <v>2.2200584121558538</v>
      </c>
      <c r="E151" s="7">
        <f t="shared" si="50"/>
        <v>1.3228712342333386</v>
      </c>
      <c r="F151" s="7">
        <f t="shared" si="51"/>
        <v>1.3098773857082724</v>
      </c>
      <c r="G151">
        <v>1</v>
      </c>
      <c r="I151" s="5" t="s">
        <v>102</v>
      </c>
    </row>
    <row r="152" spans="1:21" x14ac:dyDescent="0.25">
      <c r="A152" s="5" t="s">
        <v>59</v>
      </c>
      <c r="B152" s="7">
        <f t="shared" si="47"/>
        <v>0.46590019079616296</v>
      </c>
      <c r="C152" s="7">
        <f t="shared" si="48"/>
        <v>0</v>
      </c>
      <c r="D152" s="7">
        <f t="shared" si="49"/>
        <v>2.1658841137224218</v>
      </c>
      <c r="E152" s="7">
        <f t="shared" si="50"/>
        <v>1.2809372652026327</v>
      </c>
      <c r="F152" s="7">
        <f t="shared" si="51"/>
        <v>1.1830117523709835</v>
      </c>
      <c r="G152">
        <v>2</v>
      </c>
      <c r="I152" s="5" t="s">
        <v>42</v>
      </c>
      <c r="J152" s="7">
        <v>0.55443548387096742</v>
      </c>
      <c r="K152" s="7">
        <v>0.78580481622306686</v>
      </c>
      <c r="L152" s="7">
        <v>0.58301081671132282</v>
      </c>
      <c r="M152" s="7">
        <v>0.58306097674852941</v>
      </c>
      <c r="N152" s="7">
        <v>0.67731629392971238</v>
      </c>
      <c r="O152" s="7">
        <v>0.64166666666666683</v>
      </c>
      <c r="P152" s="7">
        <v>0.49779735682819393</v>
      </c>
      <c r="Q152" s="7">
        <v>0.98214285714285721</v>
      </c>
      <c r="R152" s="7">
        <v>0.17073170731707307</v>
      </c>
      <c r="S152" s="7">
        <v>1</v>
      </c>
      <c r="T152" s="7"/>
      <c r="U152" s="7">
        <f>(J152-$J$155)^2+(K152-$K$155)^2+(L152-$L$155)^2+(M152-$M$155)^2+(N152-$N$155)^2+(O152-$O$155)+(P152-$P$155)^2+(Q152-$Q$155)^2+(R152-$R$155)^2+(S152-$S$155)^2</f>
        <v>0.11401476039487332</v>
      </c>
    </row>
    <row r="153" spans="1:21" x14ac:dyDescent="0.25">
      <c r="A153" s="5" t="s">
        <v>39</v>
      </c>
      <c r="B153" s="7">
        <f t="shared" si="47"/>
        <v>2.2200584121558538</v>
      </c>
      <c r="C153" s="7">
        <f t="shared" si="48"/>
        <v>2.1658841137224218</v>
      </c>
      <c r="D153" s="7">
        <f t="shared" si="49"/>
        <v>0</v>
      </c>
      <c r="E153" s="7">
        <f t="shared" si="50"/>
        <v>0.94280743371833631</v>
      </c>
      <c r="F153" s="7">
        <f t="shared" si="51"/>
        <v>1.0190068497629392</v>
      </c>
      <c r="G153">
        <v>3</v>
      </c>
      <c r="I153" s="5" t="s">
        <v>39</v>
      </c>
      <c r="J153">
        <v>1</v>
      </c>
      <c r="K153">
        <v>0.82636248415716085</v>
      </c>
      <c r="L153">
        <v>0.73355165227746366</v>
      </c>
      <c r="M153">
        <v>0.698571295172285</v>
      </c>
      <c r="N153">
        <v>1</v>
      </c>
      <c r="O153">
        <v>1</v>
      </c>
      <c r="P153">
        <v>0.62995594713656378</v>
      </c>
      <c r="Q153">
        <v>1</v>
      </c>
      <c r="R153">
        <v>0.17073170731707307</v>
      </c>
      <c r="S153">
        <v>0.5</v>
      </c>
      <c r="U153" s="7">
        <f t="shared" ref="U153:U154" si="56">(J153-$J$155)^2+(K153-$K$155)^2+(L153-$L$155)^2+(M153-$M$155)^2+(N153-$N$155)^2+(O153-$O$155)+(P153-$P$155)^2+(Q153-$Q$155)^2+(R153-$R$155)^2+(S153-$S$155)^2</f>
        <v>0.32817111442258212</v>
      </c>
    </row>
    <row r="154" spans="1:21" x14ac:dyDescent="0.25">
      <c r="A154" s="5" t="s">
        <v>58</v>
      </c>
      <c r="B154" s="7">
        <f t="shared" si="47"/>
        <v>2.384622723190446</v>
      </c>
      <c r="C154" s="7">
        <f t="shared" si="48"/>
        <v>2.2245851080754848</v>
      </c>
      <c r="D154" s="7">
        <f t="shared" si="49"/>
        <v>0.83760385455367803</v>
      </c>
      <c r="E154" s="7">
        <f t="shared" si="50"/>
        <v>1.1777505691143642</v>
      </c>
      <c r="F154" s="7">
        <f t="shared" si="51"/>
        <v>1.1470662992883829</v>
      </c>
      <c r="G154">
        <v>3</v>
      </c>
      <c r="I154" s="5" t="s">
        <v>58</v>
      </c>
      <c r="J154">
        <v>0.71370967741935465</v>
      </c>
      <c r="K154">
        <v>1</v>
      </c>
      <c r="L154">
        <v>1</v>
      </c>
      <c r="M154">
        <v>1</v>
      </c>
      <c r="N154">
        <v>0.86900958466453648</v>
      </c>
      <c r="O154">
        <v>0.88333333333333341</v>
      </c>
      <c r="P154">
        <v>0</v>
      </c>
      <c r="Q154">
        <v>1</v>
      </c>
      <c r="R154">
        <v>0</v>
      </c>
      <c r="S154">
        <v>0.33333333333333331</v>
      </c>
      <c r="U154" s="7">
        <f t="shared" si="56"/>
        <v>0.4012843656314784</v>
      </c>
    </row>
    <row r="155" spans="1:21" x14ac:dyDescent="0.25">
      <c r="A155" s="5" t="s">
        <v>33</v>
      </c>
      <c r="B155" s="7">
        <f t="shared" si="47"/>
        <v>1.3098773857082724</v>
      </c>
      <c r="C155" s="7">
        <f t="shared" si="48"/>
        <v>1.1830117523709835</v>
      </c>
      <c r="D155" s="7">
        <f t="shared" si="49"/>
        <v>1.0190068497629392</v>
      </c>
      <c r="E155" s="7">
        <f t="shared" si="50"/>
        <v>0.3706168440091146</v>
      </c>
      <c r="F155" s="7">
        <f t="shared" si="51"/>
        <v>0</v>
      </c>
      <c r="G155">
        <v>5</v>
      </c>
      <c r="J155" s="7">
        <f>AVERAGE(J152:J154)</f>
        <v>0.75604838709677402</v>
      </c>
      <c r="K155" s="7">
        <f t="shared" ref="K155:S155" si="57">AVERAGE(K152:K154)</f>
        <v>0.87072243346007594</v>
      </c>
      <c r="L155" s="7">
        <f t="shared" si="57"/>
        <v>0.77218748966292894</v>
      </c>
      <c r="M155" s="7">
        <f t="shared" si="57"/>
        <v>0.76054409064027151</v>
      </c>
      <c r="N155" s="7">
        <f t="shared" si="57"/>
        <v>0.84877529286474962</v>
      </c>
      <c r="O155" s="7">
        <f t="shared" si="57"/>
        <v>0.84166666666666679</v>
      </c>
      <c r="P155" s="7">
        <f t="shared" si="57"/>
        <v>0.37591776798825255</v>
      </c>
      <c r="Q155" s="7">
        <f t="shared" si="57"/>
        <v>0.99404761904761907</v>
      </c>
      <c r="R155" s="7">
        <f t="shared" si="57"/>
        <v>0.11382113821138205</v>
      </c>
      <c r="S155" s="7">
        <f t="shared" si="57"/>
        <v>0.61111111111111105</v>
      </c>
      <c r="T155" s="7"/>
      <c r="U155" s="7">
        <f>SUM(U152:U154)</f>
        <v>0.84347024044893382</v>
      </c>
    </row>
    <row r="156" spans="1:21" x14ac:dyDescent="0.25">
      <c r="A156" s="5" t="s">
        <v>46</v>
      </c>
      <c r="B156" s="7">
        <f t="shared" si="47"/>
        <v>1.3228712342333386</v>
      </c>
      <c r="C156" s="7">
        <f t="shared" si="48"/>
        <v>1.2809372652026327</v>
      </c>
      <c r="D156" s="7">
        <f t="shared" si="49"/>
        <v>0.94280743371833631</v>
      </c>
      <c r="E156" s="7">
        <f t="shared" si="50"/>
        <v>0</v>
      </c>
      <c r="F156" s="7">
        <f t="shared" si="51"/>
        <v>0.3706168440091146</v>
      </c>
      <c r="G156">
        <v>4</v>
      </c>
      <c r="I156" s="5" t="s">
        <v>108</v>
      </c>
    </row>
    <row r="157" spans="1:21" x14ac:dyDescent="0.25">
      <c r="A157" s="5" t="s">
        <v>48</v>
      </c>
      <c r="B157" s="7">
        <f t="shared" si="47"/>
        <v>0.53515593028526687</v>
      </c>
      <c r="C157" s="7">
        <f t="shared" si="48"/>
        <v>0.84200216445209319</v>
      </c>
      <c r="D157" s="7">
        <f t="shared" si="49"/>
        <v>1.8899348370409417</v>
      </c>
      <c r="E157" s="7">
        <f t="shared" si="50"/>
        <v>1.0366108895274282</v>
      </c>
      <c r="F157" s="7">
        <f t="shared" si="51"/>
        <v>1.1099179067225937</v>
      </c>
      <c r="G157">
        <v>1</v>
      </c>
      <c r="I157" s="5" t="s">
        <v>54</v>
      </c>
      <c r="J157" s="7">
        <v>0.5342741935483869</v>
      </c>
      <c r="K157" s="7">
        <v>0.35107731305449941</v>
      </c>
      <c r="L157" s="7">
        <v>0.27131090602361824</v>
      </c>
      <c r="M157" s="7">
        <v>0.23681015967877497</v>
      </c>
      <c r="N157" s="7">
        <v>0.33865814696485608</v>
      </c>
      <c r="O157" s="7">
        <v>0.60833333333333339</v>
      </c>
      <c r="P157" s="7">
        <v>0.14096916299559484</v>
      </c>
      <c r="Q157" s="7">
        <v>0.3035714285714286</v>
      </c>
      <c r="R157" s="7">
        <v>0.12195121951219509</v>
      </c>
      <c r="S157" s="7">
        <v>0.16666666666666666</v>
      </c>
      <c r="T157" s="7"/>
      <c r="U157" s="7">
        <f>(J157-$J$161)^2+(K157-$K$161)^2+(L157-$L$161)^2+(M157-$M$161)^2+(N157-$N$161)^2+(O157-$O$161)+(P157-$P$161)^2+(Q157-$Q$161)^2+(R157-$R$161)^2+(S157-$S$161)^2</f>
        <v>0.27291109498264243</v>
      </c>
    </row>
    <row r="158" spans="1:21" x14ac:dyDescent="0.25">
      <c r="A158" s="5" t="s">
        <v>47</v>
      </c>
      <c r="B158" s="7">
        <f t="shared" si="47"/>
        <v>0.6914009265646871</v>
      </c>
      <c r="C158" s="7">
        <f t="shared" si="48"/>
        <v>0.30900849004937969</v>
      </c>
      <c r="D158" s="7">
        <f t="shared" si="49"/>
        <v>2.035572772061105</v>
      </c>
      <c r="E158" s="7">
        <f t="shared" si="50"/>
        <v>1.2080267420387043</v>
      </c>
      <c r="F158" s="7">
        <f t="shared" si="51"/>
        <v>1.0560624014126321</v>
      </c>
      <c r="G158">
        <v>2</v>
      </c>
      <c r="I158" s="5" t="s">
        <v>55</v>
      </c>
      <c r="J158" s="7">
        <v>0.56249999999999967</v>
      </c>
      <c r="K158" s="7">
        <v>0.10519645120405567</v>
      </c>
      <c r="L158" s="7">
        <v>0.13773940656941555</v>
      </c>
      <c r="M158" s="7">
        <v>9.8328508730973985E-2</v>
      </c>
      <c r="N158" s="7">
        <v>0.57827476038338654</v>
      </c>
      <c r="O158" s="7">
        <v>0.625</v>
      </c>
      <c r="P158" s="7">
        <v>0.57268722466960331</v>
      </c>
      <c r="Q158" s="7">
        <v>0.27678571428571419</v>
      </c>
      <c r="R158" s="7">
        <v>0.43902439024390233</v>
      </c>
      <c r="S158" s="7">
        <v>0.66666666666666663</v>
      </c>
      <c r="T158" s="7"/>
      <c r="U158" s="7">
        <f t="shared" ref="U158:U160" si="58">(J158-$J$161)^2+(K158-$K$161)^2+(L158-$L$161)^2+(M158-$M$161)^2+(N158-$N$161)^2+(O158-$O$161)+(P158-$P$161)^2+(Q158-$Q$161)^2+(R158-$R$161)^2+(S158-$S$161)^2</f>
        <v>0.47412281416075786</v>
      </c>
    </row>
    <row r="159" spans="1:21" x14ac:dyDescent="0.25">
      <c r="A159" s="5" t="s">
        <v>60</v>
      </c>
      <c r="B159" s="7">
        <f t="shared" si="47"/>
        <v>1.5293587414176075</v>
      </c>
      <c r="C159" s="7">
        <f t="shared" si="48"/>
        <v>1.4430075118813199</v>
      </c>
      <c r="D159" s="7">
        <f t="shared" si="49"/>
        <v>0.83461504952552479</v>
      </c>
      <c r="E159" s="7">
        <f t="shared" si="50"/>
        <v>0.42077772478464015</v>
      </c>
      <c r="F159" s="7">
        <f t="shared" si="51"/>
        <v>0.45586540130482539</v>
      </c>
      <c r="G159">
        <v>4</v>
      </c>
      <c r="I159" s="5" t="s">
        <v>46</v>
      </c>
      <c r="J159" s="7">
        <v>0.63306451612903247</v>
      </c>
      <c r="K159" s="7">
        <v>0.5171102661596958</v>
      </c>
      <c r="L159" s="7">
        <v>0.44973702490820694</v>
      </c>
      <c r="M159" s="7">
        <v>0.42898496591651886</v>
      </c>
      <c r="N159" s="7">
        <v>0.60383386581469634</v>
      </c>
      <c r="O159" s="7">
        <v>0.52499999999999991</v>
      </c>
      <c r="P159" s="7">
        <v>0.47136563876651977</v>
      </c>
      <c r="Q159" s="7">
        <v>0.68749999999999989</v>
      </c>
      <c r="R159" s="7">
        <v>0.26829268292682928</v>
      </c>
      <c r="S159" s="7">
        <v>0.16666666666666666</v>
      </c>
      <c r="T159" s="7"/>
      <c r="U159" s="7">
        <f t="shared" si="58"/>
        <v>1.2312276747578982E-2</v>
      </c>
    </row>
    <row r="160" spans="1:21" x14ac:dyDescent="0.25">
      <c r="A160" s="5" t="s">
        <v>51</v>
      </c>
      <c r="B160" s="7">
        <f t="shared" si="47"/>
        <v>0.75474356199805215</v>
      </c>
      <c r="C160" s="7">
        <f t="shared" si="48"/>
        <v>0.65779634906508078</v>
      </c>
      <c r="D160" s="7">
        <f t="shared" si="49"/>
        <v>1.5820454037618512</v>
      </c>
      <c r="E160" s="7">
        <f t="shared" si="50"/>
        <v>0.76775759412298661</v>
      </c>
      <c r="F160" s="7">
        <f t="shared" si="51"/>
        <v>0.64446860333084377</v>
      </c>
      <c r="G160">
        <v>5</v>
      </c>
      <c r="I160" s="5" t="s">
        <v>60</v>
      </c>
      <c r="J160" s="7">
        <v>0.52822580645161277</v>
      </c>
      <c r="K160" s="7">
        <v>0.67934093789607075</v>
      </c>
      <c r="L160" s="7">
        <v>0.55512553339287507</v>
      </c>
      <c r="M160" s="7">
        <v>0.5314221682696797</v>
      </c>
      <c r="N160" s="7">
        <v>0.51757188498402551</v>
      </c>
      <c r="O160" s="7">
        <v>0.6166666666666667</v>
      </c>
      <c r="P160" s="7">
        <v>0.70044052863436113</v>
      </c>
      <c r="Q160" s="7">
        <v>0.91071428571428559</v>
      </c>
      <c r="R160" s="7">
        <v>0.31707317073170727</v>
      </c>
      <c r="S160" s="7">
        <v>0.16666666666666666</v>
      </c>
      <c r="T160" s="7"/>
      <c r="U160" s="7">
        <f t="shared" si="58"/>
        <v>0.38190924978336743</v>
      </c>
    </row>
    <row r="161" spans="1:21" x14ac:dyDescent="0.25">
      <c r="A161" s="5" t="s">
        <v>43</v>
      </c>
      <c r="B161" s="7">
        <f t="shared" si="47"/>
        <v>0.7027181013589765</v>
      </c>
      <c r="C161" s="7">
        <f t="shared" si="48"/>
        <v>0.63620769805116795</v>
      </c>
      <c r="D161" s="7">
        <f t="shared" si="49"/>
        <v>1.6837270212412168</v>
      </c>
      <c r="E161" s="7">
        <f t="shared" si="50"/>
        <v>0.91338899087005931</v>
      </c>
      <c r="F161" s="7">
        <f t="shared" si="51"/>
        <v>0.78381666435698405</v>
      </c>
      <c r="G161">
        <v>2</v>
      </c>
      <c r="J161" s="7">
        <f>AVERAGE(J157:J160)</f>
        <v>0.56451612903225801</v>
      </c>
      <c r="K161" s="7">
        <f t="shared" ref="K161:S161" si="59">AVERAGE(K157:K160)</f>
        <v>0.41318124207858042</v>
      </c>
      <c r="L161" s="7">
        <f t="shared" si="59"/>
        <v>0.35347821772352894</v>
      </c>
      <c r="M161" s="7">
        <f t="shared" si="59"/>
        <v>0.32388645064898691</v>
      </c>
      <c r="N161" s="7">
        <f t="shared" si="59"/>
        <v>0.50958466453674112</v>
      </c>
      <c r="O161" s="7">
        <f t="shared" si="59"/>
        <v>0.59375</v>
      </c>
      <c r="P161" s="7">
        <f t="shared" si="59"/>
        <v>0.47136563876651977</v>
      </c>
      <c r="Q161" s="7">
        <f t="shared" si="59"/>
        <v>0.5446428571428571</v>
      </c>
      <c r="R161" s="7">
        <f t="shared" si="59"/>
        <v>0.28658536585365846</v>
      </c>
      <c r="S161" s="7">
        <f t="shared" si="59"/>
        <v>0.29166666666666663</v>
      </c>
      <c r="T161" s="7"/>
      <c r="U161" s="7">
        <f>SUM(U157:U160)</f>
        <v>1.1412554356743467</v>
      </c>
    </row>
    <row r="162" spans="1:21" x14ac:dyDescent="0.25">
      <c r="I162" s="5" t="s">
        <v>109</v>
      </c>
    </row>
    <row r="163" spans="1:21" x14ac:dyDescent="0.25">
      <c r="I163" s="5" t="s">
        <v>52</v>
      </c>
      <c r="J163" s="7">
        <v>0.47379032258064507</v>
      </c>
      <c r="K163" s="7">
        <v>0.47908745247148282</v>
      </c>
      <c r="L163" s="7">
        <v>0.34047831695941272</v>
      </c>
      <c r="M163" s="7">
        <v>0.36221869455598099</v>
      </c>
      <c r="N163" s="7">
        <v>0.47603833865814682</v>
      </c>
      <c r="O163" s="7">
        <v>0.49166666666666681</v>
      </c>
      <c r="P163" s="7">
        <v>0.52422907488986781</v>
      </c>
      <c r="Q163" s="7">
        <v>0.81250000000000011</v>
      </c>
      <c r="R163" s="7">
        <v>0.36585365853658525</v>
      </c>
      <c r="S163" s="7">
        <v>0.66666666666666663</v>
      </c>
      <c r="T163" s="7"/>
      <c r="U163" s="7">
        <f>(J163-$J$170)^2+(K163-$K$170)^2+(L163-$L$170)^2+(M163-$M$170)^2+(N163-$N$170)^2+(O163-$O$170)+(P163-$P$170)^2+(Q163-$Q$170)^2+(R163-$R$170)^2+(S163-$S$170)^2</f>
        <v>0.13196268137179404</v>
      </c>
    </row>
    <row r="164" spans="1:21" x14ac:dyDescent="0.25">
      <c r="I164" s="5" t="s">
        <v>49</v>
      </c>
      <c r="J164" s="7">
        <v>0.63104838709677469</v>
      </c>
      <c r="K164" s="7">
        <v>0.38149556400506962</v>
      </c>
      <c r="L164" s="7">
        <v>0.25146372928450944</v>
      </c>
      <c r="M164" s="7">
        <v>0.20123260808665613</v>
      </c>
      <c r="N164" s="7">
        <v>0.78274760383386577</v>
      </c>
      <c r="O164" s="7">
        <v>0.75833333333333341</v>
      </c>
      <c r="P164" s="7">
        <v>1</v>
      </c>
      <c r="Q164" s="7">
        <v>0.78571428571428559</v>
      </c>
      <c r="R164" s="7">
        <v>0.97560975609756106</v>
      </c>
      <c r="S164" s="7">
        <v>0.5</v>
      </c>
      <c r="T164" s="7"/>
      <c r="U164" s="7">
        <f t="shared" ref="U164:U169" si="60">(J164-$J$170)^2+(K164-$K$170)^2+(L164-$L$170)^2+(M164-$M$170)^2+(N164-$N$170)^2+(O164-$O$170)+(P164-$P$170)^2+(Q164-$Q$170)^2+(R164-$R$170)^2+(S164-$S$170)^2</f>
        <v>0.61360649406328271</v>
      </c>
    </row>
    <row r="165" spans="1:21" x14ac:dyDescent="0.25">
      <c r="I165" s="5" t="s">
        <v>45</v>
      </c>
      <c r="J165" s="7">
        <v>0.52419354838709664</v>
      </c>
      <c r="K165" s="7">
        <v>0.56653992395437258</v>
      </c>
      <c r="L165" s="7">
        <v>0.47851543117991485</v>
      </c>
      <c r="M165" s="7">
        <v>0.46671024372023545</v>
      </c>
      <c r="N165" s="7">
        <v>0.63258785942492013</v>
      </c>
      <c r="O165" s="7">
        <v>0.66666666666666674</v>
      </c>
      <c r="P165" s="7">
        <v>0.66519823788546262</v>
      </c>
      <c r="Q165" s="7">
        <v>0.42857142857142855</v>
      </c>
      <c r="R165" s="7">
        <v>0.36585365853658525</v>
      </c>
      <c r="S165" s="7">
        <v>0.5</v>
      </c>
      <c r="T165" s="7"/>
      <c r="U165" s="7">
        <f t="shared" si="60"/>
        <v>0.17287646231516526</v>
      </c>
    </row>
    <row r="166" spans="1:21" x14ac:dyDescent="0.25">
      <c r="I166" s="5" t="s">
        <v>57</v>
      </c>
      <c r="J166" s="7">
        <v>0.71169354838709686</v>
      </c>
      <c r="K166" s="7">
        <v>0.79340937896070973</v>
      </c>
      <c r="L166" s="7">
        <v>0.69008633521881535</v>
      </c>
      <c r="M166" s="7">
        <v>0.67335885703613785</v>
      </c>
      <c r="N166" s="7">
        <v>0.83067092651757168</v>
      </c>
      <c r="O166" s="7">
        <v>0.89166666666666672</v>
      </c>
      <c r="P166" s="7">
        <v>0.65638766519823766</v>
      </c>
      <c r="Q166" s="7">
        <v>0.84821428571428559</v>
      </c>
      <c r="R166" s="7">
        <v>1</v>
      </c>
      <c r="S166" s="7">
        <v>0.33333333333333331</v>
      </c>
      <c r="T166" s="7"/>
      <c r="U166" s="7">
        <f t="shared" si="60"/>
        <v>0.78417162529903695</v>
      </c>
    </row>
    <row r="167" spans="1:21" x14ac:dyDescent="0.25">
      <c r="I167" s="5" t="s">
        <v>34</v>
      </c>
      <c r="J167" s="7">
        <v>0.33467741935483875</v>
      </c>
      <c r="K167" s="7">
        <v>0.56273764258555126</v>
      </c>
      <c r="L167" s="7">
        <v>0.53458370546789713</v>
      </c>
      <c r="M167" s="7">
        <v>0.50210103651134563</v>
      </c>
      <c r="N167" s="7">
        <v>0.59424920127795522</v>
      </c>
      <c r="O167" s="7">
        <v>0.51666666666666661</v>
      </c>
      <c r="P167" s="7">
        <v>0.6387665198237884</v>
      </c>
      <c r="Q167" s="7">
        <v>0.57142857142857129</v>
      </c>
      <c r="R167" s="7">
        <v>0.56097560975609739</v>
      </c>
      <c r="S167" s="7">
        <v>0.33333333333333331</v>
      </c>
      <c r="T167" s="7"/>
      <c r="U167" s="7">
        <f t="shared" si="60"/>
        <v>-1.8033728849129616E-2</v>
      </c>
    </row>
    <row r="168" spans="1:21" x14ac:dyDescent="0.25">
      <c r="I168" s="5" t="s">
        <v>33</v>
      </c>
      <c r="J168" s="7">
        <v>0.40322580645161266</v>
      </c>
      <c r="K168" s="7">
        <v>0.62357414448669191</v>
      </c>
      <c r="L168" s="7">
        <v>0.6002778604743475</v>
      </c>
      <c r="M168" s="7">
        <v>0.56167709403305643</v>
      </c>
      <c r="N168" s="7">
        <v>0.61341853035143756</v>
      </c>
      <c r="O168" s="7">
        <v>0.52499999999999991</v>
      </c>
      <c r="P168" s="7">
        <v>0.55506607929515406</v>
      </c>
      <c r="Q168" s="7">
        <v>0.52678571428571441</v>
      </c>
      <c r="R168" s="7">
        <v>0.63414634146341453</v>
      </c>
      <c r="S168" s="7">
        <v>0.5</v>
      </c>
      <c r="T168" s="7"/>
      <c r="U168" s="7">
        <f t="shared" si="60"/>
        <v>-5.4496404601251484E-3</v>
      </c>
    </row>
    <row r="169" spans="1:21" x14ac:dyDescent="0.25">
      <c r="I169" s="5" t="s">
        <v>51</v>
      </c>
      <c r="J169" s="7">
        <v>0.2963709677419355</v>
      </c>
      <c r="K169" s="7">
        <v>0.37896070975918866</v>
      </c>
      <c r="L169" s="7">
        <v>0.39664582713109081</v>
      </c>
      <c r="M169" s="7">
        <v>0.37333084321598664</v>
      </c>
      <c r="N169" s="7">
        <v>0.45047923322683708</v>
      </c>
      <c r="O169" s="7">
        <v>0.29166666666666669</v>
      </c>
      <c r="P169" s="7">
        <v>0.68722466960352402</v>
      </c>
      <c r="Q169" s="7">
        <v>0.11607142857142841</v>
      </c>
      <c r="R169" s="7">
        <v>0.51219512195121963</v>
      </c>
      <c r="S169" s="7">
        <v>0.5</v>
      </c>
      <c r="T169" s="7"/>
      <c r="U169" s="7">
        <f t="shared" si="60"/>
        <v>3.640148643296922E-2</v>
      </c>
    </row>
    <row r="170" spans="1:21" x14ac:dyDescent="0.25">
      <c r="J170" s="7">
        <f>AVERAGE(J163:J169)</f>
        <v>0.48214285714285715</v>
      </c>
      <c r="K170" s="7">
        <f t="shared" ref="K170:S170" si="61">AVERAGE(K163:K169)</f>
        <v>0.54082925946043803</v>
      </c>
      <c r="L170" s="7">
        <f t="shared" si="61"/>
        <v>0.47029302938799822</v>
      </c>
      <c r="M170" s="7">
        <f t="shared" si="61"/>
        <v>0.44866133959419985</v>
      </c>
      <c r="N170" s="7">
        <f t="shared" si="61"/>
        <v>0.62574167047010487</v>
      </c>
      <c r="O170" s="7">
        <f t="shared" si="61"/>
        <v>0.59166666666666667</v>
      </c>
      <c r="P170" s="7">
        <f t="shared" si="61"/>
        <v>0.67526746381371916</v>
      </c>
      <c r="Q170" s="7">
        <f t="shared" si="61"/>
        <v>0.5841836734693876</v>
      </c>
      <c r="R170" s="7">
        <f t="shared" si="61"/>
        <v>0.63066202090592327</v>
      </c>
      <c r="S170" s="7">
        <f t="shared" si="61"/>
        <v>0.47619047619047616</v>
      </c>
      <c r="T170" s="7"/>
      <c r="U170" s="7">
        <f>SUM(U163:U169)</f>
        <v>1.7155353801729931</v>
      </c>
    </row>
    <row r="171" spans="1:21" x14ac:dyDescent="0.25">
      <c r="I171" s="5" t="s">
        <v>97</v>
      </c>
      <c r="J171" s="7">
        <f>U170+U161+U155+U150+U145</f>
        <v>4.3459763907138278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379F7-A726-4FBB-AAE9-6556F1F09C13}">
  <dimension ref="A1:AK132"/>
  <sheetViews>
    <sheetView topLeftCell="B1" zoomScaleNormal="100" workbookViewId="0">
      <selection activeCell="W11" sqref="W11"/>
    </sheetView>
  </sheetViews>
  <sheetFormatPr defaultRowHeight="15" x14ac:dyDescent="0.25"/>
  <cols>
    <col min="1" max="1" width="15.42578125" bestFit="1" customWidth="1"/>
    <col min="2" max="2" width="14.85546875" bestFit="1" customWidth="1"/>
    <col min="3" max="3" width="16.42578125" bestFit="1" customWidth="1"/>
    <col min="4" max="5" width="14.5703125" bestFit="1" customWidth="1"/>
    <col min="6" max="6" width="13.42578125" bestFit="1" customWidth="1"/>
    <col min="7" max="7" width="14.42578125" bestFit="1" customWidth="1"/>
    <col min="8" max="8" width="13.42578125" bestFit="1" customWidth="1"/>
    <col min="9" max="11" width="13.5703125" bestFit="1" customWidth="1"/>
    <col min="28" max="28" width="18.28515625" bestFit="1" customWidth="1"/>
    <col min="29" max="29" width="23.140625" bestFit="1" customWidth="1"/>
    <col min="30" max="30" width="24.7109375" bestFit="1" customWidth="1"/>
    <col min="31" max="31" width="22.7109375" bestFit="1" customWidth="1"/>
    <col min="32" max="32" width="23.28515625" bestFit="1" customWidth="1"/>
    <col min="33" max="33" width="27.28515625" bestFit="1" customWidth="1"/>
    <col min="36" max="36" width="12" bestFit="1" customWidth="1"/>
  </cols>
  <sheetData>
    <row r="1" spans="1:33" x14ac:dyDescent="0.25">
      <c r="A1" s="4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s="13" t="s">
        <v>111</v>
      </c>
      <c r="O1" t="s">
        <v>71</v>
      </c>
      <c r="Q1" t="s">
        <v>72</v>
      </c>
      <c r="R1" t="s">
        <v>73</v>
      </c>
      <c r="S1" t="s">
        <v>74</v>
      </c>
      <c r="T1" t="s">
        <v>110</v>
      </c>
      <c r="U1" t="s">
        <v>75</v>
      </c>
      <c r="V1" t="s">
        <v>87</v>
      </c>
      <c r="X1" t="s">
        <v>88</v>
      </c>
      <c r="Y1" t="s">
        <v>89</v>
      </c>
      <c r="AB1" t="s">
        <v>72</v>
      </c>
      <c r="AC1" t="s">
        <v>73</v>
      </c>
      <c r="AD1" t="s">
        <v>74</v>
      </c>
      <c r="AE1" t="s">
        <v>110</v>
      </c>
      <c r="AF1" t="s">
        <v>75</v>
      </c>
      <c r="AG1" t="s">
        <v>87</v>
      </c>
    </row>
    <row r="2" spans="1:33" ht="14.25" customHeight="1" x14ac:dyDescent="0.25">
      <c r="A2" s="5" t="s">
        <v>42</v>
      </c>
      <c r="B2" s="7">
        <v>1.5789473684210522</v>
      </c>
      <c r="C2" s="11">
        <v>56.89473684210526</v>
      </c>
      <c r="D2" s="7">
        <v>532.65789473684208</v>
      </c>
      <c r="E2" s="7">
        <v>449.10526315789474</v>
      </c>
      <c r="F2" s="7">
        <v>14.394736842105264</v>
      </c>
      <c r="G2" s="7">
        <v>4.9473684210526319</v>
      </c>
      <c r="H2" s="7">
        <v>10.526315789473685</v>
      </c>
      <c r="I2" s="7">
        <v>6.6052631578947372</v>
      </c>
      <c r="J2" s="11">
        <v>83.394259813476538</v>
      </c>
      <c r="O2" s="7">
        <f t="shared" ref="O2:O21" si="0">B2 / SQRT(SUMSQ($B2:$K2))</f>
        <v>2.2419541688976021E-3</v>
      </c>
      <c r="Q2" s="15">
        <f>C2 / SQRT(SUMSQ($B2:$K2))</f>
        <v>8.0785081885943619E-2</v>
      </c>
      <c r="R2" s="15">
        <f t="shared" ref="R2:R21" si="1">D2 / SQRT(SUMSQ($B2:$K2))</f>
        <v>0.75632323887760622</v>
      </c>
      <c r="S2" s="15">
        <f t="shared" ref="S2:S21" si="2">E2 / SQRT(SUMSQ($B2:$K2))</f>
        <v>0.63768649744010819</v>
      </c>
      <c r="T2" s="15">
        <f t="shared" ref="T2:T21" si="3">J2 / SQRT(SUMSQ($B2:$J2))</f>
        <v>0.11841186868560391</v>
      </c>
      <c r="U2" s="15">
        <f t="shared" ref="U2:U21" si="4">F2 / SQRT(SUMSQ($B2:$K2))</f>
        <v>2.0439148839783147E-2</v>
      </c>
      <c r="V2" s="15">
        <f t="shared" ref="V2:V21" si="5">G2 / SQRT(SUMSQ($B2:$K2))</f>
        <v>7.024789729212489E-3</v>
      </c>
      <c r="W2" s="7"/>
      <c r="X2" s="7">
        <f t="shared" ref="X2:X21" si="6">H2 / SQRT(SUMSQ($B2:$K2))</f>
        <v>1.494636112598402E-2</v>
      </c>
      <c r="Y2" s="7">
        <f t="shared" ref="Y2:Y21" si="7">I2 / SQRT(SUMSQ($B2:$K2))</f>
        <v>9.3788416065549718E-3</v>
      </c>
      <c r="AB2" t="str">
        <f t="shared" ref="AB2:AB11" si="8">_xlfn.LET(
 _xlpm.x,Q2,
 _xlpm.min,MIN($Q$2:$Q$11),
 _xlpm.max,MAX($Q$2:$Q$11),
 _xlpm.persen,(_xlpm.x-_xlpm.min)/(_xlpm.max-_xlpm.min)*100,
 IF(_xlpm.persen&lt;=25,"Poss Sangat Sedikit",
   IF(_xlpm.persen&lt;=50,"Poss Cukup Sedikit",
     IF(_xlpm.persen&lt;=75,"Poss Cukup Banyak",
       "Poss Sangat Banyak"))))</f>
        <v>Poss Cukup Sedikit</v>
      </c>
      <c r="AC2" t="str">
        <f t="shared" ref="AC2:AC11" si="9">_xlfn.LET(
 _xlpm.x,R2,
 _xlpm.min,MIN($R$2:$R$11),
 _xlpm.max,MAX($R$2:$R$11),
 _xlpm.persen,(_xlpm.x-_xlpm.min)/(_xlpm.max-_xlpm.min)*100,
 IF(_xlpm.persen&lt;=25,"Total Pass Sangat Sedikit",
   IF(_xlpm.persen&lt;=50,"Total Pass Cukup Sedikit",
     IF(_xlpm.persen&lt;=75,"Total Pass Cukup Banyak",
       "Total Pass Sangat Banyak"))))</f>
        <v>Total Pass Sangat Sedikit</v>
      </c>
      <c r="AD2" t="str">
        <f t="shared" ref="AD2:AD11" si="10">_xlfn.LET(
 _xlpm.x,S2,
 _xlpm.min,MIN($S$2:$S$11),
 _xlpm.max,MAX($S$2:$S$11),
 _xlpm.persen,(_xlpm.x-_xlpm.min)/(_xlpm.max-_xlpm.min)*100,
 IF(_xlpm.persen&lt;=25,"Pass Sukses Sangat Sedikit",
   IF(_xlpm.persen&lt;=50,"Pass Sukses Cukup Sedikit",
     IF(_xlpm.persen&lt;=75,"Pass Sukses Cukup Banyak",
       "Pass Sukses Sangat Banyak"))))</f>
        <v>Pass Sukses Sangat Banyak</v>
      </c>
      <c r="AE2" t="str">
        <f t="shared" ref="AE2:AE11" si="11">_xlfn.LET(
 _xlpm.x,T2,
 _xlpm.min,MIN($T$2:$T$11),
 _xlpm.max,MAX($T$2:$T$11),
 _xlpm.persen,(_xlpm.x-_xlpm.min)/(_xlpm.max-_xlpm.min)*100,
 IF(_xlpm.persen&lt;=25,"Pass Rate Sangat Sedikit",
   IF(_xlpm.persen&lt;=50,"Pass Rate Cukup Sedikit",
     IF(_xlpm.persen&lt;=75,"Pass Rate Cukup Banyak",
       "Pass Rate Sangat Banyak"))))</f>
        <v>Pass Rate Sangat Sedikit</v>
      </c>
      <c r="AF2" t="str">
        <f t="shared" ref="AF2:AF11" si="12">_xlfn.LET(
 _xlpm.x,U2,
 _xlpm.min,MIN($U$2:$U$11),
 _xlpm.max,MAX($U$2:$U$11),
 _xlpm.persen,(_xlpm.x-_xlpm.min)/(_xlpm.max-_xlpm.min)*100,
 IF(_xlpm.persen&lt;=25,"Total Shot Sangat Sedikit",
   IF(_xlpm.persen&lt;=50,"Total Shot Cukup Sedikit",
     IF(_xlpm.persen&lt;=75,"Total Shot Cukup Banyak",
       "Total Shot Sangat Banyak"))))</f>
        <v>Total Shot Sangat Sedikit</v>
      </c>
      <c r="AG2" t="str">
        <f t="shared" ref="AG2:AG11" si="13">_xlfn.LET(
 _xlpm.x,V2,
 _xlpm.min,MIN($V$2:$V$11),
 _xlpm.max,MAX($V$2:$V$11),
 _xlpm.persen,(_xlpm.x-_xlpm.min)/(_xlpm.max-_xlpm.min)*100,
 IF(_xlpm.persen&lt;=25,"Shot on Target Sangat Sedikit",
   IF(_xlpm.persen&lt;=50,"Shot on Target Cukup Sedikit",
     IF(_xlpm.persen&lt;=75,"Shot on Target Cukup Banyak",
       "Shot on Target Sangat Banyak"))))</f>
        <v>Shot on Target Sangat Sedikit</v>
      </c>
    </row>
    <row r="3" spans="1:33" x14ac:dyDescent="0.25">
      <c r="A3" s="5" t="s">
        <v>52</v>
      </c>
      <c r="B3" s="7">
        <v>1.4736842105263157</v>
      </c>
      <c r="C3" s="11">
        <v>50.526315789473685</v>
      </c>
      <c r="D3" s="7">
        <v>468.34210526315792</v>
      </c>
      <c r="E3" s="7">
        <v>386.86842105263156</v>
      </c>
      <c r="F3" s="7">
        <v>12.736842105263158</v>
      </c>
      <c r="G3" s="7">
        <v>4.4736842105263159</v>
      </c>
      <c r="H3" s="7">
        <v>10.684210526315789</v>
      </c>
      <c r="I3" s="7">
        <v>6.1052631578947372</v>
      </c>
      <c r="J3" s="11">
        <v>81.684417313068394</v>
      </c>
      <c r="O3" s="7">
        <f t="shared" si="0"/>
        <v>2.3951341584248715E-3</v>
      </c>
      <c r="Q3" s="7">
        <f t="shared" ref="Q3:Q21" si="14">C3 / SQRT(SUMSQ($B3:$K3))</f>
        <v>8.2118885431709879E-2</v>
      </c>
      <c r="R3" s="7">
        <f t="shared" si="1"/>
        <v>0.76118218959799</v>
      </c>
      <c r="S3" s="7">
        <f t="shared" si="2"/>
        <v>0.62876548683935773</v>
      </c>
      <c r="T3" s="7">
        <f t="shared" si="3"/>
        <v>0.13275920086548854</v>
      </c>
      <c r="U3" s="7">
        <f t="shared" si="4"/>
        <v>2.0700802369243532E-2</v>
      </c>
      <c r="V3" s="7">
        <f t="shared" si="5"/>
        <v>7.2709429809326457E-3</v>
      </c>
      <c r="X3" s="7">
        <f t="shared" si="6"/>
        <v>1.7364722648580317E-2</v>
      </c>
      <c r="Y3" s="7">
        <f t="shared" si="7"/>
        <v>9.9226986563316112E-3</v>
      </c>
      <c r="AB3" t="str">
        <f t="shared" si="8"/>
        <v>Poss Cukup Banyak</v>
      </c>
      <c r="AC3" t="str">
        <f t="shared" si="9"/>
        <v>Total Pass Sangat Sedikit</v>
      </c>
      <c r="AD3" t="str">
        <f t="shared" si="10"/>
        <v>Pass Sukses Sangat Banyak</v>
      </c>
      <c r="AE3" t="str">
        <f t="shared" si="11"/>
        <v>Pass Rate Cukup Sedikit</v>
      </c>
      <c r="AF3" t="str">
        <f t="shared" si="12"/>
        <v>Total Shot Sangat Sedikit</v>
      </c>
      <c r="AG3" t="str">
        <f t="shared" si="13"/>
        <v>Shot on Target Sangat Sedikit</v>
      </c>
    </row>
    <row r="4" spans="1:33" x14ac:dyDescent="0.25">
      <c r="A4" s="5" t="s">
        <v>49</v>
      </c>
      <c r="B4" s="7">
        <v>1.6789473684210532</v>
      </c>
      <c r="C4" s="11">
        <v>48.5</v>
      </c>
      <c r="D4" s="7">
        <v>444.73684210526318</v>
      </c>
      <c r="E4" s="7">
        <v>341.5</v>
      </c>
      <c r="F4" s="7">
        <v>15.263157894736842</v>
      </c>
      <c r="G4" s="7">
        <v>5.3157894736842106</v>
      </c>
      <c r="H4" s="7">
        <v>13.526315789473685</v>
      </c>
      <c r="I4" s="7">
        <v>6.0263157894736841</v>
      </c>
      <c r="J4" s="11">
        <v>76.275310576047232</v>
      </c>
      <c r="O4" s="7">
        <f t="shared" si="0"/>
        <v>2.9538677795567046E-3</v>
      </c>
      <c r="Q4" s="15">
        <f t="shared" si="14"/>
        <v>8.5328813757413871E-2</v>
      </c>
      <c r="R4" s="15">
        <f t="shared" si="1"/>
        <v>0.78245086950639953</v>
      </c>
      <c r="S4" s="15">
        <f t="shared" si="2"/>
        <v>0.60082041027127497</v>
      </c>
      <c r="T4" s="15">
        <f t="shared" si="3"/>
        <v>0.13419550042128731</v>
      </c>
      <c r="U4" s="15">
        <f t="shared" si="4"/>
        <v>2.6853343450515488E-2</v>
      </c>
      <c r="V4" s="15">
        <f t="shared" si="5"/>
        <v>9.3523713396622913E-3</v>
      </c>
      <c r="X4" s="7">
        <f t="shared" si="6"/>
        <v>2.3797618161318899E-2</v>
      </c>
      <c r="Y4" s="7">
        <f t="shared" si="7"/>
        <v>1.0602440776151804E-2</v>
      </c>
      <c r="AB4" t="str">
        <f t="shared" si="8"/>
        <v>Poss Sangat Banyak</v>
      </c>
      <c r="AC4" t="str">
        <f t="shared" si="9"/>
        <v>Total Pass Sangat Banyak</v>
      </c>
      <c r="AD4" t="str">
        <f t="shared" si="10"/>
        <v>Pass Sukses Sangat Sedikit</v>
      </c>
      <c r="AE4" t="str">
        <f t="shared" si="11"/>
        <v>Pass Rate Cukup Banyak</v>
      </c>
      <c r="AF4" t="str">
        <f t="shared" si="12"/>
        <v>Total Shot Sangat Banyak</v>
      </c>
      <c r="AG4" t="str">
        <f t="shared" si="13"/>
        <v>Shot on Target Sangat Banyak</v>
      </c>
    </row>
    <row r="5" spans="1:33" x14ac:dyDescent="0.25">
      <c r="A5" s="5" t="s">
        <v>54</v>
      </c>
      <c r="B5" s="7">
        <v>1.5526315789473681</v>
      </c>
      <c r="C5" s="11">
        <v>47.868421052631582</v>
      </c>
      <c r="D5" s="7">
        <v>450</v>
      </c>
      <c r="E5" s="7">
        <v>351.5263157894737</v>
      </c>
      <c r="F5" s="7">
        <v>11.605263157894736</v>
      </c>
      <c r="G5" s="7">
        <v>4.8421052631578947</v>
      </c>
      <c r="H5" s="7">
        <v>8.3947368421052637</v>
      </c>
      <c r="I5" s="7">
        <v>4.6052631578947372</v>
      </c>
      <c r="J5" s="11">
        <v>77.688921112012608</v>
      </c>
      <c r="O5" s="7">
        <f t="shared" si="0"/>
        <v>2.6839415263351278E-3</v>
      </c>
      <c r="Q5" s="7">
        <f t="shared" si="14"/>
        <v>8.2747281972942358E-2</v>
      </c>
      <c r="R5" s="7">
        <f t="shared" si="1"/>
        <v>0.77788813729374062</v>
      </c>
      <c r="S5" s="7">
        <f t="shared" si="2"/>
        <v>0.60766255777601097</v>
      </c>
      <c r="T5" s="7">
        <f t="shared" si="3"/>
        <v>0.1342962002937419</v>
      </c>
      <c r="U5" s="7">
        <f t="shared" si="4"/>
        <v>2.0061325645996466E-2</v>
      </c>
      <c r="V5" s="7">
        <f t="shared" si="5"/>
        <v>8.370258319418027E-3</v>
      </c>
      <c r="X5" s="7">
        <f t="shared" si="6"/>
        <v>1.4511480455947559E-2</v>
      </c>
      <c r="Y5" s="7">
        <f t="shared" si="7"/>
        <v>7.9608435103160589E-3</v>
      </c>
      <c r="AB5" t="str">
        <f t="shared" si="8"/>
        <v>Poss Cukup Banyak</v>
      </c>
      <c r="AC5" t="str">
        <f t="shared" si="9"/>
        <v>Total Pass Cukup Banyak</v>
      </c>
      <c r="AD5" t="str">
        <f t="shared" si="10"/>
        <v>Pass Sukses Cukup Sedikit</v>
      </c>
      <c r="AE5" t="str">
        <f t="shared" si="11"/>
        <v>Pass Rate Cukup Banyak</v>
      </c>
      <c r="AF5" t="str">
        <f t="shared" si="12"/>
        <v>Total Shot Sangat Sedikit</v>
      </c>
      <c r="AG5" t="str">
        <f t="shared" si="13"/>
        <v>Shot on Target Cukup Banyak</v>
      </c>
    </row>
    <row r="6" spans="1:33" x14ac:dyDescent="0.25">
      <c r="A6" s="5" t="s">
        <v>45</v>
      </c>
      <c r="B6" s="7">
        <v>1.5394736842105261</v>
      </c>
      <c r="C6" s="11">
        <v>52.342105263157897</v>
      </c>
      <c r="D6" s="7">
        <v>504.94736842105266</v>
      </c>
      <c r="E6" s="7">
        <v>416.31578947368422</v>
      </c>
      <c r="F6" s="7">
        <v>14.026315789473685</v>
      </c>
      <c r="G6" s="7">
        <v>5.0263157894736841</v>
      </c>
      <c r="H6" s="7">
        <v>11.526315789473685</v>
      </c>
      <c r="I6" s="7">
        <v>4.9736842105263159</v>
      </c>
      <c r="J6" s="11">
        <v>82.088259171754004</v>
      </c>
      <c r="O6" s="7">
        <f t="shared" si="0"/>
        <v>2.325736200472296E-3</v>
      </c>
      <c r="Q6" s="15">
        <f t="shared" si="14"/>
        <v>7.9075030816058073E-2</v>
      </c>
      <c r="R6" s="15">
        <f t="shared" si="1"/>
        <v>0.76284147375491329</v>
      </c>
      <c r="S6" s="15">
        <f t="shared" si="2"/>
        <v>0.62894267848669627</v>
      </c>
      <c r="T6" s="15">
        <f t="shared" si="3"/>
        <v>0.1240135755145472</v>
      </c>
      <c r="U6" s="15">
        <f t="shared" si="4"/>
        <v>2.1190040937636479E-2</v>
      </c>
      <c r="V6" s="15">
        <f t="shared" si="5"/>
        <v>7.5934293041061297E-3</v>
      </c>
      <c r="X6" s="7">
        <f t="shared" si="6"/>
        <v>1.7413204372766937E-2</v>
      </c>
      <c r="Y6" s="7">
        <f t="shared" si="7"/>
        <v>7.5139169553720348E-3</v>
      </c>
      <c r="AB6" t="str">
        <f t="shared" si="8"/>
        <v>Poss Cukup Sedikit</v>
      </c>
      <c r="AC6" t="str">
        <f t="shared" si="9"/>
        <v>Total Pass Sangat Sedikit</v>
      </c>
      <c r="AD6" t="str">
        <f t="shared" si="10"/>
        <v>Pass Sukses Sangat Banyak</v>
      </c>
      <c r="AE6" t="str">
        <f t="shared" si="11"/>
        <v>Pass Rate Cukup Sedikit</v>
      </c>
      <c r="AF6" t="str">
        <f t="shared" si="12"/>
        <v>Total Shot Sangat Sedikit</v>
      </c>
      <c r="AG6" t="str">
        <f t="shared" si="13"/>
        <v>Shot on Target Cukup Sedikit</v>
      </c>
    </row>
    <row r="7" spans="1:33" x14ac:dyDescent="0.25">
      <c r="A7" s="5" t="s">
        <v>57</v>
      </c>
      <c r="B7" s="7">
        <v>1.7842105263157895</v>
      </c>
      <c r="C7" s="11">
        <v>57.05263157894737</v>
      </c>
      <c r="D7" s="7">
        <v>561.0526315789474</v>
      </c>
      <c r="E7" s="7">
        <v>474.55263157894734</v>
      </c>
      <c r="F7" s="7">
        <v>15.657894736842104</v>
      </c>
      <c r="G7" s="7">
        <v>5.7368421052631575</v>
      </c>
      <c r="H7" s="7">
        <v>11.473684210526315</v>
      </c>
      <c r="I7" s="7">
        <v>6.2105263157894735</v>
      </c>
      <c r="J7" s="11">
        <v>84.235922666645294</v>
      </c>
      <c r="O7" s="7">
        <f t="shared" si="0"/>
        <v>2.4041195415560128E-3</v>
      </c>
      <c r="Q7" s="7">
        <f t="shared" si="14"/>
        <v>7.6875090945330918E-2</v>
      </c>
      <c r="R7" s="7">
        <f t="shared" si="1"/>
        <v>0.75598567294947194</v>
      </c>
      <c r="S7" s="7">
        <f t="shared" si="2"/>
        <v>0.63943197187138023</v>
      </c>
      <c r="T7" s="7">
        <f t="shared" si="3"/>
        <v>0.11350298902341528</v>
      </c>
      <c r="U7" s="7">
        <f t="shared" si="4"/>
        <v>2.1098099221619877E-2</v>
      </c>
      <c r="V7" s="7">
        <f t="shared" si="5"/>
        <v>7.7300598828792151E-3</v>
      </c>
      <c r="X7" s="7">
        <f t="shared" si="6"/>
        <v>1.546011976575843E-2</v>
      </c>
      <c r="Y7" s="7">
        <f t="shared" si="7"/>
        <v>8.3683217080710772E-3</v>
      </c>
      <c r="AB7" t="str">
        <f t="shared" si="8"/>
        <v>Poss Sangat Sedikit</v>
      </c>
      <c r="AC7" t="str">
        <f t="shared" si="9"/>
        <v>Total Pass Sangat Sedikit</v>
      </c>
      <c r="AD7" t="str">
        <f t="shared" si="10"/>
        <v>Pass Sukses Sangat Banyak</v>
      </c>
      <c r="AE7" t="str">
        <f t="shared" si="11"/>
        <v>Pass Rate Sangat Sedikit</v>
      </c>
      <c r="AF7" t="str">
        <f t="shared" si="12"/>
        <v>Total Shot Sangat Sedikit</v>
      </c>
      <c r="AG7" t="str">
        <f t="shared" si="13"/>
        <v>Shot on Target Cukup Sedikit</v>
      </c>
    </row>
    <row r="8" spans="1:33" x14ac:dyDescent="0.25">
      <c r="A8" s="5" t="s">
        <v>55</v>
      </c>
      <c r="B8" s="7">
        <v>1.5894736842105259</v>
      </c>
      <c r="C8" s="11">
        <v>42.763157894736842</v>
      </c>
      <c r="D8" s="7">
        <v>414.57894736842104</v>
      </c>
      <c r="E8" s="7">
        <v>312.5</v>
      </c>
      <c r="F8" s="7">
        <v>13.578947368421053</v>
      </c>
      <c r="G8" s="7">
        <v>4.8947368421052628</v>
      </c>
      <c r="H8" s="7">
        <v>10.973684210526315</v>
      </c>
      <c r="I8" s="7">
        <v>4.5263157894736841</v>
      </c>
      <c r="J8" s="11">
        <v>74.466894054564861</v>
      </c>
      <c r="O8" s="7">
        <f t="shared" si="0"/>
        <v>3.0186412425785873E-3</v>
      </c>
      <c r="Q8" s="7">
        <f t="shared" si="14"/>
        <v>8.1213444026327908E-2</v>
      </c>
      <c r="R8" s="7">
        <f t="shared" si="1"/>
        <v>0.78734559827124295</v>
      </c>
      <c r="S8" s="7">
        <f t="shared" si="2"/>
        <v>0.59348286019239627</v>
      </c>
      <c r="T8" s="7">
        <f t="shared" si="3"/>
        <v>0.14142344087407135</v>
      </c>
      <c r="U8" s="7">
        <f t="shared" si="4"/>
        <v>2.5788392072360122E-2</v>
      </c>
      <c r="V8" s="7">
        <f t="shared" si="5"/>
        <v>9.2958157470135316E-3</v>
      </c>
      <c r="X8" s="7">
        <f t="shared" si="6"/>
        <v>2.0840619174756145E-2</v>
      </c>
      <c r="Y8" s="7">
        <f t="shared" si="7"/>
        <v>8.5961306907867078E-3</v>
      </c>
      <c r="AB8" t="str">
        <f t="shared" si="8"/>
        <v>Poss Cukup Banyak</v>
      </c>
      <c r="AC8" t="str">
        <f t="shared" si="9"/>
        <v>Total Pass Sangat Banyak</v>
      </c>
      <c r="AD8" t="str">
        <f t="shared" si="10"/>
        <v>Pass Sukses Sangat Sedikit</v>
      </c>
      <c r="AE8" t="str">
        <f t="shared" si="11"/>
        <v>Pass Rate Cukup Banyak</v>
      </c>
      <c r="AF8" t="str">
        <f t="shared" si="12"/>
        <v>Total Shot Sangat Banyak</v>
      </c>
      <c r="AG8" t="str">
        <f t="shared" si="13"/>
        <v>Shot on Target Sangat Banyak</v>
      </c>
    </row>
    <row r="9" spans="1:33" x14ac:dyDescent="0.25">
      <c r="A9" s="5" t="s">
        <v>44</v>
      </c>
      <c r="B9" s="7">
        <v>1.1052631578947369</v>
      </c>
      <c r="C9" s="11">
        <v>40.89473684210526</v>
      </c>
      <c r="D9" s="7">
        <v>393.5</v>
      </c>
      <c r="E9" s="7">
        <v>300.13157894736844</v>
      </c>
      <c r="F9" s="7">
        <v>10.657894736842104</v>
      </c>
      <c r="G9" s="7">
        <v>3.7894736842105261</v>
      </c>
      <c r="H9" s="7">
        <v>11.315789473684211</v>
      </c>
      <c r="I9" s="7">
        <v>4.1052631578947372</v>
      </c>
      <c r="J9" s="11">
        <v>75.339183927165507</v>
      </c>
      <c r="O9" s="7">
        <f t="shared" si="0"/>
        <v>2.1993657572575175E-3</v>
      </c>
      <c r="Q9" s="7">
        <f t="shared" si="14"/>
        <v>8.1376533018528138E-2</v>
      </c>
      <c r="R9" s="7">
        <f t="shared" si="1"/>
        <v>0.78302657543503951</v>
      </c>
      <c r="S9" s="7">
        <f t="shared" si="2"/>
        <v>0.59723253479814264</v>
      </c>
      <c r="T9" s="7">
        <f t="shared" si="3"/>
        <v>0.14991761927969244</v>
      </c>
      <c r="U9" s="7">
        <f t="shared" si="4"/>
        <v>2.1208169802126059E-2</v>
      </c>
      <c r="V9" s="7">
        <f t="shared" si="5"/>
        <v>7.540682596311488E-3</v>
      </c>
      <c r="X9" s="7">
        <f t="shared" si="6"/>
        <v>2.2517316086207918E-2</v>
      </c>
      <c r="Y9" s="7">
        <f t="shared" si="7"/>
        <v>8.1690728126707808E-3</v>
      </c>
      <c r="AB9" t="str">
        <f t="shared" si="8"/>
        <v>Poss Cukup Banyak</v>
      </c>
      <c r="AC9" t="str">
        <f t="shared" si="9"/>
        <v>Total Pass Sangat Banyak</v>
      </c>
      <c r="AD9" t="str">
        <f t="shared" si="10"/>
        <v>Pass Sukses Sangat Sedikit</v>
      </c>
      <c r="AE9" t="str">
        <f t="shared" si="11"/>
        <v>Pass Rate Sangat Banyak</v>
      </c>
      <c r="AF9" t="str">
        <f t="shared" si="12"/>
        <v>Total Shot Sangat Sedikit</v>
      </c>
      <c r="AG9" t="str">
        <f t="shared" si="13"/>
        <v>Shot on Target Cukup Sedikit</v>
      </c>
    </row>
    <row r="10" spans="1:33" x14ac:dyDescent="0.25">
      <c r="A10" s="5" t="s">
        <v>34</v>
      </c>
      <c r="B10" s="7">
        <v>1.2921052631578949</v>
      </c>
      <c r="C10" s="11">
        <v>52.263157894736842</v>
      </c>
      <c r="D10" s="7">
        <v>519.81578947368416</v>
      </c>
      <c r="E10" s="7">
        <v>426.28947368421052</v>
      </c>
      <c r="F10" s="7">
        <v>13.710526315789474</v>
      </c>
      <c r="G10" s="7">
        <v>4.5526315789473681</v>
      </c>
      <c r="H10" s="7">
        <v>11.368421052631579</v>
      </c>
      <c r="I10" s="7">
        <v>5.3947368421052628</v>
      </c>
      <c r="J10" s="11">
        <v>81.638946237846852</v>
      </c>
      <c r="O10" s="7">
        <f t="shared" si="0"/>
        <v>1.9016024341129995E-3</v>
      </c>
      <c r="Q10" s="7">
        <f t="shared" si="14"/>
        <v>7.6916139188358795E-2</v>
      </c>
      <c r="R10" s="7">
        <f t="shared" si="1"/>
        <v>0.76501737028582628</v>
      </c>
      <c r="S10" s="7">
        <f t="shared" si="2"/>
        <v>0.6273738865620464</v>
      </c>
      <c r="T10" s="7">
        <f t="shared" si="3"/>
        <v>0.12014873966606467</v>
      </c>
      <c r="U10" s="7">
        <f t="shared" si="4"/>
        <v>2.0177899555455656E-2</v>
      </c>
      <c r="V10" s="7">
        <f t="shared" si="5"/>
        <v>6.700147069277981E-3</v>
      </c>
      <c r="X10" s="7">
        <f t="shared" si="6"/>
        <v>1.6731003086289525E-2</v>
      </c>
      <c r="Y10" s="7">
        <f t="shared" si="7"/>
        <v>7.9394806312253537E-3</v>
      </c>
      <c r="AB10" t="str">
        <f t="shared" si="8"/>
        <v>Poss Sangat Sedikit</v>
      </c>
      <c r="AC10" t="str">
        <f t="shared" si="9"/>
        <v>Total Pass Cukup Sedikit</v>
      </c>
      <c r="AD10" t="str">
        <f t="shared" si="10"/>
        <v>Pass Sukses Cukup Banyak</v>
      </c>
      <c r="AE10" t="str">
        <f t="shared" si="11"/>
        <v>Pass Rate Sangat Sedikit</v>
      </c>
      <c r="AF10" t="str">
        <f t="shared" si="12"/>
        <v>Total Shot Sangat Sedikit</v>
      </c>
      <c r="AG10" t="str">
        <f t="shared" si="13"/>
        <v>Shot on Target Sangat Sedikit</v>
      </c>
    </row>
    <row r="11" spans="1:33" x14ac:dyDescent="0.25">
      <c r="A11" s="5" t="s">
        <v>38</v>
      </c>
      <c r="B11" s="7">
        <v>0.90263157894736856</v>
      </c>
      <c r="C11" s="11">
        <v>40.578947368421055</v>
      </c>
      <c r="D11" s="7">
        <v>388.81578947368422</v>
      </c>
      <c r="E11" s="7">
        <v>303.26315789473682</v>
      </c>
      <c r="F11" s="7">
        <v>9.8947368421052637</v>
      </c>
      <c r="G11" s="7">
        <v>3.3421052631578947</v>
      </c>
      <c r="H11" s="7">
        <v>11.315789473684211</v>
      </c>
      <c r="I11" s="7">
        <v>3.8157894736842106</v>
      </c>
      <c r="J11" s="11">
        <v>76.928533524388143</v>
      </c>
      <c r="O11" s="7">
        <f t="shared" si="0"/>
        <v>1.8017947659727627E-3</v>
      </c>
      <c r="Q11" s="7">
        <f t="shared" si="14"/>
        <v>8.1001968779300285E-2</v>
      </c>
      <c r="R11" s="7">
        <f t="shared" si="1"/>
        <v>0.77613754131917101</v>
      </c>
      <c r="S11" s="7">
        <f t="shared" si="2"/>
        <v>0.6053610169991287</v>
      </c>
      <c r="T11" s="7">
        <f t="shared" si="3"/>
        <v>0.15356146659509343</v>
      </c>
      <c r="U11" s="7">
        <f t="shared" si="4"/>
        <v>1.975145282815623E-2</v>
      </c>
      <c r="V11" s="7">
        <f t="shared" si="5"/>
        <v>6.6713683754676626E-3</v>
      </c>
      <c r="X11" s="7">
        <f t="shared" si="6"/>
        <v>2.258809764922122E-2</v>
      </c>
      <c r="Y11" s="7">
        <f t="shared" si="7"/>
        <v>7.6169166491559933E-3</v>
      </c>
      <c r="AB11" t="str">
        <f t="shared" si="8"/>
        <v>Poss Cukup Sedikit</v>
      </c>
      <c r="AC11" t="str">
        <f t="shared" si="9"/>
        <v>Total Pass Cukup Banyak</v>
      </c>
      <c r="AD11" t="str">
        <f t="shared" si="10"/>
        <v>Pass Sukses Cukup Sedikit</v>
      </c>
      <c r="AE11" t="str">
        <f t="shared" si="11"/>
        <v>Pass Rate Sangat Banyak</v>
      </c>
      <c r="AF11" t="str">
        <f t="shared" si="12"/>
        <v>Total Shot Sangat Sedikit</v>
      </c>
      <c r="AG11" t="str">
        <f t="shared" si="13"/>
        <v>Shot on Target Sangat Sedikit</v>
      </c>
    </row>
    <row r="12" spans="1:33" x14ac:dyDescent="0.25">
      <c r="A12" s="5" t="s">
        <v>59</v>
      </c>
      <c r="B12" s="7">
        <v>0.86052631578947381</v>
      </c>
      <c r="C12" s="11">
        <v>45.421052631578945</v>
      </c>
      <c r="D12" s="7">
        <v>460.15789473684208</v>
      </c>
      <c r="E12" s="7">
        <v>366.9736842105263</v>
      </c>
      <c r="F12" s="7">
        <v>8.8157894736842106</v>
      </c>
      <c r="G12" s="7">
        <v>2.9210526315789473</v>
      </c>
      <c r="H12" s="7">
        <v>11.052631578947368</v>
      </c>
      <c r="I12" s="7">
        <v>3.7105263157894739</v>
      </c>
      <c r="J12" s="11">
        <v>78.986385076721191</v>
      </c>
      <c r="O12" s="7">
        <f t="shared" si="0"/>
        <v>1.4443977306136861E-3</v>
      </c>
      <c r="Q12" s="7">
        <f t="shared" si="14"/>
        <v>7.6239464313126046E-2</v>
      </c>
      <c r="R12" s="7">
        <f t="shared" si="1"/>
        <v>0.77237733081073112</v>
      </c>
      <c r="S12" s="7">
        <f t="shared" si="2"/>
        <v>0.61596716677088226</v>
      </c>
      <c r="T12" s="7">
        <f t="shared" si="3"/>
        <v>0.13257904291924777</v>
      </c>
      <c r="U12" s="7">
        <f t="shared" si="4"/>
        <v>1.4797346781516353E-2</v>
      </c>
      <c r="V12" s="7">
        <f t="shared" si="5"/>
        <v>4.903001470890493E-3</v>
      </c>
      <c r="X12" s="7">
        <f t="shared" si="6"/>
        <v>1.8551897457423486E-2</v>
      </c>
      <c r="Y12" s="7">
        <f t="shared" si="7"/>
        <v>6.2281370035635998E-3</v>
      </c>
    </row>
    <row r="13" spans="1:33" x14ac:dyDescent="0.25">
      <c r="A13" s="5" t="s">
        <v>39</v>
      </c>
      <c r="B13" s="7">
        <v>2.1605263157894736</v>
      </c>
      <c r="C13" s="11">
        <v>57.736842105263158</v>
      </c>
      <c r="D13" s="7">
        <v>572.57894736842104</v>
      </c>
      <c r="E13" s="7">
        <v>481.65789473684208</v>
      </c>
      <c r="F13" s="7">
        <v>17.05263157894737</v>
      </c>
      <c r="G13" s="7">
        <v>6.0789473684210522</v>
      </c>
      <c r="H13" s="7">
        <v>11.315789473684211</v>
      </c>
      <c r="I13" s="7">
        <v>6.6578947368421053</v>
      </c>
      <c r="J13" s="11">
        <v>83.757975109850733</v>
      </c>
      <c r="O13" s="7">
        <f t="shared" si="0"/>
        <v>2.8599447134362529E-3</v>
      </c>
      <c r="Q13" s="7">
        <f t="shared" si="14"/>
        <v>7.6427755192194149E-2</v>
      </c>
      <c r="R13" s="7">
        <f t="shared" si="1"/>
        <v>0.75793760140007305</v>
      </c>
      <c r="S13" s="7">
        <f t="shared" si="2"/>
        <v>0.6375830461635047</v>
      </c>
      <c r="T13" s="7">
        <f t="shared" si="3"/>
        <v>0.1108726037599833</v>
      </c>
      <c r="U13" s="7">
        <f t="shared" si="4"/>
        <v>2.2573010649289797E-2</v>
      </c>
      <c r="V13" s="7">
        <f t="shared" si="5"/>
        <v>8.0468602777560832E-3</v>
      </c>
      <c r="X13" s="7">
        <f t="shared" si="6"/>
        <v>1.4979003980238598E-2</v>
      </c>
      <c r="Y13" s="7">
        <f t="shared" si="7"/>
        <v>8.8132279232566637E-3</v>
      </c>
      <c r="AB13">
        <f>COUNTIF(AB2:AB11,"Poss Sangat Sedikit")/COUNTA(AB2:AB11)*100</f>
        <v>20</v>
      </c>
      <c r="AC13">
        <f>COUNTIF(AC2:AC11,"Total Pass Sangat Sedikit")/COUNTA(AC2:AC11)*100</f>
        <v>40</v>
      </c>
      <c r="AD13">
        <f>COUNTIF(AD2:AD11,"Pass Sukses Sangat Sedikit")/COUNTA(AD2:AD11)*100</f>
        <v>30</v>
      </c>
    </row>
    <row r="14" spans="1:33" x14ac:dyDescent="0.25">
      <c r="A14" s="5" t="s">
        <v>58</v>
      </c>
      <c r="B14" s="7">
        <v>1.7868421052631576</v>
      </c>
      <c r="C14" s="11">
        <v>61.342105263157897</v>
      </c>
      <c r="D14" s="7">
        <v>643.23684210526312</v>
      </c>
      <c r="E14" s="7">
        <v>566.60526315789468</v>
      </c>
      <c r="F14" s="7">
        <v>15.973684210526315</v>
      </c>
      <c r="G14" s="7">
        <v>5.7105263157894735</v>
      </c>
      <c r="H14" s="7">
        <v>7.5526315789473681</v>
      </c>
      <c r="I14" s="7">
        <v>6.6578947368421053</v>
      </c>
      <c r="J14" s="11">
        <v>87.910077745346669</v>
      </c>
      <c r="O14" s="7">
        <f t="shared" si="0"/>
        <v>2.0678514980745494E-3</v>
      </c>
      <c r="Q14" s="7">
        <f t="shared" si="14"/>
        <v>7.0989128748332478E-2</v>
      </c>
      <c r="R14" s="7">
        <f t="shared" si="1"/>
        <v>0.74439608494015042</v>
      </c>
      <c r="S14" s="7">
        <f t="shared" si="2"/>
        <v>0.65571296914643773</v>
      </c>
      <c r="T14" s="7">
        <f t="shared" si="3"/>
        <v>0.10173533824064034</v>
      </c>
      <c r="U14" s="7">
        <f t="shared" si="4"/>
        <v>1.8485800579252601E-2</v>
      </c>
      <c r="V14" s="7">
        <f t="shared" si="5"/>
        <v>6.6085975711660866E-3</v>
      </c>
      <c r="X14" s="7">
        <f t="shared" si="6"/>
        <v>8.7404032392841783E-3</v>
      </c>
      <c r="Y14" s="7">
        <f t="shared" si="7"/>
        <v>7.7049547719125339E-3</v>
      </c>
      <c r="AB14">
        <f>COUNTIF(AB2:AB11,"Poss Cukup Sedikit")/COUNTA(AB2:AB11)*100</f>
        <v>30</v>
      </c>
      <c r="AC14">
        <f>COUNTIF(AC2:AC11,"Total Pass Cukup Sedikit")/COUNTA(AC2:AC11)*100</f>
        <v>10</v>
      </c>
      <c r="AD14">
        <f>COUNTIF(AD2:AD11,"Pass Sukses Cukup Sedikit")/COUNTA(AD2:AD11)*100</f>
        <v>20</v>
      </c>
    </row>
    <row r="15" spans="1:33" x14ac:dyDescent="0.25">
      <c r="A15" s="5" t="s">
        <v>33</v>
      </c>
      <c r="B15" s="7">
        <v>1.3815789473684208</v>
      </c>
      <c r="C15" s="11">
        <v>53.526315789473685</v>
      </c>
      <c r="D15" s="7">
        <v>537.23684210526312</v>
      </c>
      <c r="E15" s="7">
        <v>443.07894736842104</v>
      </c>
      <c r="F15" s="7">
        <v>13.868421052631579</v>
      </c>
      <c r="G15" s="7">
        <v>4.5789473684210522</v>
      </c>
      <c r="H15" s="7">
        <v>10.868421052631579</v>
      </c>
      <c r="I15" s="7">
        <v>5.2631578947368425</v>
      </c>
      <c r="J15" s="11">
        <v>82.026350228409044</v>
      </c>
      <c r="O15" s="7">
        <f t="shared" si="0"/>
        <v>1.9638955429039373E-3</v>
      </c>
      <c r="Q15" s="7">
        <f t="shared" si="14"/>
        <v>7.6086924462221137E-2</v>
      </c>
      <c r="R15" s="7">
        <f t="shared" si="1"/>
        <v>0.76367480968350254</v>
      </c>
      <c r="S15" s="7">
        <f t="shared" si="2"/>
        <v>0.62983065249283043</v>
      </c>
      <c r="T15" s="7">
        <f t="shared" si="3"/>
        <v>0.11659933290174279</v>
      </c>
      <c r="U15" s="7">
        <f t="shared" si="4"/>
        <v>1.971377049734048E-2</v>
      </c>
      <c r="V15" s="7">
        <f t="shared" si="5"/>
        <v>6.5089109421959069E-3</v>
      </c>
      <c r="X15" s="7">
        <f t="shared" si="6"/>
        <v>1.5449311604177644E-2</v>
      </c>
      <c r="Y15" s="7">
        <f t="shared" si="7"/>
        <v>7.4815068301102398E-3</v>
      </c>
      <c r="AB15">
        <f>COUNTIF(AB2:AB11,"Poss Cukup Banyak")/COUNTA(AB2:AB11)*100</f>
        <v>40</v>
      </c>
      <c r="AC15">
        <f>COUNTIF(AC2:AC11,"Total Pass Cukup Banyak")/COUNTA(AC2:AC11)*100</f>
        <v>20</v>
      </c>
      <c r="AD15">
        <f>COUNTIF(AD2:AD11,"Pass Sukses Cukup Banyak")/COUNTA(AD2:AD11)*100</f>
        <v>10</v>
      </c>
    </row>
    <row r="16" spans="1:33" x14ac:dyDescent="0.25">
      <c r="A16" s="5" t="s">
        <v>46</v>
      </c>
      <c r="B16" s="7">
        <v>1.6815789473684213</v>
      </c>
      <c r="C16" s="11">
        <v>51.315789473684212</v>
      </c>
      <c r="D16" s="7">
        <v>497.31578947368422</v>
      </c>
      <c r="E16" s="7">
        <v>405.68421052631578</v>
      </c>
      <c r="F16" s="7">
        <v>13.789473684210526</v>
      </c>
      <c r="G16" s="7">
        <v>4.5789473684210522</v>
      </c>
      <c r="H16" s="7">
        <v>10.368421052631579</v>
      </c>
      <c r="I16" s="7">
        <v>5.7368421052631575</v>
      </c>
      <c r="J16" s="11">
        <v>80.581001669121136</v>
      </c>
      <c r="O16" s="7">
        <f t="shared" si="0"/>
        <v>2.5904691580410782E-3</v>
      </c>
      <c r="Q16" s="7">
        <f t="shared" si="14"/>
        <v>7.9051875714868589E-2</v>
      </c>
      <c r="R16" s="7">
        <f t="shared" si="1"/>
        <v>0.76611402423568531</v>
      </c>
      <c r="S16" s="7">
        <f t="shared" si="2"/>
        <v>0.62495575180534046</v>
      </c>
      <c r="T16" s="7">
        <f t="shared" si="3"/>
        <v>0.12413487923037195</v>
      </c>
      <c r="U16" s="7">
        <f t="shared" si="4"/>
        <v>2.124265788440571E-2</v>
      </c>
      <c r="V16" s="7">
        <f t="shared" si="5"/>
        <v>7.0538596791728881E-3</v>
      </c>
      <c r="X16" s="7">
        <f t="shared" si="6"/>
        <v>1.5972532836747804E-2</v>
      </c>
      <c r="Y16" s="7">
        <f t="shared" si="7"/>
        <v>8.837594310687872E-3</v>
      </c>
      <c r="AB16">
        <f>COUNTIF(AB2:AB11,"Poss Sangat Banyak")/COUNTA(AB2:AB11)*100</f>
        <v>10</v>
      </c>
      <c r="AC16">
        <f>COUNTIF(AC2:AC11,"Total Pass Sangat Banyak")/COUNTA(AC2:AC11)*100</f>
        <v>30</v>
      </c>
      <c r="AD16">
        <f>COUNTIF(AD2:AD11,"Pass Sukses Sangat Banyak")/COUNTA(AD2:AD11)*100</f>
        <v>40</v>
      </c>
    </row>
    <row r="17" spans="1:37" x14ac:dyDescent="0.25">
      <c r="A17" s="5" t="s">
        <v>48</v>
      </c>
      <c r="B17" s="7">
        <v>1.1921052631578946</v>
      </c>
      <c r="C17" s="11">
        <v>41.210526315789473</v>
      </c>
      <c r="D17" s="7">
        <v>378.05263157894734</v>
      </c>
      <c r="E17" s="7">
        <v>284.78947368421052</v>
      </c>
      <c r="F17" s="7">
        <v>12.184210526315789</v>
      </c>
      <c r="G17" s="7">
        <v>4.3684210526315788</v>
      </c>
      <c r="H17" s="7">
        <v>10.289473684210526</v>
      </c>
      <c r="I17" s="7">
        <v>4.2105263157894735</v>
      </c>
      <c r="J17" s="11">
        <v>74.522722250038171</v>
      </c>
      <c r="O17" s="7">
        <f t="shared" si="0"/>
        <v>2.4772527803275973E-3</v>
      </c>
      <c r="Q17" s="7">
        <f t="shared" si="14"/>
        <v>8.5637480220596418E-2</v>
      </c>
      <c r="R17" s="7">
        <f t="shared" si="1"/>
        <v>0.78561177576570118</v>
      </c>
      <c r="S17" s="7">
        <f t="shared" si="2"/>
        <v>0.59180639268665036</v>
      </c>
      <c r="T17" s="7">
        <f t="shared" si="3"/>
        <v>0.15486184533943836</v>
      </c>
      <c r="U17" s="7">
        <f t="shared" si="4"/>
        <v>2.5319382721670589E-2</v>
      </c>
      <c r="V17" s="7">
        <f t="shared" si="5"/>
        <v>9.0777916453505785E-3</v>
      </c>
      <c r="X17" s="7">
        <f t="shared" si="6"/>
        <v>2.1382027309229373E-2</v>
      </c>
      <c r="Y17" s="7">
        <f t="shared" si="7"/>
        <v>8.7496786943138099E-3</v>
      </c>
    </row>
    <row r="18" spans="1:37" x14ac:dyDescent="0.25">
      <c r="A18" s="5" t="s">
        <v>47</v>
      </c>
      <c r="B18" s="7">
        <v>0.85526315789473706</v>
      </c>
      <c r="C18" s="11">
        <v>48.526315789473685</v>
      </c>
      <c r="D18" s="7">
        <v>488.44736842105266</v>
      </c>
      <c r="E18" s="7">
        <v>408.68421052631578</v>
      </c>
      <c r="F18" s="7">
        <v>9.026315789473685</v>
      </c>
      <c r="G18" s="7">
        <v>2.9210526315789473</v>
      </c>
      <c r="H18" s="7">
        <v>12.078947368421053</v>
      </c>
      <c r="I18" s="7">
        <v>4</v>
      </c>
      <c r="J18" s="11">
        <v>82.988888561117889</v>
      </c>
      <c r="O18" s="7">
        <f t="shared" si="0"/>
        <v>1.3274688290293621E-3</v>
      </c>
      <c r="Q18" s="7">
        <f t="shared" si="14"/>
        <v>7.5318539099389015E-2</v>
      </c>
      <c r="R18" s="7">
        <f t="shared" si="1"/>
        <v>0.75812765955735339</v>
      </c>
      <c r="S18" s="7">
        <f t="shared" si="2"/>
        <v>0.63432587430233811</v>
      </c>
      <c r="T18" s="7">
        <f t="shared" si="3"/>
        <v>0.12880849795032812</v>
      </c>
      <c r="U18" s="7">
        <f t="shared" si="4"/>
        <v>1.4009901795602188E-2</v>
      </c>
      <c r="V18" s="7">
        <f t="shared" si="5"/>
        <v>4.5338166160695127E-3</v>
      </c>
      <c r="X18" s="7">
        <f t="shared" si="6"/>
        <v>1.8747944385368524E-2</v>
      </c>
      <c r="Y18" s="7">
        <f t="shared" si="7"/>
        <v>6.2084696003834768E-3</v>
      </c>
    </row>
    <row r="19" spans="1:37" x14ac:dyDescent="0.25">
      <c r="A19" s="5" t="s">
        <v>60</v>
      </c>
      <c r="B19" s="7">
        <v>1.544736842105263</v>
      </c>
      <c r="C19" s="11">
        <v>54.684210526315788</v>
      </c>
      <c r="D19" s="7">
        <v>525.26315789473688</v>
      </c>
      <c r="E19" s="7">
        <v>434.55263157894734</v>
      </c>
      <c r="F19" s="7">
        <v>13.078947368421053</v>
      </c>
      <c r="G19" s="7">
        <v>4.8684210526315788</v>
      </c>
      <c r="H19" s="7">
        <v>11.736842105263158</v>
      </c>
      <c r="I19" s="7">
        <v>6.3947368421052628</v>
      </c>
      <c r="J19" s="11">
        <v>82.178770856842107</v>
      </c>
      <c r="O19" s="7">
        <f t="shared" si="0"/>
        <v>2.2416775217946184E-3</v>
      </c>
      <c r="Q19" s="7">
        <f t="shared" si="14"/>
        <v>7.935614804581291E-2</v>
      </c>
      <c r="R19" s="7">
        <f t="shared" si="1"/>
        <v>0.76224673483851102</v>
      </c>
      <c r="S19" s="7">
        <f t="shared" si="2"/>
        <v>0.63061023709360375</v>
      </c>
      <c r="T19" s="7">
        <f t="shared" si="3"/>
        <v>0.11925546046239795</v>
      </c>
      <c r="U19" s="7">
        <f t="shared" si="4"/>
        <v>1.8979790942622244E-2</v>
      </c>
      <c r="V19" s="7">
        <f t="shared" si="5"/>
        <v>7.0649121214992243E-3</v>
      </c>
      <c r="X19" s="7">
        <f t="shared" si="6"/>
        <v>1.703216651993867E-2</v>
      </c>
      <c r="Y19" s="7">
        <f t="shared" si="7"/>
        <v>9.2798575433746568E-3</v>
      </c>
    </row>
    <row r="20" spans="1:37" x14ac:dyDescent="0.25">
      <c r="A20" s="5" t="s">
        <v>51</v>
      </c>
      <c r="B20" s="7">
        <v>1.2421052631578948</v>
      </c>
      <c r="C20" s="11">
        <v>48.44736842105263</v>
      </c>
      <c r="D20" s="7">
        <v>483.23684210526318</v>
      </c>
      <c r="E20" s="7">
        <v>390</v>
      </c>
      <c r="F20" s="7">
        <v>12.526315789473685</v>
      </c>
      <c r="G20" s="7">
        <v>3.8421052631578947</v>
      </c>
      <c r="H20" s="7">
        <v>11.657894736842104</v>
      </c>
      <c r="I20" s="7">
        <v>4.0526315789473681</v>
      </c>
      <c r="J20" s="11">
        <v>80.219390723066297</v>
      </c>
      <c r="O20" s="7">
        <f t="shared" si="0"/>
        <v>1.9770183816055211E-3</v>
      </c>
      <c r="Q20" s="7">
        <f t="shared" si="14"/>
        <v>7.7112094079147556E-2</v>
      </c>
      <c r="R20" s="7">
        <f t="shared" si="1"/>
        <v>0.7691522996064023</v>
      </c>
      <c r="S20" s="7">
        <f t="shared" si="2"/>
        <v>0.62075026303800473</v>
      </c>
      <c r="T20" s="7">
        <f t="shared" si="3"/>
        <v>0.12768258433869714</v>
      </c>
      <c r="U20" s="7">
        <f t="shared" si="4"/>
        <v>1.9937727746699749E-2</v>
      </c>
      <c r="V20" s="7">
        <f t="shared" si="5"/>
        <v>6.115353468525553E-3</v>
      </c>
      <c r="X20" s="7">
        <f t="shared" si="6"/>
        <v>1.8555490318882328E-2</v>
      </c>
      <c r="Y20" s="7">
        <f t="shared" si="7"/>
        <v>6.4504413298146239E-3</v>
      </c>
    </row>
    <row r="21" spans="1:37" x14ac:dyDescent="0.25">
      <c r="A21" s="5" t="s">
        <v>43</v>
      </c>
      <c r="B21" s="7">
        <v>1.1473684210526316</v>
      </c>
      <c r="C21" s="11">
        <v>48.10526315789474</v>
      </c>
      <c r="D21" s="7">
        <v>470.63157894736844</v>
      </c>
      <c r="E21" s="7">
        <v>380.84210526315792</v>
      </c>
      <c r="F21" s="7">
        <v>11.342105263157896</v>
      </c>
      <c r="G21" s="7">
        <v>4.2105263157894735</v>
      </c>
      <c r="H21" s="7">
        <v>12.631578947368421</v>
      </c>
      <c r="I21" s="7">
        <v>3.9210526315789473</v>
      </c>
      <c r="J21" s="11">
        <v>80.30395763671396</v>
      </c>
      <c r="O21" s="7">
        <f t="shared" si="0"/>
        <v>1.8720971910718782E-3</v>
      </c>
      <c r="Q21" s="7">
        <f t="shared" si="14"/>
        <v>7.8490680396316362E-2</v>
      </c>
      <c r="R21" s="7">
        <f t="shared" si="1"/>
        <v>0.76790335241122643</v>
      </c>
      <c r="S21" s="7">
        <f t="shared" si="2"/>
        <v>0.62139886580716108</v>
      </c>
      <c r="T21" s="7">
        <f t="shared" si="3"/>
        <v>0.1310274980251972</v>
      </c>
      <c r="U21" s="7">
        <f t="shared" si="4"/>
        <v>1.850628186587109E-2</v>
      </c>
      <c r="V21" s="7">
        <f t="shared" si="5"/>
        <v>6.8700814351261583E-3</v>
      </c>
      <c r="X21" s="7">
        <f t="shared" si="6"/>
        <v>2.0610244305378476E-2</v>
      </c>
      <c r="Y21" s="7">
        <f t="shared" si="7"/>
        <v>6.3977633364612355E-3</v>
      </c>
    </row>
    <row r="22" spans="1:37" x14ac:dyDescent="0.25">
      <c r="A22" s="5" t="s">
        <v>96</v>
      </c>
      <c r="B22" s="7">
        <v>1.4174999999999991</v>
      </c>
      <c r="C22" s="11">
        <v>50</v>
      </c>
      <c r="D22" s="7">
        <v>486.73026315789474</v>
      </c>
      <c r="E22" s="7">
        <v>396.24605263157895</v>
      </c>
      <c r="F22" s="7">
        <v>12.95921052631579</v>
      </c>
      <c r="G22" s="7">
        <v>4.55</v>
      </c>
      <c r="H22" s="7">
        <v>11.032894736842104</v>
      </c>
      <c r="I22" s="7">
        <v>5.1486842105263158</v>
      </c>
      <c r="J22" s="14">
        <v>80.360808412709758</v>
      </c>
    </row>
    <row r="23" spans="1:37" x14ac:dyDescent="0.25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37" s="9" customFormat="1" x14ac:dyDescent="0.25">
      <c r="A24" s="9" t="s">
        <v>112</v>
      </c>
      <c r="B24" s="9" t="s">
        <v>94</v>
      </c>
      <c r="C24" s="9" t="s">
        <v>95</v>
      </c>
      <c r="D24" s="9" t="s">
        <v>102</v>
      </c>
      <c r="E24" s="9" t="s">
        <v>108</v>
      </c>
      <c r="F24" s="12" t="s">
        <v>113</v>
      </c>
    </row>
    <row r="25" spans="1:37" x14ac:dyDescent="0.25">
      <c r="B25" t="str">
        <f>A26</f>
        <v>Arsenal</v>
      </c>
      <c r="C25" s="5" t="s">
        <v>38</v>
      </c>
      <c r="D25" s="5" t="s">
        <v>46</v>
      </c>
      <c r="E25" t="str">
        <f>A29</f>
        <v>Brentford</v>
      </c>
      <c r="O25" t="s">
        <v>94</v>
      </c>
      <c r="AB25" t="s">
        <v>71</v>
      </c>
      <c r="AC25" t="s">
        <v>72</v>
      </c>
      <c r="AD25" t="s">
        <v>73</v>
      </c>
      <c r="AE25" t="s">
        <v>74</v>
      </c>
      <c r="AF25" t="s">
        <v>75</v>
      </c>
      <c r="AG25" t="s">
        <v>87</v>
      </c>
      <c r="AH25" t="s">
        <v>88</v>
      </c>
      <c r="AI25" t="s">
        <v>89</v>
      </c>
      <c r="AJ25" t="s">
        <v>90</v>
      </c>
      <c r="AK25" t="s">
        <v>91</v>
      </c>
    </row>
    <row r="26" spans="1:37" x14ac:dyDescent="0.25">
      <c r="A26" s="5" t="s">
        <v>42</v>
      </c>
      <c r="B26" s="7">
        <f t="shared" ref="B26:B45" si="15">SQRT((O2-$O$2)^2+(Q2-$Q$2)^2+(R2-$R$2)^2+(S2-$S$2)^2+(U2-$U$2)^2+(V2-$V$2)^2+(X2-$X$2)^2+(T2-$T$2)^2)</f>
        <v>0</v>
      </c>
      <c r="C26" s="7">
        <f t="shared" ref="C26:C45" si="16">SQRT((O2-$O$11)^2+(Q2-$Q$11)^2+(R2-$R$11)^2+(S2-$S$11)^2+(U2-$U$11)^2+(V2-$V$11)^2+(X2-$X$11)^2+(Y2-$Y$11)^2+(T2-$T$11)^2)</f>
        <v>5.2300828191463707E-2</v>
      </c>
      <c r="D26" s="7" t="e">
        <f>SQRT((O2-$O$4)^2+(Q2-$Q$4)^2+(R2-$R$4)^2+(S2-$S$4)^2+(U2-$U$4)^2+(V2-$V$4)^2+(X2-$X$4)^2+(Y2-$Y$4)^2+(#REF!-#REF!)^2+(#REF!-#REF!)^2)</f>
        <v>#REF!</v>
      </c>
      <c r="E26" s="7" t="e">
        <f>SQRT((O2-$O$5)^2+(Q2-$Q$5)^2+(R2-$R$5)^2+(S2-$S$5)^2+(U2-$U$5)^2+(V2-$V$5)^2+(X2-$X$5)^2+(Y2-$Y$5)^2+(#REF!-#REF!)^2+(#REF!-#REF!)^2)</f>
        <v>#REF!</v>
      </c>
      <c r="F26" t="e">
        <f>MATCH(MIN(B26:E26), B26:E26, 0)</f>
        <v>#REF!</v>
      </c>
      <c r="O26" t="s">
        <v>42</v>
      </c>
      <c r="P26" s="7">
        <v>0.55443548387096742</v>
      </c>
      <c r="Q26" s="7">
        <v>0.78580481622306686</v>
      </c>
      <c r="R26" s="7">
        <v>0.58301081671132282</v>
      </c>
      <c r="S26" s="7">
        <v>0.58306097674852941</v>
      </c>
      <c r="T26" s="7">
        <v>0.67731629392971238</v>
      </c>
      <c r="U26" s="7">
        <v>0.64166666666666683</v>
      </c>
      <c r="V26" s="7">
        <v>0.49779735682819393</v>
      </c>
      <c r="W26" s="7">
        <v>0.98214285714285721</v>
      </c>
      <c r="X26" s="7">
        <v>0.17073170731707307</v>
      </c>
      <c r="Y26" s="7">
        <v>1</v>
      </c>
      <c r="AB26" s="7">
        <f t="shared" ref="AB26:AB45" si="17">(B2-(MIN($B$2:$B$21)))/((MAX($B$2:$B$21))-(MIN($B$2:$B$21)))</f>
        <v>0.55443548387096742</v>
      </c>
      <c r="AC26" s="7">
        <f t="shared" ref="AC26:AC45" si="18">(C2-(MIN($C$2:$C$21)))/((MAX($C$2:$C$21))-(MIN($C$2:$C$21)))</f>
        <v>0.78580481622306686</v>
      </c>
      <c r="AD26" s="7">
        <f t="shared" ref="AD26:AD45" si="19">(D2-(MIN($D$2:$D$21)))/((MAX($D$2:$D$21))-(MIN($D$2:$D$21)))</f>
        <v>0.58301081671132282</v>
      </c>
      <c r="AE26" s="7">
        <f t="shared" ref="AE26:AE45" si="20">(E2-(MIN($E$2:$E$21)))/((MAX($E$2:$E$21))-(MIN($E$2:$E$21)))</f>
        <v>0.58306097674852941</v>
      </c>
      <c r="AF26" s="7">
        <f t="shared" ref="AF26:AF45" si="21">(F2-(MIN($F$2:$F$21)))/((MAX($F$2:$F$21))-(MIN($F$2:$F$21)))</f>
        <v>0.67731629392971238</v>
      </c>
      <c r="AG26" s="7">
        <f t="shared" ref="AG26:AG45" si="22">(G2-(MIN($G$2:$G$21)))/((MAX($G$2:$G$21))-(MIN($G$2:$G$21)))</f>
        <v>0.64166666666666683</v>
      </c>
      <c r="AH26" s="7">
        <f t="shared" ref="AH26:AH45" si="23">(H2-(MIN($H$2:$H$21)))/((MAX($H$2:$H$21))-(MIN($H$2:$H$21)))</f>
        <v>0.49779735682819393</v>
      </c>
      <c r="AI26" s="7">
        <f t="shared" ref="AI26:AI45" si="24">(I2-(MIN($I$2:$I$21)))/((MAX($I$2:$I$21))-(MIN($I$2:$I$21)))</f>
        <v>0.98214285714285721</v>
      </c>
      <c r="AJ26" s="7" t="e">
        <f>(#REF!-(MIN(#REF!)))/((MAX(#REF!))-(MIN(#REF!)))</f>
        <v>#REF!</v>
      </c>
      <c r="AK26" s="7" t="e">
        <f t="shared" ref="AK26:AK45" si="25">(K2-(MIN($K$2:$K$21)))/((MAX($K$2:$K$21))-(MIN($K$2:$K$21)))</f>
        <v>#DIV/0!</v>
      </c>
    </row>
    <row r="27" spans="1:37" x14ac:dyDescent="0.25">
      <c r="A27" s="5" t="s">
        <v>52</v>
      </c>
      <c r="B27" s="7">
        <f t="shared" si="15"/>
        <v>1.7799432445346368E-2</v>
      </c>
      <c r="C27" s="7">
        <f t="shared" si="16"/>
        <v>3.5208331384136878E-2</v>
      </c>
      <c r="D27" s="7" t="e">
        <f>SQRT((O3-$O$4)^2+(Q3-$Q$4)^2+(R3-$R$4)^2+(S3-$S$4)^2+(U3-$U$4)^2+(V3-$V$4)^2+(X3-$X$4)^2+(Y3-$Y$4)^2+(#REF!-#REF!)^2+(#REF!-#REF!)^2)</f>
        <v>#REF!</v>
      </c>
      <c r="E27" s="7" t="e">
        <f>SQRT((O3-$O$5)^2+(Q3-$Q$5)^2+(R3-$R$5)^2+(S3-$S$5)^2+(U3-$U$5)^2+(V3-$V$5)^2+(X3-$X$5)^2+(Y3-$Y$5)^2+(#REF!-#REF!)^2+(#REF!-#REF!)^2)</f>
        <v>#REF!</v>
      </c>
      <c r="F27" t="e">
        <f t="shared" ref="F27:F45" si="26">MATCH(MIN(B27:E27), B27:E27, 0)</f>
        <v>#REF!</v>
      </c>
      <c r="O27" t="s">
        <v>39</v>
      </c>
      <c r="P27" s="7">
        <v>1</v>
      </c>
      <c r="Q27" s="7">
        <v>0.82636248415716085</v>
      </c>
      <c r="R27" s="7">
        <v>0.73355165227746366</v>
      </c>
      <c r="S27" s="7">
        <v>0.698571295172285</v>
      </c>
      <c r="T27" s="7">
        <v>1</v>
      </c>
      <c r="U27" s="7">
        <v>1</v>
      </c>
      <c r="V27" s="7">
        <v>0.62995594713656378</v>
      </c>
      <c r="W27" s="7">
        <v>1</v>
      </c>
      <c r="X27" s="7">
        <v>0.17073170731707307</v>
      </c>
      <c r="Y27" s="7">
        <v>0.5</v>
      </c>
      <c r="AB27" s="7">
        <f t="shared" si="17"/>
        <v>0.47379032258064507</v>
      </c>
      <c r="AC27" s="7">
        <f t="shared" si="18"/>
        <v>0.47908745247148282</v>
      </c>
      <c r="AD27" s="7">
        <f t="shared" si="19"/>
        <v>0.34047831695941272</v>
      </c>
      <c r="AE27" s="7">
        <f t="shared" si="20"/>
        <v>0.36221869455598099</v>
      </c>
      <c r="AF27" s="7">
        <f t="shared" si="21"/>
        <v>0.47603833865814682</v>
      </c>
      <c r="AG27" s="7">
        <f t="shared" si="22"/>
        <v>0.49166666666666681</v>
      </c>
      <c r="AH27" s="7">
        <f t="shared" si="23"/>
        <v>0.52422907488986781</v>
      </c>
      <c r="AI27" s="7">
        <f t="shared" si="24"/>
        <v>0.81250000000000011</v>
      </c>
      <c r="AJ27" s="7" t="e">
        <f>(#REF!-(MIN(#REF!)))/((MAX(#REF!))-(MIN(#REF!)))</f>
        <v>#REF!</v>
      </c>
      <c r="AK27" s="7" t="e">
        <f t="shared" si="25"/>
        <v>#DIV/0!</v>
      </c>
    </row>
    <row r="28" spans="1:37" x14ac:dyDescent="0.25">
      <c r="A28" s="5" t="s">
        <v>49</v>
      </c>
      <c r="B28" s="7">
        <f t="shared" si="15"/>
        <v>4.9365383582571434E-2</v>
      </c>
      <c r="C28" s="7">
        <f t="shared" si="16"/>
        <v>2.2881556968068768E-2</v>
      </c>
      <c r="D28" s="7" t="e">
        <f>SQRT((O4-$O$4)^2+(Q4-$Q$4)^2+(R4-$R$4)^2+(S4-$S$4)^2+(U4-$U$4)^2+(V4-$V$4)^2+(X4-$X$4)^2+(Y4-$Y$4)^2+(#REF!-#REF!)^2+(#REF!-#REF!)^2)</f>
        <v>#REF!</v>
      </c>
      <c r="E28" s="7" t="e">
        <f>SQRT((O4-$O$5)^2+(Q4-$Q$5)^2+(R4-$R$5)^2+(S4-$S$5)^2+(U4-$U$5)^2+(V4-$V$5)^2+(X4-$X$5)^2+(Y4-$Y$5)^2+(#REF!-#REF!)^2+(#REF!-#REF!)^2)</f>
        <v>#REF!</v>
      </c>
      <c r="F28" t="e">
        <f t="shared" si="26"/>
        <v>#REF!</v>
      </c>
      <c r="O28" t="s">
        <v>58</v>
      </c>
      <c r="P28" s="7">
        <v>0.71370967741935465</v>
      </c>
      <c r="Q28" s="7">
        <v>1</v>
      </c>
      <c r="R28" s="7">
        <v>1</v>
      </c>
      <c r="S28" s="7">
        <v>1</v>
      </c>
      <c r="T28" s="7">
        <v>0.86900958466453648</v>
      </c>
      <c r="U28" s="7">
        <v>0.88333333333333341</v>
      </c>
      <c r="V28" s="7">
        <v>0</v>
      </c>
      <c r="W28" s="7">
        <v>1</v>
      </c>
      <c r="X28" s="7">
        <v>0</v>
      </c>
      <c r="Y28" s="7">
        <v>0.33333333333333331</v>
      </c>
      <c r="AB28" s="7">
        <f t="shared" si="17"/>
        <v>0.63104838709677469</v>
      </c>
      <c r="AC28" s="7">
        <f t="shared" si="18"/>
        <v>0.38149556400506962</v>
      </c>
      <c r="AD28" s="7">
        <f t="shared" si="19"/>
        <v>0.25146372928450944</v>
      </c>
      <c r="AE28" s="7">
        <f t="shared" si="20"/>
        <v>0.20123260808665613</v>
      </c>
      <c r="AF28" s="7">
        <f t="shared" si="21"/>
        <v>0.78274760383386577</v>
      </c>
      <c r="AG28" s="7">
        <f t="shared" si="22"/>
        <v>0.75833333333333341</v>
      </c>
      <c r="AH28" s="7">
        <f t="shared" si="23"/>
        <v>1</v>
      </c>
      <c r="AI28" s="7">
        <f t="shared" si="24"/>
        <v>0.78571428571428559</v>
      </c>
      <c r="AJ28" s="7" t="e">
        <f>(#REF!-(MIN(#REF!)))/((MAX(#REF!))-(MIN(#REF!)))</f>
        <v>#REF!</v>
      </c>
      <c r="AK28" s="7" t="e">
        <f t="shared" si="25"/>
        <v>#DIV/0!</v>
      </c>
    </row>
    <row r="29" spans="1:37" x14ac:dyDescent="0.25">
      <c r="A29" s="5" t="s">
        <v>54</v>
      </c>
      <c r="B29" s="7">
        <f t="shared" si="15"/>
        <v>4.0311059606323356E-2</v>
      </c>
      <c r="C29" s="7">
        <f t="shared" si="16"/>
        <v>2.1252499667190776E-2</v>
      </c>
      <c r="D29" s="7" t="e">
        <f>SQRT((O5-$O$4)^2+(Q5-$Q$4)^2+(R5-$R$4)^2+(S5-$S$4)^2+(U5-$U$4)^2+(V5-$V$4)^2+(X5-$X$4)^2+(Y5-$Y$4)^2+(#REF!-#REF!)^2+(#REF!-#REF!)^2)</f>
        <v>#REF!</v>
      </c>
      <c r="E29" s="7" t="e">
        <f>SQRT((O5-$O$5)^2+(Q5-$Q$5)^2+(R5-$R$5)^2+(S5-$S$5)^2+(U5-$U$5)^2+(V5-$V$5)^2+(X5-$X$5)^2+(Y5-$Y$5)^2+(#REF!-#REF!)^2+(#REF!-#REF!)^2)</f>
        <v>#REF!</v>
      </c>
      <c r="F29" t="e">
        <f t="shared" si="26"/>
        <v>#REF!</v>
      </c>
      <c r="P29" s="7">
        <f>AVERAGE(P26:P28)</f>
        <v>0.75604838709677402</v>
      </c>
      <c r="Q29" s="7">
        <f t="shared" ref="Q29:Y29" si="27">AVERAGE(Q26:Q28)</f>
        <v>0.87072243346007594</v>
      </c>
      <c r="R29" s="7">
        <f t="shared" si="27"/>
        <v>0.77218748966292894</v>
      </c>
      <c r="S29" s="7">
        <f t="shared" si="27"/>
        <v>0.76054409064027151</v>
      </c>
      <c r="T29" s="7">
        <f t="shared" si="27"/>
        <v>0.84877529286474962</v>
      </c>
      <c r="U29" s="7">
        <f t="shared" si="27"/>
        <v>0.84166666666666679</v>
      </c>
      <c r="V29" s="7">
        <f t="shared" si="27"/>
        <v>0.37591776798825255</v>
      </c>
      <c r="W29" s="7">
        <f t="shared" si="27"/>
        <v>0.99404761904761907</v>
      </c>
      <c r="X29" s="7">
        <f t="shared" si="27"/>
        <v>0.11382113821138205</v>
      </c>
      <c r="Y29" s="7">
        <f t="shared" si="27"/>
        <v>0.61111111111111105</v>
      </c>
      <c r="AB29" s="7">
        <f t="shared" si="17"/>
        <v>0.5342741935483869</v>
      </c>
      <c r="AC29" s="7">
        <f t="shared" si="18"/>
        <v>0.35107731305449941</v>
      </c>
      <c r="AD29" s="7">
        <f t="shared" si="19"/>
        <v>0.27131090602361824</v>
      </c>
      <c r="AE29" s="7">
        <f t="shared" si="20"/>
        <v>0.23681015967877497</v>
      </c>
      <c r="AF29" s="7">
        <f t="shared" si="21"/>
        <v>0.33865814696485608</v>
      </c>
      <c r="AG29" s="7">
        <f t="shared" si="22"/>
        <v>0.60833333333333339</v>
      </c>
      <c r="AH29" s="7">
        <f t="shared" si="23"/>
        <v>0.14096916299559484</v>
      </c>
      <c r="AI29" s="7">
        <f t="shared" si="24"/>
        <v>0.3035714285714286</v>
      </c>
      <c r="AJ29" s="7" t="e">
        <f>(#REF!-(MIN(#REF!)))/((MAX(#REF!))-(MIN(#REF!)))</f>
        <v>#REF!</v>
      </c>
      <c r="AK29" s="7" t="e">
        <f t="shared" si="25"/>
        <v>#DIV/0!</v>
      </c>
    </row>
    <row r="30" spans="1:37" x14ac:dyDescent="0.25">
      <c r="A30" s="5" t="s">
        <v>45</v>
      </c>
      <c r="B30" s="7">
        <f t="shared" si="15"/>
        <v>1.2657988576649983E-2</v>
      </c>
      <c r="C30" s="7">
        <f t="shared" si="16"/>
        <v>4.0492659884240723E-2</v>
      </c>
      <c r="D30" s="7" t="e">
        <f>SQRT((O6-$O$4)^2+(Q6-$Q$4)^2+(R6-$R$4)^2+(S6-$S$4)^2+(U6-$U$4)^2+(V6-$V$4)^2+(X6-$X$4)^2+(Y6-$Y$4)^2+(#REF!-#REF!)^2+(#REF!-#REF!)^2)</f>
        <v>#REF!</v>
      </c>
      <c r="E30" s="7" t="e">
        <f>SQRT((O6-$O$5)^2+(Q6-$Q$5)^2+(R6-$R$5)^2+(S6-$S$5)^2+(U6-$U$5)^2+(V6-$V$5)^2+(X6-$X$5)^2+(Y6-$Y$5)^2+(#REF!-#REF!)^2+(#REF!-#REF!)^2)</f>
        <v>#REF!</v>
      </c>
      <c r="F30" t="e">
        <f t="shared" si="26"/>
        <v>#REF!</v>
      </c>
      <c r="O30" t="s">
        <v>95</v>
      </c>
      <c r="P30" s="7"/>
      <c r="Q30" s="7"/>
      <c r="R30" s="7"/>
      <c r="S30" s="7"/>
      <c r="T30" s="7"/>
      <c r="U30" s="7"/>
      <c r="V30" s="7"/>
      <c r="W30" s="7"/>
      <c r="X30" s="7"/>
      <c r="Y30" s="7"/>
      <c r="AB30" s="7">
        <f t="shared" si="17"/>
        <v>0.52419354838709664</v>
      </c>
      <c r="AC30" s="7">
        <f t="shared" si="18"/>
        <v>0.56653992395437258</v>
      </c>
      <c r="AD30" s="7">
        <f t="shared" si="19"/>
        <v>0.47851543117991485</v>
      </c>
      <c r="AE30" s="7">
        <f t="shared" si="20"/>
        <v>0.46671024372023545</v>
      </c>
      <c r="AF30" s="7">
        <f t="shared" si="21"/>
        <v>0.63258785942492013</v>
      </c>
      <c r="AG30" s="7">
        <f t="shared" si="22"/>
        <v>0.66666666666666674</v>
      </c>
      <c r="AH30" s="7">
        <f t="shared" si="23"/>
        <v>0.66519823788546262</v>
      </c>
      <c r="AI30" s="7">
        <f t="shared" si="24"/>
        <v>0.42857142857142855</v>
      </c>
      <c r="AJ30" s="7" t="e">
        <f>(#REF!-(MIN(#REF!)))/((MAX(#REF!))-(MIN(#REF!)))</f>
        <v>#REF!</v>
      </c>
      <c r="AK30" s="7" t="e">
        <f t="shared" si="25"/>
        <v>#DIV/0!</v>
      </c>
    </row>
    <row r="31" spans="1:37" x14ac:dyDescent="0.25">
      <c r="A31" s="5" t="s">
        <v>57</v>
      </c>
      <c r="B31" s="7">
        <f t="shared" si="15"/>
        <v>6.6157106634882621E-3</v>
      </c>
      <c r="C31" s="7">
        <f t="shared" si="16"/>
        <v>5.6950068203082078E-2</v>
      </c>
      <c r="D31" s="7" t="e">
        <f>SQRT((O7-$O$4)^2+(Q7-$Q$4)^2+(R7-$R$4)^2+(S7-$S$4)^2+(U7-$U$4)^2+(V7-$V$4)^2+(X7-$X$4)^2+(Y7-$Y$4)^2+(#REF!-#REF!)^2+(#REF!-#REF!)^2)</f>
        <v>#REF!</v>
      </c>
      <c r="E31" s="7" t="e">
        <f>SQRT((O7-$O$5)^2+(Q7-$Q$5)^2+(R7-$R$5)^2+(S7-$S$5)^2+(U7-$U$5)^2+(V7-$V$5)^2+(X7-$X$5)^2+(Y7-$Y$5)^2+(#REF!-#REF!)^2+(#REF!-#REF!)^2)</f>
        <v>#REF!</v>
      </c>
      <c r="F31" t="e">
        <f t="shared" si="26"/>
        <v>#REF!</v>
      </c>
      <c r="O31" t="s">
        <v>52</v>
      </c>
      <c r="P31" s="7">
        <v>0.47379032258064507</v>
      </c>
      <c r="Q31" s="7">
        <v>0.47908745247148282</v>
      </c>
      <c r="R31" s="7">
        <v>0.34047831695941272</v>
      </c>
      <c r="S31" s="7">
        <v>0.36221869455598099</v>
      </c>
      <c r="T31" s="7">
        <v>0.47603833865814682</v>
      </c>
      <c r="U31" s="7">
        <v>0.49166666666666681</v>
      </c>
      <c r="V31" s="7">
        <v>0.52422907488986781</v>
      </c>
      <c r="W31" s="7">
        <v>0.81250000000000011</v>
      </c>
      <c r="X31" s="7">
        <v>0.36585365853658525</v>
      </c>
      <c r="Y31" s="7">
        <v>0.66666666666666663</v>
      </c>
      <c r="AB31" s="7">
        <f t="shared" si="17"/>
        <v>0.71169354838709686</v>
      </c>
      <c r="AC31" s="7">
        <f t="shared" si="18"/>
        <v>0.79340937896070973</v>
      </c>
      <c r="AD31" s="7">
        <f t="shared" si="19"/>
        <v>0.69008633521881535</v>
      </c>
      <c r="AE31" s="7">
        <f t="shared" si="20"/>
        <v>0.67335885703613785</v>
      </c>
      <c r="AF31" s="7">
        <f t="shared" si="21"/>
        <v>0.83067092651757168</v>
      </c>
      <c r="AG31" s="7">
        <f t="shared" si="22"/>
        <v>0.89166666666666672</v>
      </c>
      <c r="AH31" s="7">
        <f t="shared" si="23"/>
        <v>0.65638766519823766</v>
      </c>
      <c r="AI31" s="7">
        <f t="shared" si="24"/>
        <v>0.84821428571428559</v>
      </c>
      <c r="AJ31" s="7" t="e">
        <f>(#REF!-(MIN(#REF!)))/((MAX(#REF!))-(MIN(#REF!)))</f>
        <v>#REF!</v>
      </c>
      <c r="AK31" s="7" t="e">
        <f t="shared" si="25"/>
        <v>#DIV/0!</v>
      </c>
    </row>
    <row r="32" spans="1:37" x14ac:dyDescent="0.25">
      <c r="A32" s="5" t="s">
        <v>55</v>
      </c>
      <c r="B32" s="7">
        <f t="shared" si="15"/>
        <v>5.9288968283099402E-2</v>
      </c>
      <c r="C32" s="7">
        <f t="shared" si="16"/>
        <v>2.1515416702922757E-2</v>
      </c>
      <c r="D32" s="7" t="e">
        <f>SQRT((O8-$O$4)^2+(Q8-$Q$4)^2+(R8-$R$4)^2+(S8-$S$4)^2+(U8-$U$4)^2+(V8-$V$4)^2+(X8-$X$4)^2+(Y8-$Y$4)^2+(#REF!-#REF!)^2+(#REF!-#REF!)^2)</f>
        <v>#REF!</v>
      </c>
      <c r="E32" s="7" t="e">
        <f>SQRT((O8-$O$5)^2+(Q8-$Q$5)^2+(R8-$R$5)^2+(S8-$S$5)^2+(U8-$U$5)^2+(V8-$V$5)^2+(X8-$X$5)^2+(Y8-$Y$5)^2+(#REF!-#REF!)^2+(#REF!-#REF!)^2)</f>
        <v>#REF!</v>
      </c>
      <c r="F32" t="e">
        <f t="shared" si="26"/>
        <v>#REF!</v>
      </c>
      <c r="O32" t="s">
        <v>45</v>
      </c>
      <c r="P32" s="7">
        <v>0.52419354838709664</v>
      </c>
      <c r="Q32" s="7">
        <v>0.56653992395437258</v>
      </c>
      <c r="R32" s="7">
        <v>0.47851543117991485</v>
      </c>
      <c r="S32" s="7">
        <v>0.46671024372023545</v>
      </c>
      <c r="T32" s="7">
        <v>0.63258785942492013</v>
      </c>
      <c r="U32" s="7">
        <v>0.66666666666666674</v>
      </c>
      <c r="V32" s="7">
        <v>0.66519823788546262</v>
      </c>
      <c r="W32" s="7">
        <v>0.42857142857142855</v>
      </c>
      <c r="X32" s="7">
        <v>0.36585365853658525</v>
      </c>
      <c r="Y32" s="7">
        <v>0.5</v>
      </c>
      <c r="AB32" s="7">
        <f t="shared" si="17"/>
        <v>0.56249999999999967</v>
      </c>
      <c r="AC32" s="7">
        <f t="shared" si="18"/>
        <v>0.10519645120405567</v>
      </c>
      <c r="AD32" s="7">
        <f t="shared" si="19"/>
        <v>0.13773940656941555</v>
      </c>
      <c r="AE32" s="7">
        <f t="shared" si="20"/>
        <v>9.8328508730973985E-2</v>
      </c>
      <c r="AF32" s="7">
        <f t="shared" si="21"/>
        <v>0.57827476038338654</v>
      </c>
      <c r="AG32" s="7">
        <f t="shared" si="22"/>
        <v>0.625</v>
      </c>
      <c r="AH32" s="7">
        <f t="shared" si="23"/>
        <v>0.57268722466960331</v>
      </c>
      <c r="AI32" s="7">
        <f t="shared" si="24"/>
        <v>0.27678571428571419</v>
      </c>
      <c r="AJ32" s="7" t="e">
        <f>(#REF!-(MIN(#REF!)))/((MAX(#REF!))-(MIN(#REF!)))</f>
        <v>#REF!</v>
      </c>
      <c r="AK32" s="7" t="e">
        <f t="shared" si="25"/>
        <v>#DIV/0!</v>
      </c>
    </row>
    <row r="33" spans="1:37" x14ac:dyDescent="0.25">
      <c r="A33" s="5" t="s">
        <v>44</v>
      </c>
      <c r="B33" s="7">
        <f t="shared" si="15"/>
        <v>5.8315796514749191E-2</v>
      </c>
      <c r="C33" s="7">
        <f t="shared" si="16"/>
        <v>1.1414666717741027E-2</v>
      </c>
      <c r="D33" s="7" t="e">
        <f>SQRT((O9-$O$4)^2+(Q9-$Q$4)^2+(R9-$R$4)^2+(S9-$S$4)^2+(U9-$U$4)^2+(V9-$V$4)^2+(X9-$X$4)^2+(Y9-$Y$4)^2+(#REF!-#REF!)^2+(#REF!-#REF!)^2)</f>
        <v>#REF!</v>
      </c>
      <c r="E33" s="7" t="e">
        <f>SQRT((O9-$O$5)^2+(Q9-$Q$5)^2+(R9-$R$5)^2+(S9-$S$5)^2+(U9-$U$5)^2+(V9-$V$5)^2+(X9-$X$5)^2+(Y9-$Y$5)^2+(#REF!-#REF!)^2+(#REF!-#REF!)^2)</f>
        <v>#REF!</v>
      </c>
      <c r="F33" t="e">
        <f t="shared" si="26"/>
        <v>#REF!</v>
      </c>
      <c r="O33" t="s">
        <v>55</v>
      </c>
      <c r="P33" s="7">
        <v>0.56249999999999967</v>
      </c>
      <c r="Q33" s="7">
        <v>0.10519645120405567</v>
      </c>
      <c r="R33" s="7">
        <v>0.13773940656941555</v>
      </c>
      <c r="S33" s="7">
        <v>9.8328508730973985E-2</v>
      </c>
      <c r="T33" s="7">
        <v>0.57827476038338654</v>
      </c>
      <c r="U33" s="7">
        <v>0.625</v>
      </c>
      <c r="V33" s="7">
        <v>0.57268722466960331</v>
      </c>
      <c r="W33" s="7">
        <v>0.27678571428571419</v>
      </c>
      <c r="X33" s="7">
        <v>0.43902439024390233</v>
      </c>
      <c r="Y33" s="7">
        <v>0.66666666666666663</v>
      </c>
      <c r="AB33" s="7">
        <f t="shared" si="17"/>
        <v>0.1915322580645161</v>
      </c>
      <c r="AC33" s="7">
        <f t="shared" si="18"/>
        <v>1.5209125475284919E-2</v>
      </c>
      <c r="AD33" s="7">
        <f t="shared" si="19"/>
        <v>5.8251463729284615E-2</v>
      </c>
      <c r="AE33" s="7">
        <f t="shared" si="20"/>
        <v>5.4440190493977123E-2</v>
      </c>
      <c r="AF33" s="7">
        <f t="shared" si="21"/>
        <v>0.22364217252396151</v>
      </c>
      <c r="AG33" s="7">
        <f t="shared" si="22"/>
        <v>0.27499999999999997</v>
      </c>
      <c r="AH33" s="7">
        <f t="shared" si="23"/>
        <v>0.62995594713656378</v>
      </c>
      <c r="AI33" s="7">
        <f t="shared" si="24"/>
        <v>0.13392857142857148</v>
      </c>
      <c r="AJ33" s="7" t="e">
        <f>(#REF!-(MIN(#REF!)))/((MAX(#REF!))-(MIN(#REF!)))</f>
        <v>#REF!</v>
      </c>
      <c r="AK33" s="7" t="e">
        <f t="shared" si="25"/>
        <v>#DIV/0!</v>
      </c>
    </row>
    <row r="34" spans="1:37" x14ac:dyDescent="0.25">
      <c r="A34" s="5" t="s">
        <v>34</v>
      </c>
      <c r="B34" s="7">
        <f t="shared" si="15"/>
        <v>1.4261757701655976E-2</v>
      </c>
      <c r="C34" s="7">
        <f t="shared" si="16"/>
        <v>4.214179879076875E-2</v>
      </c>
      <c r="D34" s="7" t="e">
        <f>SQRT((O10-$O$4)^2+(Q10-$Q$4)^2+(R10-$R$4)^2+(S10-$S$4)^2+(U10-$U$4)^2+(V10-$V$4)^2+(X10-$X$4)^2+(Y10-$Y$4)^2+(#REF!-#REF!)^2+(#REF!-#REF!)^2)</f>
        <v>#REF!</v>
      </c>
      <c r="E34" s="7" t="e">
        <f>SQRT((O10-$O$5)^2+(Q10-$Q$5)^2+(R10-$R$5)^2+(S10-$S$5)^2+(U10-$U$5)^2+(V10-$V$5)^2+(X10-$X$5)^2+(Y10-$Y$5)^2+(#REF!-#REF!)^2+(#REF!-#REF!)^2)</f>
        <v>#REF!</v>
      </c>
      <c r="F34" t="e">
        <f t="shared" si="26"/>
        <v>#REF!</v>
      </c>
      <c r="O34" s="5" t="s">
        <v>34</v>
      </c>
      <c r="P34" s="7">
        <v>0.33467741935483875</v>
      </c>
      <c r="Q34" s="7">
        <v>0.56273764258555126</v>
      </c>
      <c r="R34" s="7">
        <v>0.53458370546789713</v>
      </c>
      <c r="S34" s="7">
        <v>0.50210103651134563</v>
      </c>
      <c r="T34" s="7">
        <v>0.59424920127795522</v>
      </c>
      <c r="U34" s="7">
        <v>0.51666666666666661</v>
      </c>
      <c r="V34" s="7">
        <v>0.6387665198237884</v>
      </c>
      <c r="W34" s="7">
        <v>0.57142857142857129</v>
      </c>
      <c r="X34" s="7">
        <v>0.56097560975609739</v>
      </c>
      <c r="Y34" s="7">
        <v>0.33333333333333331</v>
      </c>
      <c r="AB34" s="7">
        <f t="shared" si="17"/>
        <v>0.33467741935483875</v>
      </c>
      <c r="AC34" s="7">
        <f t="shared" si="18"/>
        <v>0.56273764258555126</v>
      </c>
      <c r="AD34" s="7">
        <f t="shared" si="19"/>
        <v>0.53458370546789713</v>
      </c>
      <c r="AE34" s="7">
        <f t="shared" si="20"/>
        <v>0.50210103651134563</v>
      </c>
      <c r="AF34" s="7">
        <f t="shared" si="21"/>
        <v>0.59424920127795522</v>
      </c>
      <c r="AG34" s="7">
        <f t="shared" si="22"/>
        <v>0.51666666666666661</v>
      </c>
      <c r="AH34" s="7">
        <f t="shared" si="23"/>
        <v>0.6387665198237884</v>
      </c>
      <c r="AI34" s="7">
        <f t="shared" si="24"/>
        <v>0.57142857142857129</v>
      </c>
      <c r="AJ34" s="7" t="e">
        <f>(#REF!-(MIN(#REF!)))/((MAX(#REF!))-(MIN(#REF!)))</f>
        <v>#REF!</v>
      </c>
      <c r="AK34" s="7" t="e">
        <f t="shared" si="25"/>
        <v>#DIV/0!</v>
      </c>
    </row>
    <row r="35" spans="1:37" x14ac:dyDescent="0.25">
      <c r="A35" s="5" t="s">
        <v>38</v>
      </c>
      <c r="B35" s="7">
        <f t="shared" si="15"/>
        <v>5.2271141655386669E-2</v>
      </c>
      <c r="C35" s="7">
        <f t="shared" si="16"/>
        <v>0</v>
      </c>
      <c r="D35" s="7" t="e">
        <f>SQRT((O11-$O$4)^2+(Q11-$Q$4)^2+(R11-$R$4)^2+(S11-$S$4)^2+(U11-$U$4)^2+(V11-$V$4)^2+(X11-$X$4)^2+(Y11-$Y$4)^2+(#REF!-#REF!)^2+(#REF!-#REF!)^2)</f>
        <v>#REF!</v>
      </c>
      <c r="E35" s="7" t="e">
        <f>SQRT((O11-$O$5)^2+(Q11-$Q$5)^2+(R11-$R$5)^2+(S11-$S$5)^2+(U11-$U$5)^2+(V11-$V$5)^2+(X11-$X$5)^2+(Y11-$Y$5)^2+(#REF!-#REF!)^2+(#REF!-#REF!)^2)</f>
        <v>#REF!</v>
      </c>
      <c r="F35" t="e">
        <f t="shared" si="26"/>
        <v>#REF!</v>
      </c>
      <c r="O35" s="5" t="s">
        <v>38</v>
      </c>
      <c r="P35" s="7">
        <v>3.6290322580645115E-2</v>
      </c>
      <c r="Q35" s="7">
        <v>0</v>
      </c>
      <c r="R35" s="7">
        <v>4.0587476431477761E-2</v>
      </c>
      <c r="S35" s="7">
        <v>6.5552339153982592E-2</v>
      </c>
      <c r="T35" s="7">
        <v>0.13099041533546329</v>
      </c>
      <c r="U35" s="7">
        <v>0.13333333333333333</v>
      </c>
      <c r="V35" s="7">
        <v>0.62995594713656378</v>
      </c>
      <c r="W35" s="7">
        <v>3.5714285714285678E-2</v>
      </c>
      <c r="X35" s="7">
        <v>0.6585365853658538</v>
      </c>
      <c r="Y35" s="7">
        <v>0.83333333333333337</v>
      </c>
      <c r="AB35" s="7">
        <f t="shared" si="17"/>
        <v>3.6290322580645115E-2</v>
      </c>
      <c r="AC35" s="7">
        <f t="shared" si="18"/>
        <v>0</v>
      </c>
      <c r="AD35" s="7">
        <f t="shared" si="19"/>
        <v>4.0587476431477761E-2</v>
      </c>
      <c r="AE35" s="7">
        <f t="shared" si="20"/>
        <v>6.5552339153982592E-2</v>
      </c>
      <c r="AF35" s="7">
        <f t="shared" si="21"/>
        <v>0.13099041533546329</v>
      </c>
      <c r="AG35" s="7">
        <f t="shared" si="22"/>
        <v>0.13333333333333333</v>
      </c>
      <c r="AH35" s="7">
        <f t="shared" si="23"/>
        <v>0.62995594713656378</v>
      </c>
      <c r="AI35" s="7">
        <f t="shared" si="24"/>
        <v>3.5714285714285678E-2</v>
      </c>
      <c r="AJ35" s="7" t="e">
        <f>(#REF!-(MIN(#REF!)))/((MAX(#REF!))-(MIN(#REF!)))</f>
        <v>#REF!</v>
      </c>
      <c r="AK35" s="7" t="e">
        <f t="shared" si="25"/>
        <v>#DIV/0!</v>
      </c>
    </row>
    <row r="36" spans="1:37" x14ac:dyDescent="0.25">
      <c r="A36" s="5" t="s">
        <v>59</v>
      </c>
      <c r="B36" s="7">
        <f t="shared" si="15"/>
        <v>3.1635463672728577E-2</v>
      </c>
      <c r="C36" s="7">
        <f t="shared" si="16"/>
        <v>2.5210926002735178E-2</v>
      </c>
      <c r="D36" s="7" t="e">
        <f>SQRT((O12-$O$4)^2+(Q12-$Q$4)^2+(R12-$R$4)^2+(S12-$S$4)^2+(U12-$U$4)^2+(V12-$V$4)^2+(X12-$X$4)^2+(Y12-$Y$4)^2+(#REF!-#REF!)^2+(#REF!-#REF!)^2)</f>
        <v>#REF!</v>
      </c>
      <c r="E36" s="7" t="e">
        <f>SQRT((O12-$O$5)^2+(Q12-$Q$5)^2+(R12-$R$5)^2+(S12-$S$5)^2+(U12-$U$5)^2+(V12-$V$5)^2+(X12-$X$5)^2+(Y12-$Y$5)^2+(#REF!-#REF!)^2+(#REF!-#REF!)^2)</f>
        <v>#REF!</v>
      </c>
      <c r="F36" t="e">
        <f t="shared" si="26"/>
        <v>#REF!</v>
      </c>
      <c r="O36" s="5" t="s">
        <v>33</v>
      </c>
      <c r="P36" s="7">
        <v>0.40322580645161266</v>
      </c>
      <c r="Q36" s="7">
        <v>0.62357414448669191</v>
      </c>
      <c r="R36" s="7">
        <v>0.6002778604743475</v>
      </c>
      <c r="S36" s="7">
        <v>0.56167709403305643</v>
      </c>
      <c r="T36" s="7">
        <v>0.61341853035143756</v>
      </c>
      <c r="U36" s="7">
        <v>0.52499999999999991</v>
      </c>
      <c r="V36" s="7">
        <v>0.55506607929515406</v>
      </c>
      <c r="W36" s="7">
        <v>0.52678571428571441</v>
      </c>
      <c r="X36" s="7">
        <v>0.63414634146341453</v>
      </c>
      <c r="Y36" s="7">
        <v>0.5</v>
      </c>
      <c r="AB36" s="7">
        <f t="shared" si="17"/>
        <v>4.0322580645160578E-3</v>
      </c>
      <c r="AC36" s="7">
        <f t="shared" si="18"/>
        <v>0.23320659062103907</v>
      </c>
      <c r="AD36" s="7">
        <f t="shared" si="19"/>
        <v>0.30961595713009826</v>
      </c>
      <c r="AE36" s="7">
        <f t="shared" si="20"/>
        <v>0.2916238677747689</v>
      </c>
      <c r="AF36" s="7">
        <f t="shared" si="21"/>
        <v>0</v>
      </c>
      <c r="AG36" s="7">
        <f t="shared" si="22"/>
        <v>0</v>
      </c>
      <c r="AH36" s="7">
        <f t="shared" si="23"/>
        <v>0.58590308370044042</v>
      </c>
      <c r="AI36" s="7">
        <f t="shared" si="24"/>
        <v>0</v>
      </c>
      <c r="AJ36" s="7" t="e">
        <f>(#REF!-(MIN(#REF!)))/((MAX(#REF!))-(MIN(#REF!)))</f>
        <v>#REF!</v>
      </c>
      <c r="AK36" s="7" t="e">
        <f t="shared" si="25"/>
        <v>#DIV/0!</v>
      </c>
    </row>
    <row r="37" spans="1:37" x14ac:dyDescent="0.25">
      <c r="A37" s="5" t="s">
        <v>39</v>
      </c>
      <c r="B37" s="7">
        <f t="shared" si="15"/>
        <v>9.1882888696794614E-3</v>
      </c>
      <c r="C37" s="7">
        <f t="shared" si="16"/>
        <v>5.7298008094299892E-2</v>
      </c>
      <c r="D37" s="7" t="e">
        <f>SQRT((O13-$O$4)^2+(Q13-$Q$4)^2+(R13-$R$4)^2+(S13-$S$4)^2+(U13-$U$4)^2+(V13-$V$4)^2+(X13-$X$4)^2+(Y13-$Y$4)^2+(#REF!-#REF!)^2+(#REF!-#REF!)^2)</f>
        <v>#REF!</v>
      </c>
      <c r="E37" s="7" t="e">
        <f>SQRT((O13-$O$5)^2+(Q13-$Q$5)^2+(R13-$R$5)^2+(S13-$S$5)^2+(U13-$U$5)^2+(V13-$V$5)^2+(X13-$X$5)^2+(Y13-$Y$5)^2+(#REF!-#REF!)^2+(#REF!-#REF!)^2)</f>
        <v>#REF!</v>
      </c>
      <c r="F37" t="e">
        <f t="shared" si="26"/>
        <v>#REF!</v>
      </c>
      <c r="O37" s="5" t="s">
        <v>46</v>
      </c>
      <c r="P37" s="7">
        <v>0.63306451612903247</v>
      </c>
      <c r="Q37" s="7">
        <v>0.5171102661596958</v>
      </c>
      <c r="R37" s="7">
        <v>0.44973702490820694</v>
      </c>
      <c r="S37" s="7">
        <v>0.42898496591651886</v>
      </c>
      <c r="T37" s="7">
        <v>0.60383386581469634</v>
      </c>
      <c r="U37" s="7">
        <v>0.52499999999999991</v>
      </c>
      <c r="V37" s="7">
        <v>0.47136563876651977</v>
      </c>
      <c r="W37" s="7">
        <v>0.68749999999999989</v>
      </c>
      <c r="X37" s="7">
        <v>0.26829268292682928</v>
      </c>
      <c r="Y37" s="7">
        <v>0.16666666666666666</v>
      </c>
      <c r="AB37" s="7">
        <f t="shared" si="17"/>
        <v>1</v>
      </c>
      <c r="AC37" s="7">
        <f t="shared" si="18"/>
        <v>0.82636248415716085</v>
      </c>
      <c r="AD37" s="7">
        <f t="shared" si="19"/>
        <v>0.73355165227746366</v>
      </c>
      <c r="AE37" s="7">
        <f t="shared" si="20"/>
        <v>0.698571295172285</v>
      </c>
      <c r="AF37" s="7">
        <f t="shared" si="21"/>
        <v>1</v>
      </c>
      <c r="AG37" s="7">
        <f t="shared" si="22"/>
        <v>1</v>
      </c>
      <c r="AH37" s="7">
        <f t="shared" si="23"/>
        <v>0.62995594713656378</v>
      </c>
      <c r="AI37" s="7">
        <f t="shared" si="24"/>
        <v>1</v>
      </c>
      <c r="AJ37" s="7" t="e">
        <f>(#REF!-(MIN(#REF!)))/((MAX(#REF!))-(MIN(#REF!)))</f>
        <v>#REF!</v>
      </c>
      <c r="AK37" s="7" t="e">
        <f t="shared" si="25"/>
        <v>#DIV/0!</v>
      </c>
    </row>
    <row r="38" spans="1:37" x14ac:dyDescent="0.25">
      <c r="A38" s="5" t="s">
        <v>58</v>
      </c>
      <c r="B38" s="7">
        <f t="shared" si="15"/>
        <v>2.9728959940666509E-2</v>
      </c>
      <c r="C38" s="7">
        <f t="shared" si="16"/>
        <v>8.0761913529583659E-2</v>
      </c>
      <c r="D38" s="7" t="e">
        <f>SQRT((O14-$O$4)^2+(Q14-$Q$4)^2+(R14-$R$4)^2+(S14-$S$4)^2+(U14-$U$4)^2+(V14-$V$4)^2+(X14-$X$4)^2+(Y14-$Y$4)^2+(#REF!-#REF!)^2+(#REF!-#REF!)^2)</f>
        <v>#REF!</v>
      </c>
      <c r="E38" s="7" t="e">
        <f>SQRT((O14-$O$5)^2+(Q14-$Q$5)^2+(R14-$R$5)^2+(S14-$S$5)^2+(U14-$U$5)^2+(V14-$V$5)^2+(X14-$X$5)^2+(Y14-$Y$5)^2+(#REF!-#REF!)^2+(#REF!-#REF!)^2)</f>
        <v>#REF!</v>
      </c>
      <c r="F38" t="e">
        <f t="shared" si="26"/>
        <v>#REF!</v>
      </c>
      <c r="O38" s="5" t="s">
        <v>47</v>
      </c>
      <c r="P38" s="7">
        <v>0</v>
      </c>
      <c r="Q38" s="7">
        <v>0.38276299112801004</v>
      </c>
      <c r="R38" s="7">
        <v>0.41629453210280859</v>
      </c>
      <c r="S38" s="7">
        <v>0.43963021757400322</v>
      </c>
      <c r="T38" s="7">
        <v>2.5559105431309979E-2</v>
      </c>
      <c r="U38" s="7">
        <v>0</v>
      </c>
      <c r="V38" s="7">
        <v>0.75770925110132159</v>
      </c>
      <c r="W38" s="7">
        <v>9.8214285714285643E-2</v>
      </c>
      <c r="X38" s="7">
        <v>0.7804878048780487</v>
      </c>
      <c r="Y38" s="7">
        <v>0.5</v>
      </c>
      <c r="AB38" s="7">
        <f t="shared" si="17"/>
        <v>0.71370967741935465</v>
      </c>
      <c r="AC38" s="7">
        <f t="shared" si="18"/>
        <v>1</v>
      </c>
      <c r="AD38" s="7">
        <f t="shared" si="19"/>
        <v>1</v>
      </c>
      <c r="AE38" s="7">
        <f t="shared" si="20"/>
        <v>1</v>
      </c>
      <c r="AF38" s="7">
        <f t="shared" si="21"/>
        <v>0.86900958466453648</v>
      </c>
      <c r="AG38" s="7">
        <f t="shared" si="22"/>
        <v>0.88333333333333341</v>
      </c>
      <c r="AH38" s="7">
        <f t="shared" si="23"/>
        <v>0</v>
      </c>
      <c r="AI38" s="7">
        <f t="shared" si="24"/>
        <v>1</v>
      </c>
      <c r="AJ38" s="7" t="e">
        <f>(#REF!-(MIN(#REF!)))/((MAX(#REF!))-(MIN(#REF!)))</f>
        <v>#REF!</v>
      </c>
      <c r="AK38" s="7" t="e">
        <f t="shared" si="25"/>
        <v>#DIV/0!</v>
      </c>
    </row>
    <row r="39" spans="1:37" x14ac:dyDescent="0.25">
      <c r="A39" s="5" t="s">
        <v>33</v>
      </c>
      <c r="B39" s="7">
        <f t="shared" si="15"/>
        <v>1.1926459774015739E-2</v>
      </c>
      <c r="C39" s="7">
        <f t="shared" si="16"/>
        <v>4.6855889916582134E-2</v>
      </c>
      <c r="D39" s="7" t="e">
        <f>SQRT((O15-$O$4)^2+(Q15-$Q$4)^2+(R15-$R$4)^2+(S15-$S$4)^2+(U15-$U$4)^2+(V15-$V$4)^2+(X15-$X$4)^2+(Y15-$Y$4)^2+(#REF!-#REF!)^2+(#REF!-#REF!)^2)</f>
        <v>#REF!</v>
      </c>
      <c r="E39" s="7" t="e">
        <f>SQRT((O15-$O$5)^2+(Q15-$Q$5)^2+(R15-$R$5)^2+(S15-$S$5)^2+(U15-$U$5)^2+(V15-$V$5)^2+(X15-$X$5)^2+(Y15-$Y$5)^2+(#REF!-#REF!)^2+(#REF!-#REF!)^2)</f>
        <v>#REF!</v>
      </c>
      <c r="F39" t="e">
        <f t="shared" si="26"/>
        <v>#REF!</v>
      </c>
      <c r="O39" s="5" t="s">
        <v>60</v>
      </c>
      <c r="P39" s="7">
        <v>0.52822580645161277</v>
      </c>
      <c r="Q39" s="7">
        <v>0.67934093789607075</v>
      </c>
      <c r="R39" s="7">
        <v>0.55512553339287507</v>
      </c>
      <c r="S39" s="7">
        <v>0.5314221682696797</v>
      </c>
      <c r="T39" s="7">
        <v>0.51757188498402551</v>
      </c>
      <c r="U39" s="7">
        <v>0.6166666666666667</v>
      </c>
      <c r="V39" s="7">
        <v>0.70044052863436113</v>
      </c>
      <c r="W39" s="7">
        <v>0.91071428571428559</v>
      </c>
      <c r="X39" s="7">
        <v>0.31707317073170727</v>
      </c>
      <c r="Y39" s="7">
        <v>0.16666666666666666</v>
      </c>
      <c r="AB39" s="7">
        <f t="shared" si="17"/>
        <v>0.40322580645161266</v>
      </c>
      <c r="AC39" s="7">
        <f t="shared" si="18"/>
        <v>0.62357414448669191</v>
      </c>
      <c r="AD39" s="7">
        <f t="shared" si="19"/>
        <v>0.6002778604743475</v>
      </c>
      <c r="AE39" s="7">
        <f t="shared" si="20"/>
        <v>0.56167709403305643</v>
      </c>
      <c r="AF39" s="7">
        <f t="shared" si="21"/>
        <v>0.61341853035143756</v>
      </c>
      <c r="AG39" s="7">
        <f t="shared" si="22"/>
        <v>0.52499999999999991</v>
      </c>
      <c r="AH39" s="7">
        <f t="shared" si="23"/>
        <v>0.55506607929515406</v>
      </c>
      <c r="AI39" s="7">
        <f t="shared" si="24"/>
        <v>0.52678571428571441</v>
      </c>
      <c r="AJ39" s="7" t="e">
        <f>(#REF!-(MIN(#REF!)))/((MAX(#REF!))-(MIN(#REF!)))</f>
        <v>#REF!</v>
      </c>
      <c r="AK39" s="7" t="e">
        <f t="shared" si="25"/>
        <v>#DIV/0!</v>
      </c>
    </row>
    <row r="40" spans="1:37" x14ac:dyDescent="0.25">
      <c r="A40" s="5" t="s">
        <v>46</v>
      </c>
      <c r="B40" s="7">
        <f t="shared" si="15"/>
        <v>1.7190380408720531E-2</v>
      </c>
      <c r="C40" s="7">
        <f t="shared" si="16"/>
        <v>3.7448620600731404E-2</v>
      </c>
      <c r="D40" s="7" t="e">
        <f>SQRT((O16-$O$4)^2+(Q16-$Q$4)^2+(R16-$R$4)^2+(S16-$S$4)^2+(U16-$U$4)^2+(V16-$V$4)^2+(X16-$X$4)^2+(Y16-$Y$4)^2+(#REF!-#REF!)^2+(#REF!-#REF!)^2)</f>
        <v>#REF!</v>
      </c>
      <c r="E40" s="7" t="e">
        <f>SQRT((O16-$O$5)^2+(Q16-$Q$5)^2+(R16-$R$5)^2+(S16-$S$5)^2+(U16-$U$5)^2+(V16-$V$5)^2+(X16-$X$5)^2+(Y16-$Y$5)^2+(#REF!-#REF!)^2+(#REF!-#REF!)^2)</f>
        <v>#REF!</v>
      </c>
      <c r="F40" t="e">
        <f t="shared" si="26"/>
        <v>#REF!</v>
      </c>
      <c r="O40" s="5" t="s">
        <v>51</v>
      </c>
      <c r="P40" s="7">
        <v>0.2963709677419355</v>
      </c>
      <c r="Q40" s="7">
        <v>0.37896070975918866</v>
      </c>
      <c r="R40" s="7">
        <v>0.39664582713109081</v>
      </c>
      <c r="S40" s="7">
        <v>0.37333084321598664</v>
      </c>
      <c r="T40" s="7">
        <v>0.45047923322683708</v>
      </c>
      <c r="U40" s="7">
        <v>0.29166666666666669</v>
      </c>
      <c r="V40" s="7">
        <v>0.68722466960352402</v>
      </c>
      <c r="W40" s="7">
        <v>0.11607142857142841</v>
      </c>
      <c r="X40" s="7">
        <v>0.51219512195121963</v>
      </c>
      <c r="Y40" s="7">
        <v>0.5</v>
      </c>
      <c r="AB40" s="7">
        <f t="shared" si="17"/>
        <v>0.63306451612903247</v>
      </c>
      <c r="AC40" s="7">
        <f t="shared" si="18"/>
        <v>0.5171102661596958</v>
      </c>
      <c r="AD40" s="7">
        <f t="shared" si="19"/>
        <v>0.44973702490820694</v>
      </c>
      <c r="AE40" s="7">
        <f t="shared" si="20"/>
        <v>0.42898496591651886</v>
      </c>
      <c r="AF40" s="7">
        <f t="shared" si="21"/>
        <v>0.60383386581469634</v>
      </c>
      <c r="AG40" s="7">
        <f t="shared" si="22"/>
        <v>0.52499999999999991</v>
      </c>
      <c r="AH40" s="7">
        <f t="shared" si="23"/>
        <v>0.47136563876651977</v>
      </c>
      <c r="AI40" s="7">
        <f t="shared" si="24"/>
        <v>0.68749999999999989</v>
      </c>
      <c r="AJ40" s="7" t="e">
        <f>(#REF!-(MIN(#REF!)))/((MAX(#REF!))-(MIN(#REF!)))</f>
        <v>#REF!</v>
      </c>
      <c r="AK40" s="7" t="e">
        <f t="shared" si="25"/>
        <v>#DIV/0!</v>
      </c>
    </row>
    <row r="41" spans="1:37" x14ac:dyDescent="0.25">
      <c r="A41" s="5" t="s">
        <v>48</v>
      </c>
      <c r="B41" s="7">
        <f t="shared" si="15"/>
        <v>6.6215206993296333E-2</v>
      </c>
      <c r="C41" s="7">
        <f t="shared" si="16"/>
        <v>1.8348150454457757E-2</v>
      </c>
      <c r="D41" s="7" t="e">
        <f>SQRT((O17-$O$4)^2+(Q17-$Q$4)^2+(R17-$R$4)^2+(S17-$S$4)^2+(U17-$U$4)^2+(V17-$V$4)^2+(X17-$X$4)^2+(Y17-$Y$4)^2+(#REF!-#REF!)^2+(#REF!-#REF!)^2)</f>
        <v>#REF!</v>
      </c>
      <c r="E41" s="7" t="e">
        <f>SQRT((O17-$O$5)^2+(Q17-$Q$5)^2+(R17-$R$5)^2+(S17-$S$5)^2+(U17-$U$5)^2+(V17-$V$5)^2+(X17-$X$5)^2+(Y17-$Y$5)^2+(#REF!-#REF!)^2+(#REF!-#REF!)^2)</f>
        <v>#REF!</v>
      </c>
      <c r="F41" t="e">
        <f t="shared" si="26"/>
        <v>#REF!</v>
      </c>
      <c r="P41" s="7">
        <f t="shared" ref="P41:Y41" si="28">AVERAGE(P31:P40)</f>
        <v>0.37923387096774186</v>
      </c>
      <c r="Q41" s="7">
        <f t="shared" si="28"/>
        <v>0.42953105196451197</v>
      </c>
      <c r="R41" s="7">
        <f t="shared" si="28"/>
        <v>0.39499851146174464</v>
      </c>
      <c r="S41" s="7">
        <f t="shared" si="28"/>
        <v>0.38299561116817638</v>
      </c>
      <c r="T41" s="7">
        <f t="shared" si="28"/>
        <v>0.46230031948881783</v>
      </c>
      <c r="U41" s="7">
        <f t="shared" si="28"/>
        <v>0.43916666666666665</v>
      </c>
      <c r="V41" s="7">
        <f t="shared" si="28"/>
        <v>0.6202643171806167</v>
      </c>
      <c r="W41" s="7">
        <f t="shared" si="28"/>
        <v>0.44642857142857134</v>
      </c>
      <c r="X41" s="7">
        <f t="shared" si="28"/>
        <v>0.49024390243902438</v>
      </c>
      <c r="Y41" s="7">
        <f t="shared" si="28"/>
        <v>0.48333333333333328</v>
      </c>
      <c r="AB41" s="7">
        <f t="shared" si="17"/>
        <v>0.25806451612903203</v>
      </c>
      <c r="AC41" s="7">
        <f t="shared" si="18"/>
        <v>3.0418250950570179E-2</v>
      </c>
      <c r="AD41" s="7">
        <f t="shared" si="19"/>
        <v>0</v>
      </c>
      <c r="AE41" s="7">
        <f t="shared" si="20"/>
        <v>0</v>
      </c>
      <c r="AF41" s="7">
        <f t="shared" si="21"/>
        <v>0.40894568690095839</v>
      </c>
      <c r="AG41" s="7">
        <f t="shared" si="22"/>
        <v>0.45833333333333331</v>
      </c>
      <c r="AH41" s="7">
        <f t="shared" si="23"/>
        <v>0.45814977973568266</v>
      </c>
      <c r="AI41" s="7">
        <f t="shared" si="24"/>
        <v>0.16964285714285701</v>
      </c>
      <c r="AJ41" s="7" t="e">
        <f>(#REF!-(MIN(#REF!)))/((MAX(#REF!))-(MIN(#REF!)))</f>
        <v>#REF!</v>
      </c>
      <c r="AK41" s="7" t="e">
        <f t="shared" si="25"/>
        <v>#DIV/0!</v>
      </c>
    </row>
    <row r="42" spans="1:37" x14ac:dyDescent="0.25">
      <c r="A42" s="5" t="s">
        <v>47</v>
      </c>
      <c r="B42" s="7">
        <f t="shared" si="15"/>
        <v>1.4674849072114646E-2</v>
      </c>
      <c r="C42" s="7">
        <f t="shared" si="16"/>
        <v>4.316039446509063E-2</v>
      </c>
      <c r="D42" s="7" t="e">
        <f>SQRT((O18-$O$4)^2+(Q18-$Q$4)^2+(R18-$R$4)^2+(S18-$S$4)^2+(U18-$U$4)^2+(V18-$V$4)^2+(X18-$X$4)^2+(Y18-$Y$4)^2+(#REF!-#REF!)^2+(#REF!-#REF!)^2)</f>
        <v>#REF!</v>
      </c>
      <c r="E42" s="7" t="e">
        <f>SQRT((O18-$O$5)^2+(Q18-$Q$5)^2+(R18-$R$5)^2+(S18-$S$5)^2+(U18-$U$5)^2+(V18-$V$5)^2+(X18-$X$5)^2+(Y18-$Y$5)^2+(#REF!-#REF!)^2+(#REF!-#REF!)^2)</f>
        <v>#REF!</v>
      </c>
      <c r="F42" t="e">
        <f t="shared" si="26"/>
        <v>#REF!</v>
      </c>
      <c r="O42" s="5" t="s">
        <v>102</v>
      </c>
      <c r="P42" s="7"/>
      <c r="Q42" s="7"/>
      <c r="R42" s="7"/>
      <c r="S42" s="7"/>
      <c r="T42" s="7"/>
      <c r="U42" s="7"/>
      <c r="V42" s="7"/>
      <c r="W42" s="7"/>
      <c r="X42" s="7"/>
      <c r="Y42" s="7"/>
      <c r="AB42" s="7">
        <f t="shared" si="17"/>
        <v>0</v>
      </c>
      <c r="AC42" s="7">
        <f t="shared" si="18"/>
        <v>0.38276299112801004</v>
      </c>
      <c r="AD42" s="7">
        <f t="shared" si="19"/>
        <v>0.41629453210280859</v>
      </c>
      <c r="AE42" s="7">
        <f t="shared" si="20"/>
        <v>0.43963021757400322</v>
      </c>
      <c r="AF42" s="7">
        <f t="shared" si="21"/>
        <v>2.5559105431309979E-2</v>
      </c>
      <c r="AG42" s="7">
        <f t="shared" si="22"/>
        <v>0</v>
      </c>
      <c r="AH42" s="7">
        <f t="shared" si="23"/>
        <v>0.75770925110132159</v>
      </c>
      <c r="AI42" s="7">
        <f t="shared" si="24"/>
        <v>9.8214285714285643E-2</v>
      </c>
      <c r="AJ42" s="7" t="e">
        <f>(#REF!-(MIN(#REF!)))/((MAX(#REF!))-(MIN(#REF!)))</f>
        <v>#REF!</v>
      </c>
      <c r="AK42" s="7" t="e">
        <f t="shared" si="25"/>
        <v>#DIV/0!</v>
      </c>
    </row>
    <row r="43" spans="1:37" x14ac:dyDescent="0.25">
      <c r="A43" s="5" t="s">
        <v>60</v>
      </c>
      <c r="B43" s="7">
        <f t="shared" si="15"/>
        <v>9.7157955614588995E-3</v>
      </c>
      <c r="C43" s="7">
        <f t="shared" si="16"/>
        <v>4.521798294308578E-2</v>
      </c>
      <c r="D43" s="7" t="e">
        <f>SQRT((O19-$O$4)^2+(Q19-$Q$4)^2+(R19-$R$4)^2+(S19-$S$4)^2+(U19-$U$4)^2+(V19-$V$4)^2+(X19-$X$4)^2+(Y19-$Y$4)^2+(#REF!-#REF!)^2+(#REF!-#REF!)^2)</f>
        <v>#REF!</v>
      </c>
      <c r="E43" s="7" t="e">
        <f>SQRT((O19-$O$5)^2+(Q19-$Q$5)^2+(R19-$R$5)^2+(S19-$S$5)^2+(U19-$U$5)^2+(V19-$V$5)^2+(X19-$X$5)^2+(Y19-$Y$5)^2+(#REF!-#REF!)^2+(#REF!-#REF!)^2)</f>
        <v>#REF!</v>
      </c>
      <c r="F43" t="e">
        <f t="shared" si="26"/>
        <v>#REF!</v>
      </c>
      <c r="O43" s="5" t="s">
        <v>49</v>
      </c>
      <c r="P43" s="7">
        <v>0.63104838709677469</v>
      </c>
      <c r="Q43" s="7">
        <v>0.38149556400506962</v>
      </c>
      <c r="R43" s="7">
        <v>0.25146372928450944</v>
      </c>
      <c r="S43" s="7">
        <v>0.20123260808665613</v>
      </c>
      <c r="T43" s="7">
        <v>0.78274760383386577</v>
      </c>
      <c r="U43" s="7">
        <v>0.75833333333333341</v>
      </c>
      <c r="V43" s="7">
        <v>1</v>
      </c>
      <c r="W43" s="7">
        <v>0.78571428571428559</v>
      </c>
      <c r="X43" s="7">
        <v>0.97560975609756106</v>
      </c>
      <c r="Y43" s="7">
        <v>0.5</v>
      </c>
      <c r="AB43" s="7">
        <f t="shared" si="17"/>
        <v>0.52822580645161277</v>
      </c>
      <c r="AC43" s="7">
        <f t="shared" si="18"/>
        <v>0.67934093789607075</v>
      </c>
      <c r="AD43" s="7">
        <f t="shared" si="19"/>
        <v>0.55512553339287507</v>
      </c>
      <c r="AE43" s="7">
        <f t="shared" si="20"/>
        <v>0.5314221682696797</v>
      </c>
      <c r="AF43" s="7">
        <f t="shared" si="21"/>
        <v>0.51757188498402551</v>
      </c>
      <c r="AG43" s="7">
        <f t="shared" si="22"/>
        <v>0.6166666666666667</v>
      </c>
      <c r="AH43" s="7">
        <f t="shared" si="23"/>
        <v>0.70044052863436113</v>
      </c>
      <c r="AI43" s="7">
        <f t="shared" si="24"/>
        <v>0.91071428571428559</v>
      </c>
      <c r="AJ43" s="7" t="e">
        <f>(#REF!-(MIN(#REF!)))/((MAX(#REF!))-(MIN(#REF!)))</f>
        <v>#REF!</v>
      </c>
      <c r="AK43" s="7" t="e">
        <f t="shared" si="25"/>
        <v>#DIV/0!</v>
      </c>
    </row>
    <row r="44" spans="1:37" x14ac:dyDescent="0.25">
      <c r="A44" s="5" t="s">
        <v>51</v>
      </c>
      <c r="B44" s="7">
        <f t="shared" si="15"/>
        <v>2.3770409020098304E-2</v>
      </c>
      <c r="C44" s="7">
        <f t="shared" si="16"/>
        <v>3.1439899940092171E-2</v>
      </c>
      <c r="D44" s="7" t="e">
        <f>SQRT((O20-$O$4)^2+(Q20-$Q$4)^2+(R20-$R$4)^2+(S20-$S$4)^2+(U20-$U$4)^2+(V20-$V$4)^2+(X20-$X$4)^2+(Y20-$Y$4)^2+(#REF!-#REF!)^2+(#REF!-#REF!)^2)</f>
        <v>#REF!</v>
      </c>
      <c r="E44" s="7" t="e">
        <f>SQRT((O20-$O$5)^2+(Q20-$Q$5)^2+(R20-$R$5)^2+(S20-$S$5)^2+(U20-$U$5)^2+(V20-$V$5)^2+(X20-$X$5)^2+(Y20-$Y$5)^2+(#REF!-#REF!)^2+(#REF!-#REF!)^2)</f>
        <v>#REF!</v>
      </c>
      <c r="F44" t="e">
        <f t="shared" si="26"/>
        <v>#REF!</v>
      </c>
      <c r="O44" s="5" t="s">
        <v>57</v>
      </c>
      <c r="P44" s="7">
        <v>0.71169354838709686</v>
      </c>
      <c r="Q44" s="7">
        <v>0.79340937896070973</v>
      </c>
      <c r="R44" s="7">
        <v>0.69008633521881535</v>
      </c>
      <c r="S44" s="7">
        <v>0.67335885703613785</v>
      </c>
      <c r="T44" s="7">
        <v>0.83067092651757168</v>
      </c>
      <c r="U44" s="7">
        <v>0.89166666666666672</v>
      </c>
      <c r="V44" s="7">
        <v>0.65638766519823766</v>
      </c>
      <c r="W44" s="7">
        <v>0.84821428571428559</v>
      </c>
      <c r="X44" s="7">
        <v>1</v>
      </c>
      <c r="Y44" s="7">
        <v>0.33333333333333331</v>
      </c>
      <c r="AB44" s="7">
        <f t="shared" si="17"/>
        <v>0.2963709677419355</v>
      </c>
      <c r="AC44" s="7">
        <f t="shared" si="18"/>
        <v>0.37896070975918866</v>
      </c>
      <c r="AD44" s="7">
        <f t="shared" si="19"/>
        <v>0.39664582713109081</v>
      </c>
      <c r="AE44" s="7">
        <f t="shared" si="20"/>
        <v>0.37333084321598664</v>
      </c>
      <c r="AF44" s="7">
        <f t="shared" si="21"/>
        <v>0.45047923322683708</v>
      </c>
      <c r="AG44" s="7">
        <f t="shared" si="22"/>
        <v>0.29166666666666669</v>
      </c>
      <c r="AH44" s="7">
        <f t="shared" si="23"/>
        <v>0.68722466960352402</v>
      </c>
      <c r="AI44" s="7">
        <f t="shared" si="24"/>
        <v>0.11607142857142841</v>
      </c>
      <c r="AJ44" s="7" t="e">
        <f>(#REF!-(MIN(#REF!)))/((MAX(#REF!))-(MIN(#REF!)))</f>
        <v>#REF!</v>
      </c>
      <c r="AK44" s="7" t="e">
        <f t="shared" si="25"/>
        <v>#DIV/0!</v>
      </c>
    </row>
    <row r="45" spans="1:37" x14ac:dyDescent="0.25">
      <c r="A45" s="5" t="s">
        <v>43</v>
      </c>
      <c r="B45" s="7">
        <f t="shared" si="15"/>
        <v>2.4490419182625206E-2</v>
      </c>
      <c r="C45" s="7">
        <f t="shared" si="16"/>
        <v>2.9087693083133644E-2</v>
      </c>
      <c r="D45" s="7" t="e">
        <f>SQRT((O21-$O$4)^2+(Q21-$Q$4)^2+(R21-$R$4)^2+(S21-$S$4)^2+(U21-$U$4)^2+(V21-$V$4)^2+(X21-$X$4)^2+(Y21-$Y$4)^2+(#REF!-#REF!)^2+(#REF!-#REF!)^2)</f>
        <v>#REF!</v>
      </c>
      <c r="E45" s="7" t="e">
        <f>SQRT((O21-$O$5)^2+(Q21-$Q$5)^2+(R21-$R$5)^2+(S21-$S$5)^2+(U21-$U$5)^2+(V21-$V$5)^2+(X21-$X$5)^2+(Y21-$Y$5)^2+(#REF!-#REF!)^2+(#REF!-#REF!)^2)</f>
        <v>#REF!</v>
      </c>
      <c r="F45" t="e">
        <f t="shared" si="26"/>
        <v>#REF!</v>
      </c>
      <c r="P45" s="7">
        <f>AVERAGE(P43:P44)</f>
        <v>0.67137096774193572</v>
      </c>
      <c r="Q45" s="7">
        <f t="shared" ref="Q45:Y45" si="29">AVERAGE(Q43:Q44)</f>
        <v>0.5874524714828897</v>
      </c>
      <c r="R45" s="7">
        <f t="shared" si="29"/>
        <v>0.4707750322516624</v>
      </c>
      <c r="S45" s="7">
        <f t="shared" si="29"/>
        <v>0.43729573256139698</v>
      </c>
      <c r="T45" s="7">
        <f t="shared" si="29"/>
        <v>0.80670926517571873</v>
      </c>
      <c r="U45" s="7">
        <f t="shared" si="29"/>
        <v>0.82500000000000007</v>
      </c>
      <c r="V45" s="7">
        <f t="shared" si="29"/>
        <v>0.82819383259911883</v>
      </c>
      <c r="W45" s="7">
        <f t="shared" si="29"/>
        <v>0.81696428571428559</v>
      </c>
      <c r="X45" s="7">
        <f t="shared" si="29"/>
        <v>0.98780487804878048</v>
      </c>
      <c r="Y45" s="7">
        <f t="shared" si="29"/>
        <v>0.41666666666666663</v>
      </c>
      <c r="AB45" s="7">
        <f t="shared" si="17"/>
        <v>0.22379032258064507</v>
      </c>
      <c r="AC45" s="7">
        <f t="shared" si="18"/>
        <v>0.36248415716096327</v>
      </c>
      <c r="AD45" s="7">
        <f t="shared" si="19"/>
        <v>0.34911183884092506</v>
      </c>
      <c r="AE45" s="7">
        <f t="shared" si="20"/>
        <v>0.34083481184050812</v>
      </c>
      <c r="AF45" s="7">
        <f t="shared" si="21"/>
        <v>0.30670926517571889</v>
      </c>
      <c r="AG45" s="7">
        <f t="shared" si="22"/>
        <v>0.40833333333333333</v>
      </c>
      <c r="AH45" s="7">
        <f t="shared" si="23"/>
        <v>0.85022026431718056</v>
      </c>
      <c r="AI45" s="7">
        <f t="shared" si="24"/>
        <v>7.1428571428571355E-2</v>
      </c>
      <c r="AJ45" s="7" t="e">
        <f>(#REF!-(MIN(#REF!)))/((MAX(#REF!))-(MIN(#REF!)))</f>
        <v>#REF!</v>
      </c>
      <c r="AK45" s="7" t="e">
        <f t="shared" si="25"/>
        <v>#DIV/0!</v>
      </c>
    </row>
    <row r="46" spans="1:37" x14ac:dyDescent="0.25">
      <c r="O46" s="5" t="s">
        <v>108</v>
      </c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37" x14ac:dyDescent="0.25">
      <c r="A47" s="5" t="s">
        <v>94</v>
      </c>
      <c r="B47" s="7">
        <v>0.75604838709677402</v>
      </c>
      <c r="C47" s="7">
        <v>0.87072243346007594</v>
      </c>
      <c r="D47" s="7">
        <v>0.77218748966292894</v>
      </c>
      <c r="E47" s="7">
        <v>0.76054409064027151</v>
      </c>
      <c r="F47" s="7">
        <v>0.84877529286474962</v>
      </c>
      <c r="G47" s="7">
        <v>0.84166666666666679</v>
      </c>
      <c r="H47" s="7">
        <v>0.37591776798825255</v>
      </c>
      <c r="I47" s="7">
        <v>0.99404761904761907</v>
      </c>
      <c r="J47" s="7">
        <v>0.11382113821138205</v>
      </c>
      <c r="K47" s="7">
        <v>0.61111111111111105</v>
      </c>
      <c r="O47" s="5" t="s">
        <v>54</v>
      </c>
      <c r="P47" s="7">
        <v>0.5342741935483869</v>
      </c>
      <c r="Q47" s="7">
        <v>0.35107731305449941</v>
      </c>
      <c r="R47" s="7">
        <v>0.27131090602361824</v>
      </c>
      <c r="S47" s="7">
        <v>0.23681015967877497</v>
      </c>
      <c r="T47" s="7">
        <v>0.33865814696485608</v>
      </c>
      <c r="U47" s="7">
        <v>0.60833333333333339</v>
      </c>
      <c r="V47" s="7">
        <v>0.14096916299559484</v>
      </c>
      <c r="W47" s="7">
        <v>0.3035714285714286</v>
      </c>
      <c r="X47" s="7">
        <v>0.12195121951219509</v>
      </c>
      <c r="Y47" s="7">
        <v>0.16666666666666666</v>
      </c>
    </row>
    <row r="48" spans="1:37" x14ac:dyDescent="0.25">
      <c r="A48" s="5" t="s">
        <v>95</v>
      </c>
      <c r="B48" s="7">
        <v>0.37923387096774186</v>
      </c>
      <c r="C48" s="7">
        <v>0.42953105196451197</v>
      </c>
      <c r="D48" s="7">
        <v>0.39499851146174464</v>
      </c>
      <c r="E48" s="7">
        <v>0.38299561116817638</v>
      </c>
      <c r="F48" s="7">
        <v>0.46230031948881783</v>
      </c>
      <c r="G48" s="7">
        <v>0.43916666666666665</v>
      </c>
      <c r="H48" s="7">
        <v>0.6202643171806167</v>
      </c>
      <c r="I48" s="7">
        <v>0.44642857142857134</v>
      </c>
      <c r="J48" s="7">
        <v>0.49024390243902438</v>
      </c>
      <c r="K48" s="7">
        <v>0.48333333333333328</v>
      </c>
      <c r="O48" s="5" t="s">
        <v>44</v>
      </c>
      <c r="P48" s="7">
        <v>0.1915322580645161</v>
      </c>
      <c r="Q48" s="7">
        <v>1.5209125475284919E-2</v>
      </c>
      <c r="R48" s="7">
        <v>5.8251463729284615E-2</v>
      </c>
      <c r="S48" s="7">
        <v>5.4440190493977123E-2</v>
      </c>
      <c r="T48" s="7">
        <v>0.22364217252396151</v>
      </c>
      <c r="U48" s="7">
        <v>0.27499999999999997</v>
      </c>
      <c r="V48" s="7">
        <v>0.62995594713656378</v>
      </c>
      <c r="W48" s="7">
        <v>0.13392857142857148</v>
      </c>
      <c r="X48" s="7">
        <v>0.56097560975609739</v>
      </c>
      <c r="Y48" s="7">
        <v>0.33333333333333331</v>
      </c>
    </row>
    <row r="49" spans="1:25" x14ac:dyDescent="0.25">
      <c r="A49" s="5" t="s">
        <v>102</v>
      </c>
      <c r="B49" s="7">
        <v>0.67137096774193572</v>
      </c>
      <c r="C49" s="7">
        <v>0.5874524714828897</v>
      </c>
      <c r="D49" s="7">
        <v>0.4707750322516624</v>
      </c>
      <c r="E49" s="7">
        <v>0.43729573256139698</v>
      </c>
      <c r="F49" s="7">
        <v>0.80670926517571873</v>
      </c>
      <c r="G49" s="7">
        <v>0.82500000000000007</v>
      </c>
      <c r="H49" s="7">
        <v>0.82819383259911883</v>
      </c>
      <c r="I49" s="7">
        <v>0.81696428571428559</v>
      </c>
      <c r="J49" s="7">
        <v>0.98780487804878048</v>
      </c>
      <c r="K49" s="7">
        <v>0.41666666666666663</v>
      </c>
      <c r="O49" s="5" t="s">
        <v>59</v>
      </c>
      <c r="P49" s="7">
        <v>4.0322580645160578E-3</v>
      </c>
      <c r="Q49" s="7">
        <v>0.23320659062103907</v>
      </c>
      <c r="R49" s="7">
        <v>0.30961595713009826</v>
      </c>
      <c r="S49" s="7">
        <v>0.2916238677747689</v>
      </c>
      <c r="T49" s="7">
        <v>0</v>
      </c>
      <c r="U49" s="7">
        <v>0</v>
      </c>
      <c r="V49" s="7">
        <v>0.58590308370044042</v>
      </c>
      <c r="W49" s="7">
        <v>0</v>
      </c>
      <c r="X49" s="7">
        <v>0.73170731707317049</v>
      </c>
      <c r="Y49" s="7">
        <v>0</v>
      </c>
    </row>
    <row r="50" spans="1:25" x14ac:dyDescent="0.25">
      <c r="A50" s="5" t="s">
        <v>108</v>
      </c>
      <c r="B50" s="7">
        <v>0.24233870967741922</v>
      </c>
      <c r="C50" s="7">
        <v>0.19847908745247136</v>
      </c>
      <c r="D50" s="7">
        <v>0.19765803314478525</v>
      </c>
      <c r="E50" s="7">
        <v>0.18474180595760584</v>
      </c>
      <c r="F50" s="7">
        <v>0.25559105431309898</v>
      </c>
      <c r="G50" s="7">
        <v>0.35</v>
      </c>
      <c r="H50" s="7">
        <v>0.53303964757709243</v>
      </c>
      <c r="I50" s="7">
        <v>0.1357142857142857</v>
      </c>
      <c r="J50" s="7">
        <v>0.50243902439024379</v>
      </c>
      <c r="K50" s="7">
        <v>0.23333333333333331</v>
      </c>
      <c r="O50" s="5" t="s">
        <v>48</v>
      </c>
      <c r="P50" s="7">
        <v>0.25806451612903203</v>
      </c>
      <c r="Q50" s="7">
        <v>3.0418250950570179E-2</v>
      </c>
      <c r="R50" s="7">
        <v>0</v>
      </c>
      <c r="S50" s="7">
        <v>0</v>
      </c>
      <c r="T50" s="7">
        <v>0.40894568690095839</v>
      </c>
      <c r="U50" s="7">
        <v>0.45833333333333331</v>
      </c>
      <c r="V50" s="7">
        <v>0.45814977973568266</v>
      </c>
      <c r="W50" s="7">
        <v>0.16964285714285701</v>
      </c>
      <c r="X50" s="7">
        <v>0.68292682926829273</v>
      </c>
      <c r="Y50" s="7">
        <v>0.33333333333333331</v>
      </c>
    </row>
    <row r="51" spans="1:25" x14ac:dyDescent="0.25">
      <c r="O51" s="5" t="s">
        <v>43</v>
      </c>
      <c r="P51" s="7">
        <v>0.22379032258064507</v>
      </c>
      <c r="Q51" s="7">
        <v>0.36248415716096327</v>
      </c>
      <c r="R51" s="7">
        <v>0.34911183884092506</v>
      </c>
      <c r="S51" s="7">
        <v>0.34083481184050812</v>
      </c>
      <c r="T51" s="7">
        <v>0.30670926517571889</v>
      </c>
      <c r="U51" s="7">
        <v>0.40833333333333333</v>
      </c>
      <c r="V51" s="7">
        <v>0.85022026431718056</v>
      </c>
      <c r="W51" s="7">
        <v>7.1428571428571355E-2</v>
      </c>
      <c r="X51" s="7">
        <v>0.41463414634146345</v>
      </c>
      <c r="Y51" s="7">
        <v>0.33333333333333331</v>
      </c>
    </row>
    <row r="52" spans="1:25" x14ac:dyDescent="0.25">
      <c r="P52" s="7">
        <f>AVERAGE(P47:P51)</f>
        <v>0.24233870967741922</v>
      </c>
      <c r="Q52" s="7">
        <f t="shared" ref="Q52:Y52" si="30">AVERAGE(Q47:Q51)</f>
        <v>0.19847908745247136</v>
      </c>
      <c r="R52" s="7">
        <f t="shared" si="30"/>
        <v>0.19765803314478525</v>
      </c>
      <c r="S52" s="7">
        <f t="shared" si="30"/>
        <v>0.18474180595760584</v>
      </c>
      <c r="T52" s="7">
        <f t="shared" si="30"/>
        <v>0.25559105431309898</v>
      </c>
      <c r="U52" s="7">
        <f t="shared" si="30"/>
        <v>0.35</v>
      </c>
      <c r="V52" s="7">
        <f t="shared" si="30"/>
        <v>0.53303964757709243</v>
      </c>
      <c r="W52" s="7">
        <f t="shared" si="30"/>
        <v>0.1357142857142857</v>
      </c>
      <c r="X52" s="7">
        <f t="shared" si="30"/>
        <v>0.50243902439024379</v>
      </c>
      <c r="Y52" s="7">
        <f t="shared" si="30"/>
        <v>0.23333333333333331</v>
      </c>
    </row>
    <row r="53" spans="1:25" s="9" customFormat="1" x14ac:dyDescent="0.25">
      <c r="A53" s="9" t="s">
        <v>114</v>
      </c>
      <c r="F53" s="12" t="s">
        <v>113</v>
      </c>
    </row>
    <row r="54" spans="1:25" x14ac:dyDescent="0.25">
      <c r="O54" t="s">
        <v>94</v>
      </c>
    </row>
    <row r="55" spans="1:25" x14ac:dyDescent="0.25">
      <c r="A55" s="5" t="s">
        <v>42</v>
      </c>
      <c r="B55" s="7" t="e">
        <f t="shared" ref="B55:B74" si="31">SQRT((AB26-$P$29)^2+(AC26-$Q$29)^2+(AD26-$R$29)^2+(AE26-$S$29)^2+(AF26-$T$29)^2+(AG26-$U$29)^2+(AH26-$V$29)^2+(AI26-$W$29)^2+(AJ26-$X$29)^2+(AK26-$Y$29)^2)</f>
        <v>#REF!</v>
      </c>
      <c r="C55" t="e">
        <f t="shared" ref="C55:C74" si="32">SQRT((AB26-$P$41)^2+(AC26-$Q$41)^2+(AD26-$R$41)^2+(AE26-$S$41)^2+(AF26-$T$41)^2+(AG26-$U$41)^2+(AH26-$V$41)^2+(AI26-$W$41)^2+(AJ26-$X$41)^2+(AK26-$Y$41)^2)</f>
        <v>#REF!</v>
      </c>
      <c r="D55" t="e">
        <f t="shared" ref="D55:D74" si="33">SQRT((AB26-$P$45)^2+(AC26-$Q$45)^2+(AD26-$R$45)^2+(AE26-$S$45)^2+(AF26-$T$45)^2+(AG26-$U$45)^2+(AH26-$V$45)^2+(AI26-$W$45)^2+(AJ26-$X$45)^2+(AK26-$Y$45)^2)</f>
        <v>#REF!</v>
      </c>
      <c r="E55" t="e">
        <f t="shared" ref="E55:E74" si="34">SQRT((AB26-$P$52)^2+(AC26-$Q$52)^2+(AD26-$R$52)^2+(AE26-$S$52)^2+(AF26-$T$52)^2+(AG26-$U$52)^2+(AH26-$V$52)^2+(AI26-$W$52)^2+(AJ26-$X$52)^2+(AK26-$Y$52)^2)</f>
        <v>#REF!</v>
      </c>
      <c r="F55" t="e">
        <f>MATCH(MIN(B55:E55), B55:E55, 0)</f>
        <v>#REF!</v>
      </c>
      <c r="O55" t="s">
        <v>42</v>
      </c>
      <c r="P55" s="7">
        <v>0.55443548387096742</v>
      </c>
      <c r="Q55" s="7">
        <v>0.78580481622306686</v>
      </c>
      <c r="R55" s="7">
        <v>0.58301081671132282</v>
      </c>
      <c r="S55" s="7">
        <v>0.58306097674852941</v>
      </c>
      <c r="T55" s="7">
        <v>0.67731629392971238</v>
      </c>
      <c r="U55" s="7">
        <v>0.64166666666666683</v>
      </c>
      <c r="V55" s="7">
        <v>0.49779735682819393</v>
      </c>
      <c r="W55" s="7">
        <v>0.98214285714285721</v>
      </c>
      <c r="X55" s="7">
        <v>0.17073170731707307</v>
      </c>
      <c r="Y55" s="7">
        <v>1</v>
      </c>
    </row>
    <row r="56" spans="1:25" x14ac:dyDescent="0.25">
      <c r="A56" s="5" t="s">
        <v>52</v>
      </c>
      <c r="B56" s="7" t="e">
        <f t="shared" si="31"/>
        <v>#REF!</v>
      </c>
      <c r="C56" t="e">
        <f t="shared" si="32"/>
        <v>#REF!</v>
      </c>
      <c r="D56" t="e">
        <f t="shared" si="33"/>
        <v>#REF!</v>
      </c>
      <c r="E56" t="e">
        <f t="shared" si="34"/>
        <v>#REF!</v>
      </c>
      <c r="F56" t="e">
        <f t="shared" ref="F56:F74" si="35">MATCH(MIN(B56:E56), B56:E56, 0)</f>
        <v>#REF!</v>
      </c>
      <c r="O56" t="s">
        <v>39</v>
      </c>
      <c r="P56" s="7">
        <v>1</v>
      </c>
      <c r="Q56" s="7">
        <v>0.82636248415716085</v>
      </c>
      <c r="R56" s="7">
        <v>0.73355165227746366</v>
      </c>
      <c r="S56" s="7">
        <v>0.698571295172285</v>
      </c>
      <c r="T56" s="7">
        <v>1</v>
      </c>
      <c r="U56" s="7">
        <v>1</v>
      </c>
      <c r="V56" s="7">
        <v>0.62995594713656378</v>
      </c>
      <c r="W56" s="7">
        <v>1</v>
      </c>
      <c r="X56" s="7">
        <v>0.17073170731707307</v>
      </c>
      <c r="Y56" s="7">
        <v>0.5</v>
      </c>
    </row>
    <row r="57" spans="1:25" x14ac:dyDescent="0.25">
      <c r="A57" s="5" t="s">
        <v>49</v>
      </c>
      <c r="B57" s="7" t="e">
        <f t="shared" si="31"/>
        <v>#REF!</v>
      </c>
      <c r="C57" t="e">
        <f t="shared" si="32"/>
        <v>#REF!</v>
      </c>
      <c r="D57" t="e">
        <f t="shared" si="33"/>
        <v>#REF!</v>
      </c>
      <c r="E57" t="e">
        <f t="shared" si="34"/>
        <v>#REF!</v>
      </c>
      <c r="F57" t="e">
        <f t="shared" si="35"/>
        <v>#REF!</v>
      </c>
      <c r="O57" t="s">
        <v>58</v>
      </c>
      <c r="P57" s="7">
        <v>0.71370967741935465</v>
      </c>
      <c r="Q57" s="7">
        <v>1</v>
      </c>
      <c r="R57" s="7">
        <v>1</v>
      </c>
      <c r="S57" s="7">
        <v>1</v>
      </c>
      <c r="T57" s="7">
        <v>0.86900958466453648</v>
      </c>
      <c r="U57" s="7">
        <v>0.88333333333333341</v>
      </c>
      <c r="V57" s="7">
        <v>0</v>
      </c>
      <c r="W57" s="7">
        <v>1</v>
      </c>
      <c r="X57" s="7">
        <v>0</v>
      </c>
      <c r="Y57" s="7">
        <v>0.33333333333333331</v>
      </c>
    </row>
    <row r="58" spans="1:25" x14ac:dyDescent="0.25">
      <c r="A58" s="5" t="s">
        <v>54</v>
      </c>
      <c r="B58" s="7" t="e">
        <f t="shared" si="31"/>
        <v>#REF!</v>
      </c>
      <c r="C58" t="e">
        <f t="shared" si="32"/>
        <v>#REF!</v>
      </c>
      <c r="D58" t="e">
        <f t="shared" si="33"/>
        <v>#REF!</v>
      </c>
      <c r="E58" t="e">
        <f t="shared" si="34"/>
        <v>#REF!</v>
      </c>
      <c r="F58" t="e">
        <f t="shared" si="35"/>
        <v>#REF!</v>
      </c>
      <c r="P58" s="7">
        <f>AVERAGE(P55:P57)</f>
        <v>0.75604838709677402</v>
      </c>
      <c r="Q58" s="7">
        <f t="shared" ref="Q58:Y58" si="36">AVERAGE(Q55:Q57)</f>
        <v>0.87072243346007594</v>
      </c>
      <c r="R58" s="7">
        <f t="shared" si="36"/>
        <v>0.77218748966292894</v>
      </c>
      <c r="S58" s="7">
        <f t="shared" si="36"/>
        <v>0.76054409064027151</v>
      </c>
      <c r="T58" s="7">
        <f t="shared" si="36"/>
        <v>0.84877529286474962</v>
      </c>
      <c r="U58" s="7">
        <f t="shared" si="36"/>
        <v>0.84166666666666679</v>
      </c>
      <c r="V58" s="7">
        <f t="shared" si="36"/>
        <v>0.37591776798825255</v>
      </c>
      <c r="W58" s="7">
        <f t="shared" si="36"/>
        <v>0.99404761904761907</v>
      </c>
      <c r="X58" s="7">
        <f t="shared" si="36"/>
        <v>0.11382113821138205</v>
      </c>
      <c r="Y58" s="7">
        <f t="shared" si="36"/>
        <v>0.61111111111111105</v>
      </c>
    </row>
    <row r="59" spans="1:25" x14ac:dyDescent="0.25">
      <c r="A59" s="5" t="s">
        <v>45</v>
      </c>
      <c r="B59" s="7" t="e">
        <f t="shared" si="31"/>
        <v>#REF!</v>
      </c>
      <c r="C59" t="e">
        <f t="shared" si="32"/>
        <v>#REF!</v>
      </c>
      <c r="D59" t="e">
        <f t="shared" si="33"/>
        <v>#REF!</v>
      </c>
      <c r="E59" t="e">
        <f t="shared" si="34"/>
        <v>#REF!</v>
      </c>
      <c r="F59" t="e">
        <f t="shared" si="35"/>
        <v>#REF!</v>
      </c>
      <c r="O59" t="s">
        <v>95</v>
      </c>
    </row>
    <row r="60" spans="1:25" x14ac:dyDescent="0.25">
      <c r="A60" s="5" t="s">
        <v>57</v>
      </c>
      <c r="B60" s="7" t="e">
        <f t="shared" si="31"/>
        <v>#REF!</v>
      </c>
      <c r="C60" t="e">
        <f t="shared" si="32"/>
        <v>#REF!</v>
      </c>
      <c r="D60" t="e">
        <f t="shared" si="33"/>
        <v>#REF!</v>
      </c>
      <c r="E60" t="e">
        <f t="shared" si="34"/>
        <v>#REF!</v>
      </c>
      <c r="F60" t="e">
        <f t="shared" si="35"/>
        <v>#REF!</v>
      </c>
      <c r="O60" t="s">
        <v>52</v>
      </c>
      <c r="P60" s="7">
        <v>0.47379032258064507</v>
      </c>
      <c r="Q60" s="7">
        <v>0.47908745247148282</v>
      </c>
      <c r="R60" s="7">
        <v>0.34047831695941272</v>
      </c>
      <c r="S60" s="7">
        <v>0.36221869455598099</v>
      </c>
      <c r="T60" s="7">
        <v>0.47603833865814682</v>
      </c>
      <c r="U60" s="7">
        <v>0.49166666666666681</v>
      </c>
      <c r="V60" s="7">
        <v>0.52422907488986781</v>
      </c>
      <c r="W60" s="7">
        <v>0.81250000000000011</v>
      </c>
      <c r="X60" s="7">
        <v>0.36585365853658525</v>
      </c>
      <c r="Y60" s="7">
        <v>0.66666666666666663</v>
      </c>
    </row>
    <row r="61" spans="1:25" x14ac:dyDescent="0.25">
      <c r="A61" s="5" t="s">
        <v>55</v>
      </c>
      <c r="B61" s="7" t="e">
        <f t="shared" si="31"/>
        <v>#REF!</v>
      </c>
      <c r="C61" t="e">
        <f t="shared" si="32"/>
        <v>#REF!</v>
      </c>
      <c r="D61" t="e">
        <f t="shared" si="33"/>
        <v>#REF!</v>
      </c>
      <c r="E61" t="e">
        <f t="shared" si="34"/>
        <v>#REF!</v>
      </c>
      <c r="F61" t="e">
        <f t="shared" si="35"/>
        <v>#REF!</v>
      </c>
      <c r="O61" t="s">
        <v>45</v>
      </c>
      <c r="P61" s="7">
        <v>0.52419354838709664</v>
      </c>
      <c r="Q61" s="7">
        <v>0.56653992395437258</v>
      </c>
      <c r="R61" s="7">
        <v>0.47851543117991485</v>
      </c>
      <c r="S61" s="7">
        <v>0.46671024372023545</v>
      </c>
      <c r="T61" s="7">
        <v>0.63258785942492013</v>
      </c>
      <c r="U61" s="7">
        <v>0.66666666666666674</v>
      </c>
      <c r="V61" s="7">
        <v>0.66519823788546262</v>
      </c>
      <c r="W61" s="7">
        <v>0.42857142857142855</v>
      </c>
      <c r="X61" s="7">
        <v>0.36585365853658525</v>
      </c>
      <c r="Y61" s="7">
        <v>0.5</v>
      </c>
    </row>
    <row r="62" spans="1:25" x14ac:dyDescent="0.25">
      <c r="A62" s="5" t="s">
        <v>44</v>
      </c>
      <c r="B62" s="7" t="e">
        <f t="shared" si="31"/>
        <v>#REF!</v>
      </c>
      <c r="C62" t="e">
        <f t="shared" si="32"/>
        <v>#REF!</v>
      </c>
      <c r="D62" t="e">
        <f t="shared" si="33"/>
        <v>#REF!</v>
      </c>
      <c r="E62" t="e">
        <f t="shared" si="34"/>
        <v>#REF!</v>
      </c>
      <c r="F62" t="e">
        <f t="shared" si="35"/>
        <v>#REF!</v>
      </c>
      <c r="O62" t="s">
        <v>55</v>
      </c>
      <c r="P62" s="7">
        <v>0.56249999999999967</v>
      </c>
      <c r="Q62" s="7">
        <v>0.10519645120405567</v>
      </c>
      <c r="R62" s="7">
        <v>0.13773940656941555</v>
      </c>
      <c r="S62" s="7">
        <v>9.8328508730973985E-2</v>
      </c>
      <c r="T62" s="7">
        <v>0.57827476038338654</v>
      </c>
      <c r="U62" s="7">
        <v>0.625</v>
      </c>
      <c r="V62" s="7">
        <v>0.57268722466960331</v>
      </c>
      <c r="W62" s="7">
        <v>0.27678571428571419</v>
      </c>
      <c r="X62" s="7">
        <v>0.43902439024390233</v>
      </c>
      <c r="Y62" s="7">
        <v>0.66666666666666663</v>
      </c>
    </row>
    <row r="63" spans="1:25" x14ac:dyDescent="0.25">
      <c r="A63" s="5" t="s">
        <v>34</v>
      </c>
      <c r="B63" s="7" t="e">
        <f t="shared" si="31"/>
        <v>#REF!</v>
      </c>
      <c r="C63" t="e">
        <f t="shared" si="32"/>
        <v>#REF!</v>
      </c>
      <c r="D63" t="e">
        <f t="shared" si="33"/>
        <v>#REF!</v>
      </c>
      <c r="E63" t="e">
        <f t="shared" si="34"/>
        <v>#REF!</v>
      </c>
      <c r="F63" t="e">
        <f t="shared" si="35"/>
        <v>#REF!</v>
      </c>
      <c r="O63" s="5" t="s">
        <v>34</v>
      </c>
      <c r="P63" s="7">
        <v>0.33467741935483875</v>
      </c>
      <c r="Q63" s="7">
        <v>0.56273764258555126</v>
      </c>
      <c r="R63" s="7">
        <v>0.53458370546789713</v>
      </c>
      <c r="S63" s="7">
        <v>0.50210103651134563</v>
      </c>
      <c r="T63" s="7">
        <v>0.59424920127795522</v>
      </c>
      <c r="U63" s="7">
        <v>0.51666666666666661</v>
      </c>
      <c r="V63" s="7">
        <v>0.6387665198237884</v>
      </c>
      <c r="W63" s="7">
        <v>0.57142857142857129</v>
      </c>
      <c r="X63" s="7">
        <v>0.56097560975609739</v>
      </c>
      <c r="Y63" s="7">
        <v>0.33333333333333331</v>
      </c>
    </row>
    <row r="64" spans="1:25" x14ac:dyDescent="0.25">
      <c r="A64" s="5" t="s">
        <v>38</v>
      </c>
      <c r="B64" s="7" t="e">
        <f t="shared" si="31"/>
        <v>#REF!</v>
      </c>
      <c r="C64" t="e">
        <f t="shared" si="32"/>
        <v>#REF!</v>
      </c>
      <c r="D64" t="e">
        <f t="shared" si="33"/>
        <v>#REF!</v>
      </c>
      <c r="E64" t="e">
        <f t="shared" si="34"/>
        <v>#REF!</v>
      </c>
      <c r="F64" t="e">
        <f t="shared" si="35"/>
        <v>#REF!</v>
      </c>
      <c r="O64" s="5" t="s">
        <v>33</v>
      </c>
      <c r="P64" s="7">
        <v>0.40322580645161266</v>
      </c>
      <c r="Q64" s="7">
        <v>0.62357414448669191</v>
      </c>
      <c r="R64" s="7">
        <v>0.6002778604743475</v>
      </c>
      <c r="S64" s="7">
        <v>0.56167709403305643</v>
      </c>
      <c r="T64" s="7">
        <v>0.61341853035143756</v>
      </c>
      <c r="U64" s="7">
        <v>0.52499999999999991</v>
      </c>
      <c r="V64" s="7">
        <v>0.55506607929515406</v>
      </c>
      <c r="W64" s="7">
        <v>0.52678571428571441</v>
      </c>
      <c r="X64" s="7">
        <v>0.63414634146341453</v>
      </c>
      <c r="Y64" s="7">
        <v>0.5</v>
      </c>
    </row>
    <row r="65" spans="1:25" x14ac:dyDescent="0.25">
      <c r="A65" s="5" t="s">
        <v>59</v>
      </c>
      <c r="B65" s="7" t="e">
        <f t="shared" si="31"/>
        <v>#REF!</v>
      </c>
      <c r="C65" t="e">
        <f t="shared" si="32"/>
        <v>#REF!</v>
      </c>
      <c r="D65" t="e">
        <f t="shared" si="33"/>
        <v>#REF!</v>
      </c>
      <c r="E65" t="e">
        <f t="shared" si="34"/>
        <v>#REF!</v>
      </c>
      <c r="F65" t="e">
        <f t="shared" si="35"/>
        <v>#REF!</v>
      </c>
      <c r="O65" s="5" t="s">
        <v>46</v>
      </c>
      <c r="P65" s="7">
        <v>0.63306451612903247</v>
      </c>
      <c r="Q65" s="7">
        <v>0.5171102661596958</v>
      </c>
      <c r="R65" s="7">
        <v>0.44973702490820694</v>
      </c>
      <c r="S65" s="7">
        <v>0.42898496591651886</v>
      </c>
      <c r="T65" s="7">
        <v>0.60383386581469634</v>
      </c>
      <c r="U65" s="7">
        <v>0.52499999999999991</v>
      </c>
      <c r="V65" s="7">
        <v>0.47136563876651977</v>
      </c>
      <c r="W65" s="7">
        <v>0.68749999999999989</v>
      </c>
      <c r="X65" s="7">
        <v>0.26829268292682928</v>
      </c>
      <c r="Y65" s="7">
        <v>0.16666666666666666</v>
      </c>
    </row>
    <row r="66" spans="1:25" x14ac:dyDescent="0.25">
      <c r="A66" s="5" t="s">
        <v>39</v>
      </c>
      <c r="B66" s="7" t="e">
        <f t="shared" si="31"/>
        <v>#REF!</v>
      </c>
      <c r="C66" t="e">
        <f t="shared" si="32"/>
        <v>#REF!</v>
      </c>
      <c r="D66" t="e">
        <f t="shared" si="33"/>
        <v>#REF!</v>
      </c>
      <c r="E66" t="e">
        <f t="shared" si="34"/>
        <v>#REF!</v>
      </c>
      <c r="F66" t="e">
        <f t="shared" si="35"/>
        <v>#REF!</v>
      </c>
      <c r="O66" s="5" t="s">
        <v>60</v>
      </c>
      <c r="P66" s="7">
        <v>0.52822580645161277</v>
      </c>
      <c r="Q66" s="7">
        <v>0.67934093789607075</v>
      </c>
      <c r="R66" s="7">
        <v>0.55512553339287507</v>
      </c>
      <c r="S66" s="7">
        <v>0.5314221682696797</v>
      </c>
      <c r="T66" s="7">
        <v>0.51757188498402551</v>
      </c>
      <c r="U66" s="7">
        <v>0.6166666666666667</v>
      </c>
      <c r="V66" s="7">
        <v>0.70044052863436113</v>
      </c>
      <c r="W66" s="7">
        <v>0.91071428571428559</v>
      </c>
      <c r="X66" s="7">
        <v>0.31707317073170727</v>
      </c>
      <c r="Y66" s="7">
        <v>0.16666666666666666</v>
      </c>
    </row>
    <row r="67" spans="1:25" x14ac:dyDescent="0.25">
      <c r="A67" s="5" t="s">
        <v>58</v>
      </c>
      <c r="B67" s="7" t="e">
        <f t="shared" si="31"/>
        <v>#REF!</v>
      </c>
      <c r="C67" t="e">
        <f t="shared" si="32"/>
        <v>#REF!</v>
      </c>
      <c r="D67" t="e">
        <f t="shared" si="33"/>
        <v>#REF!</v>
      </c>
      <c r="E67" t="e">
        <f t="shared" si="34"/>
        <v>#REF!</v>
      </c>
      <c r="F67" t="e">
        <f t="shared" si="35"/>
        <v>#REF!</v>
      </c>
      <c r="O67" s="5" t="s">
        <v>51</v>
      </c>
      <c r="P67" s="7">
        <v>0.2963709677419355</v>
      </c>
      <c r="Q67" s="7">
        <v>0.37896070975918866</v>
      </c>
      <c r="R67" s="7">
        <v>0.39664582713109081</v>
      </c>
      <c r="S67" s="7">
        <v>0.37333084321598664</v>
      </c>
      <c r="T67" s="7">
        <v>0.45047923322683708</v>
      </c>
      <c r="U67" s="7">
        <v>0.29166666666666669</v>
      </c>
      <c r="V67" s="7">
        <v>0.68722466960352402</v>
      </c>
      <c r="W67" s="7">
        <v>0.11607142857142841</v>
      </c>
      <c r="X67" s="7">
        <v>0.51219512195121963</v>
      </c>
      <c r="Y67" s="7">
        <v>0.5</v>
      </c>
    </row>
    <row r="68" spans="1:25" x14ac:dyDescent="0.25">
      <c r="A68" s="5" t="s">
        <v>33</v>
      </c>
      <c r="B68" s="7" t="e">
        <f t="shared" si="31"/>
        <v>#REF!</v>
      </c>
      <c r="C68" t="e">
        <f t="shared" si="32"/>
        <v>#REF!</v>
      </c>
      <c r="D68" t="e">
        <f t="shared" si="33"/>
        <v>#REF!</v>
      </c>
      <c r="E68" t="e">
        <f t="shared" si="34"/>
        <v>#REF!</v>
      </c>
      <c r="F68" t="e">
        <f t="shared" si="35"/>
        <v>#REF!</v>
      </c>
      <c r="P68" s="7">
        <f>AVERAGE(P60:P67)</f>
        <v>0.4695060483870967</v>
      </c>
      <c r="Q68" s="7">
        <f>AVERAGE(Q60:Q67)</f>
        <v>0.4890684410646387</v>
      </c>
      <c r="R68" s="7">
        <f t="shared" ref="R68:Y68" si="37">AVERAGE(R60:R67)</f>
        <v>0.43663788826039501</v>
      </c>
      <c r="S68" s="7">
        <f t="shared" si="37"/>
        <v>0.4155966943692222</v>
      </c>
      <c r="T68" s="7">
        <f t="shared" si="37"/>
        <v>0.55830670926517567</v>
      </c>
      <c r="U68" s="7">
        <f t="shared" si="37"/>
        <v>0.53229166666666672</v>
      </c>
      <c r="V68" s="7">
        <f t="shared" si="37"/>
        <v>0.60187224669603523</v>
      </c>
      <c r="W68" s="7">
        <f t="shared" si="37"/>
        <v>0.54129464285714279</v>
      </c>
      <c r="X68" s="7">
        <f t="shared" si="37"/>
        <v>0.43292682926829262</v>
      </c>
      <c r="Y68" s="7">
        <f t="shared" si="37"/>
        <v>0.43749999999999994</v>
      </c>
    </row>
    <row r="69" spans="1:25" x14ac:dyDescent="0.25">
      <c r="A69" s="5" t="s">
        <v>46</v>
      </c>
      <c r="B69" s="7" t="e">
        <f t="shared" si="31"/>
        <v>#REF!</v>
      </c>
      <c r="C69" t="e">
        <f t="shared" si="32"/>
        <v>#REF!</v>
      </c>
      <c r="D69" t="e">
        <f t="shared" si="33"/>
        <v>#REF!</v>
      </c>
      <c r="E69" t="e">
        <f t="shared" si="34"/>
        <v>#REF!</v>
      </c>
      <c r="F69" t="e">
        <f t="shared" si="35"/>
        <v>#REF!</v>
      </c>
      <c r="O69" s="5" t="s">
        <v>102</v>
      </c>
    </row>
    <row r="70" spans="1:25" x14ac:dyDescent="0.25">
      <c r="A70" s="5" t="s">
        <v>48</v>
      </c>
      <c r="B70" s="7" t="e">
        <f t="shared" si="31"/>
        <v>#REF!</v>
      </c>
      <c r="C70" t="e">
        <f t="shared" si="32"/>
        <v>#REF!</v>
      </c>
      <c r="D70" t="e">
        <f t="shared" si="33"/>
        <v>#REF!</v>
      </c>
      <c r="E70" t="e">
        <f t="shared" si="34"/>
        <v>#REF!</v>
      </c>
      <c r="F70" t="e">
        <f t="shared" si="35"/>
        <v>#REF!</v>
      </c>
      <c r="O70" s="5" t="s">
        <v>49</v>
      </c>
      <c r="P70" s="7">
        <v>0.63104838709677469</v>
      </c>
      <c r="Q70" s="7">
        <v>0.38149556400506962</v>
      </c>
      <c r="R70" s="7">
        <v>0.25146372928450944</v>
      </c>
      <c r="S70" s="7">
        <v>0.20123260808665613</v>
      </c>
      <c r="T70" s="7">
        <v>0.78274760383386577</v>
      </c>
      <c r="U70" s="7">
        <v>0.75833333333333341</v>
      </c>
      <c r="V70" s="7">
        <v>1</v>
      </c>
      <c r="W70" s="7">
        <v>0.78571428571428559</v>
      </c>
      <c r="X70" s="7">
        <v>0.97560975609756106</v>
      </c>
      <c r="Y70" s="7">
        <v>0.5</v>
      </c>
    </row>
    <row r="71" spans="1:25" x14ac:dyDescent="0.25">
      <c r="A71" s="5" t="s">
        <v>47</v>
      </c>
      <c r="B71" s="7" t="e">
        <f t="shared" si="31"/>
        <v>#REF!</v>
      </c>
      <c r="C71" t="e">
        <f t="shared" si="32"/>
        <v>#REF!</v>
      </c>
      <c r="D71" t="e">
        <f t="shared" si="33"/>
        <v>#REF!</v>
      </c>
      <c r="E71" t="e">
        <f t="shared" si="34"/>
        <v>#REF!</v>
      </c>
      <c r="F71" t="e">
        <f t="shared" si="35"/>
        <v>#REF!</v>
      </c>
      <c r="O71" s="5" t="s">
        <v>57</v>
      </c>
      <c r="P71" s="7">
        <v>0.71169354838709686</v>
      </c>
      <c r="Q71" s="7">
        <v>0.79340937896070973</v>
      </c>
      <c r="R71" s="7">
        <v>0.69008633521881535</v>
      </c>
      <c r="S71" s="7">
        <v>0.67335885703613785</v>
      </c>
      <c r="T71" s="7">
        <v>0.83067092651757168</v>
      </c>
      <c r="U71" s="7">
        <v>0.89166666666666672</v>
      </c>
      <c r="V71" s="7">
        <v>0.65638766519823766</v>
      </c>
      <c r="W71" s="7">
        <v>0.84821428571428559</v>
      </c>
      <c r="X71" s="7">
        <v>1</v>
      </c>
      <c r="Y71" s="7">
        <v>0.33333333333333331</v>
      </c>
    </row>
    <row r="72" spans="1:25" x14ac:dyDescent="0.25">
      <c r="A72" s="5" t="s">
        <v>60</v>
      </c>
      <c r="B72" s="7" t="e">
        <f t="shared" si="31"/>
        <v>#REF!</v>
      </c>
      <c r="C72" t="e">
        <f t="shared" si="32"/>
        <v>#REF!</v>
      </c>
      <c r="D72" t="e">
        <f t="shared" si="33"/>
        <v>#REF!</v>
      </c>
      <c r="E72" t="e">
        <f t="shared" si="34"/>
        <v>#REF!</v>
      </c>
      <c r="F72" t="e">
        <f t="shared" si="35"/>
        <v>#REF!</v>
      </c>
      <c r="P72" s="7">
        <f>AVERAGE(P70:P71)</f>
        <v>0.67137096774193572</v>
      </c>
      <c r="Q72" s="7">
        <f t="shared" ref="Q72:Y72" si="38">AVERAGE(Q70:Q71)</f>
        <v>0.5874524714828897</v>
      </c>
      <c r="R72" s="7">
        <f t="shared" si="38"/>
        <v>0.4707750322516624</v>
      </c>
      <c r="S72" s="7">
        <f t="shared" si="38"/>
        <v>0.43729573256139698</v>
      </c>
      <c r="T72" s="7">
        <f t="shared" si="38"/>
        <v>0.80670926517571873</v>
      </c>
      <c r="U72" s="7">
        <f t="shared" si="38"/>
        <v>0.82500000000000007</v>
      </c>
      <c r="V72" s="7">
        <f t="shared" si="38"/>
        <v>0.82819383259911883</v>
      </c>
      <c r="W72" s="7">
        <f t="shared" si="38"/>
        <v>0.81696428571428559</v>
      </c>
      <c r="X72" s="7">
        <f t="shared" si="38"/>
        <v>0.98780487804878048</v>
      </c>
      <c r="Y72" s="7">
        <f t="shared" si="38"/>
        <v>0.41666666666666663</v>
      </c>
    </row>
    <row r="73" spans="1:25" x14ac:dyDescent="0.25">
      <c r="A73" s="5" t="s">
        <v>51</v>
      </c>
      <c r="B73" s="7" t="e">
        <f t="shared" si="31"/>
        <v>#REF!</v>
      </c>
      <c r="C73" t="e">
        <f t="shared" si="32"/>
        <v>#REF!</v>
      </c>
      <c r="D73" t="e">
        <f t="shared" si="33"/>
        <v>#REF!</v>
      </c>
      <c r="E73" t="e">
        <f t="shared" si="34"/>
        <v>#REF!</v>
      </c>
      <c r="F73" t="e">
        <f t="shared" si="35"/>
        <v>#REF!</v>
      </c>
      <c r="O73" s="5" t="s">
        <v>108</v>
      </c>
    </row>
    <row r="74" spans="1:25" x14ac:dyDescent="0.25">
      <c r="A74" s="5" t="s">
        <v>43</v>
      </c>
      <c r="B74" s="7" t="e">
        <f t="shared" si="31"/>
        <v>#REF!</v>
      </c>
      <c r="C74" t="e">
        <f t="shared" si="32"/>
        <v>#REF!</v>
      </c>
      <c r="D74" t="e">
        <f t="shared" si="33"/>
        <v>#REF!</v>
      </c>
      <c r="E74" t="e">
        <f t="shared" si="34"/>
        <v>#REF!</v>
      </c>
      <c r="F74" t="e">
        <f t="shared" si="35"/>
        <v>#REF!</v>
      </c>
      <c r="O74" s="5" t="s">
        <v>54</v>
      </c>
      <c r="P74" s="7">
        <v>0.5342741935483869</v>
      </c>
      <c r="Q74" s="7">
        <v>0.35107731305449941</v>
      </c>
      <c r="R74" s="7">
        <v>0.27131090602361824</v>
      </c>
      <c r="S74" s="7">
        <v>0.23681015967877497</v>
      </c>
      <c r="T74" s="7">
        <v>0.33865814696485608</v>
      </c>
      <c r="U74" s="7">
        <v>0.60833333333333339</v>
      </c>
      <c r="V74" s="7">
        <v>0.14096916299559484</v>
      </c>
      <c r="W74" s="7">
        <v>0.3035714285714286</v>
      </c>
      <c r="X74" s="7">
        <v>0.12195121951219509</v>
      </c>
      <c r="Y74" s="7">
        <v>0.16666666666666666</v>
      </c>
    </row>
    <row r="75" spans="1:25" x14ac:dyDescent="0.25">
      <c r="O75" s="5" t="s">
        <v>44</v>
      </c>
      <c r="P75" s="7">
        <v>0.1915322580645161</v>
      </c>
      <c r="Q75" s="7">
        <v>1.5209125475284919E-2</v>
      </c>
      <c r="R75" s="7">
        <v>5.8251463729284615E-2</v>
      </c>
      <c r="S75" s="7">
        <v>5.4440190493977123E-2</v>
      </c>
      <c r="T75" s="7">
        <v>0.22364217252396151</v>
      </c>
      <c r="U75" s="7">
        <v>0.27499999999999997</v>
      </c>
      <c r="V75" s="7">
        <v>0.62995594713656378</v>
      </c>
      <c r="W75" s="7">
        <v>0.13392857142857148</v>
      </c>
      <c r="X75" s="7">
        <v>0.56097560975609739</v>
      </c>
      <c r="Y75" s="7">
        <v>0.33333333333333331</v>
      </c>
    </row>
    <row r="76" spans="1:25" x14ac:dyDescent="0.25">
      <c r="A76" s="5" t="s">
        <v>94</v>
      </c>
      <c r="B76" s="7">
        <v>0.75604838709677402</v>
      </c>
      <c r="C76" s="7">
        <v>0.87072243346007594</v>
      </c>
      <c r="D76" s="7">
        <v>0.77218748966292894</v>
      </c>
      <c r="E76" s="7">
        <v>0.76054409064027151</v>
      </c>
      <c r="F76" s="7">
        <v>0.84877529286474962</v>
      </c>
      <c r="G76" s="7">
        <v>0.84166666666666679</v>
      </c>
      <c r="H76" s="7">
        <v>0.37591776798825255</v>
      </c>
      <c r="I76" s="7">
        <v>0.99404761904761907</v>
      </c>
      <c r="J76" s="7">
        <v>0.11382113821138205</v>
      </c>
      <c r="K76" s="7">
        <v>0.61111111111111105</v>
      </c>
      <c r="O76" s="5" t="s">
        <v>38</v>
      </c>
      <c r="P76" s="7">
        <v>3.6290322580645115E-2</v>
      </c>
      <c r="Q76" s="7">
        <v>0</v>
      </c>
      <c r="R76" s="7">
        <v>4.0587476431477761E-2</v>
      </c>
      <c r="S76" s="7">
        <v>6.5552339153982592E-2</v>
      </c>
      <c r="T76" s="7">
        <v>0.13099041533546329</v>
      </c>
      <c r="U76" s="7">
        <v>0.13333333333333333</v>
      </c>
      <c r="V76" s="7">
        <v>0.62995594713656378</v>
      </c>
      <c r="W76" s="7">
        <v>3.5714285714285678E-2</v>
      </c>
      <c r="X76" s="7">
        <v>0.6585365853658538</v>
      </c>
      <c r="Y76" s="7">
        <v>0.83333333333333337</v>
      </c>
    </row>
    <row r="77" spans="1:25" x14ac:dyDescent="0.25">
      <c r="A77" s="5" t="s">
        <v>95</v>
      </c>
      <c r="B77" s="7">
        <v>0.4695060483870967</v>
      </c>
      <c r="C77" s="7">
        <v>0.4890684410646387</v>
      </c>
      <c r="D77" s="7">
        <v>0.43663788826039501</v>
      </c>
      <c r="E77" s="7">
        <v>0.4155966943692222</v>
      </c>
      <c r="F77" s="7">
        <v>0.55830670926517567</v>
      </c>
      <c r="G77" s="7">
        <v>0.53229166666666672</v>
      </c>
      <c r="H77" s="7">
        <v>0.60187224669603523</v>
      </c>
      <c r="I77" s="7">
        <v>0.54129464285714279</v>
      </c>
      <c r="J77" s="7">
        <v>0.43292682926829262</v>
      </c>
      <c r="K77" s="7">
        <v>0.43749999999999994</v>
      </c>
      <c r="O77" s="5" t="s">
        <v>59</v>
      </c>
      <c r="P77" s="7">
        <v>4.0322580645160578E-3</v>
      </c>
      <c r="Q77" s="7">
        <v>0.23320659062103907</v>
      </c>
      <c r="R77" s="7">
        <v>0.30961595713009826</v>
      </c>
      <c r="S77" s="7">
        <v>0.2916238677747689</v>
      </c>
      <c r="T77" s="7">
        <v>0</v>
      </c>
      <c r="U77" s="7">
        <v>0</v>
      </c>
      <c r="V77" s="7">
        <v>0.58590308370044042</v>
      </c>
      <c r="W77" s="7">
        <v>0</v>
      </c>
      <c r="X77" s="7">
        <v>0.73170731707317049</v>
      </c>
      <c r="Y77" s="7">
        <v>0</v>
      </c>
    </row>
    <row r="78" spans="1:25" x14ac:dyDescent="0.25">
      <c r="A78" s="5" t="s">
        <v>102</v>
      </c>
      <c r="B78" s="7">
        <v>0.67137096774193572</v>
      </c>
      <c r="C78" s="7">
        <v>0.5874524714828897</v>
      </c>
      <c r="D78" s="7">
        <v>0.4707750322516624</v>
      </c>
      <c r="E78" s="7">
        <v>0.43729573256139698</v>
      </c>
      <c r="F78" s="7">
        <v>0.80670926517571873</v>
      </c>
      <c r="G78" s="7">
        <v>0.82500000000000007</v>
      </c>
      <c r="H78" s="7">
        <v>0.82819383259911883</v>
      </c>
      <c r="I78" s="7">
        <v>0.81696428571428559</v>
      </c>
      <c r="J78" s="7">
        <v>0.98780487804878048</v>
      </c>
      <c r="K78" s="7">
        <v>0.41666666666666663</v>
      </c>
      <c r="O78" s="5" t="s">
        <v>48</v>
      </c>
      <c r="P78" s="7">
        <v>0.25806451612903203</v>
      </c>
      <c r="Q78" s="7">
        <v>3.0418250950570179E-2</v>
      </c>
      <c r="R78" s="7">
        <v>0</v>
      </c>
      <c r="S78" s="7">
        <v>0</v>
      </c>
      <c r="T78" s="7">
        <v>0.40894568690095839</v>
      </c>
      <c r="U78" s="7">
        <v>0.45833333333333331</v>
      </c>
      <c r="V78" s="7">
        <v>0.45814977973568266</v>
      </c>
      <c r="W78" s="7">
        <v>0.16964285714285701</v>
      </c>
      <c r="X78" s="7">
        <v>0.68292682926829273</v>
      </c>
      <c r="Y78" s="7">
        <v>0.33333333333333331</v>
      </c>
    </row>
    <row r="79" spans="1:25" x14ac:dyDescent="0.25">
      <c r="A79" s="5" t="s">
        <v>108</v>
      </c>
      <c r="B79" s="7">
        <v>0.17828341013824872</v>
      </c>
      <c r="C79" s="7">
        <v>0.19645120405576666</v>
      </c>
      <c r="D79" s="7">
        <v>0.20645316775117323</v>
      </c>
      <c r="E79" s="7">
        <v>0.20412736950228785</v>
      </c>
      <c r="F79" s="7">
        <v>0.2049292560474669</v>
      </c>
      <c r="G79" s="7">
        <v>0.26904761904761904</v>
      </c>
      <c r="H79" s="7">
        <v>0.57898049087476389</v>
      </c>
      <c r="I79" s="7">
        <v>0.11607142857142853</v>
      </c>
      <c r="J79" s="7">
        <v>0.56445993031358876</v>
      </c>
      <c r="K79" s="7">
        <v>0.35714285714285721</v>
      </c>
      <c r="O79" s="5" t="s">
        <v>47</v>
      </c>
      <c r="P79" s="7">
        <v>0</v>
      </c>
      <c r="Q79" s="7">
        <v>0.38276299112801004</v>
      </c>
      <c r="R79" s="7">
        <v>0.41629453210280859</v>
      </c>
      <c r="S79" s="7">
        <v>0.43963021757400322</v>
      </c>
      <c r="T79" s="7">
        <v>2.5559105431309979E-2</v>
      </c>
      <c r="U79" s="7">
        <v>0</v>
      </c>
      <c r="V79" s="7">
        <v>0.75770925110132159</v>
      </c>
      <c r="W79" s="7">
        <v>9.8214285714285643E-2</v>
      </c>
      <c r="X79" s="7">
        <v>0.7804878048780487</v>
      </c>
      <c r="Y79" s="7">
        <v>0.5</v>
      </c>
    </row>
    <row r="80" spans="1:25" x14ac:dyDescent="0.25">
      <c r="O80" s="5" t="s">
        <v>43</v>
      </c>
      <c r="P80" s="7">
        <v>0.22379032258064507</v>
      </c>
      <c r="Q80" s="7">
        <v>0.36248415716096327</v>
      </c>
      <c r="R80" s="7">
        <v>0.34911183884092506</v>
      </c>
      <c r="S80" s="7">
        <v>0.34083481184050812</v>
      </c>
      <c r="T80" s="7">
        <v>0.30670926517571889</v>
      </c>
      <c r="U80" s="7">
        <v>0.40833333333333333</v>
      </c>
      <c r="V80" s="7">
        <v>0.85022026431718056</v>
      </c>
      <c r="W80" s="7">
        <v>7.1428571428571355E-2</v>
      </c>
      <c r="X80" s="7">
        <v>0.41463414634146345</v>
      </c>
      <c r="Y80" s="7">
        <v>0.33333333333333331</v>
      </c>
    </row>
    <row r="81" spans="1:25" x14ac:dyDescent="0.25">
      <c r="P81" s="7">
        <f>AVERAGE(P74:P80)</f>
        <v>0.17828341013824872</v>
      </c>
      <c r="Q81" s="7">
        <f t="shared" ref="Q81:Y81" si="39">AVERAGE(Q74:Q80)</f>
        <v>0.19645120405576666</v>
      </c>
      <c r="R81" s="7">
        <f t="shared" si="39"/>
        <v>0.20645316775117323</v>
      </c>
      <c r="S81" s="7">
        <f t="shared" si="39"/>
        <v>0.20412736950228785</v>
      </c>
      <c r="T81" s="7">
        <f t="shared" si="39"/>
        <v>0.2049292560474669</v>
      </c>
      <c r="U81" s="7">
        <f t="shared" si="39"/>
        <v>0.26904761904761904</v>
      </c>
      <c r="V81" s="7">
        <f t="shared" si="39"/>
        <v>0.57898049087476389</v>
      </c>
      <c r="W81" s="7">
        <f t="shared" si="39"/>
        <v>0.11607142857142853</v>
      </c>
      <c r="X81" s="7">
        <f t="shared" si="39"/>
        <v>0.56445993031358876</v>
      </c>
      <c r="Y81" s="7">
        <f t="shared" si="39"/>
        <v>0.35714285714285721</v>
      </c>
    </row>
    <row r="82" spans="1:25" s="9" customFormat="1" x14ac:dyDescent="0.25">
      <c r="A82" s="9" t="s">
        <v>115</v>
      </c>
      <c r="F82" s="12" t="s">
        <v>113</v>
      </c>
    </row>
    <row r="83" spans="1:25" x14ac:dyDescent="0.25">
      <c r="O83" s="5" t="s">
        <v>94</v>
      </c>
      <c r="P83" s="10"/>
    </row>
    <row r="84" spans="1:25" x14ac:dyDescent="0.25">
      <c r="A84" s="5" t="s">
        <v>42</v>
      </c>
      <c r="B84" s="7" t="e">
        <f t="shared" ref="B84:B103" si="40">SQRT((AB26-$P$29)^2+(AC26-$Q$29)^2+(AD26-$R$29)^2+(AE26-$S$29)^2+(AF26-$T$29)^2+(AG26-$U$29)^2+(AH26-$V$29)^2+(AI26-$W$29)^2+(AJ26-$X$29)^2+(AK26-$Y$29)^2)</f>
        <v>#REF!</v>
      </c>
      <c r="C84" t="e">
        <f t="shared" ref="C84:C103" si="41">SQRT((AB26-$P$68)^2+(AC26-$Q$68)^2+(AD26-$R$68)^2+(AE26-$S$68)^2+(AF26-$T$68)^2+(AG26-$U$68)^2+(AH26-$V$68)^2+(AI26-$W$68)^2+(AJ26-$X$68)^2+(AK26-$Y$68)^2)</f>
        <v>#REF!</v>
      </c>
      <c r="D84" t="e">
        <f t="shared" ref="D84:D103" si="42">SQRT((AB26-$P$45)^2+(AC26-$Q$45)^2+(AD26-$R$45)^2+(AE26-$S$45)^2+(AF26-$T$45)^2+(AG26-$U$45)^2+(AH26-$V$45)^2+(AI26-$W$45)^2+(AJ26-$X$45)^2+(AK26-$Y$45)^2)</f>
        <v>#REF!</v>
      </c>
      <c r="E84" t="e">
        <f t="shared" ref="E84:E103" si="43">SQRT((AB26-$P$81)^2+(AC26-$Q$81)^2+(AD26-$R$81)^2+(AE26-$S$81)^2+(AF26-$T$81)^2+(AG26-$U$81)^2+(AH26-$V$81)^2+(AI26-$W$81)^2+(AJ26-$X$81)^2+(AK26-$Y$81)^2)</f>
        <v>#REF!</v>
      </c>
      <c r="F84" t="e">
        <f>MATCH(MIN(B84:E84), B84:E84, 0)</f>
        <v>#REF!</v>
      </c>
      <c r="O84" t="s">
        <v>42</v>
      </c>
      <c r="P84" s="7">
        <v>0.55443548387096742</v>
      </c>
      <c r="Q84" s="7">
        <v>0.78580481622306686</v>
      </c>
      <c r="R84" s="7">
        <v>0.58301081671132282</v>
      </c>
      <c r="S84" s="7">
        <v>0.58306097674852941</v>
      </c>
      <c r="T84" s="7">
        <v>0.67731629392971238</v>
      </c>
      <c r="U84" s="7">
        <v>0.64166666666666683</v>
      </c>
      <c r="V84" s="7">
        <v>0.49779735682819393</v>
      </c>
      <c r="W84" s="7">
        <v>0.98214285714285721</v>
      </c>
      <c r="X84" s="7">
        <v>0.17073170731707307</v>
      </c>
      <c r="Y84" s="7">
        <v>1</v>
      </c>
    </row>
    <row r="85" spans="1:25" x14ac:dyDescent="0.25">
      <c r="A85" s="5" t="s">
        <v>52</v>
      </c>
      <c r="B85" s="7" t="e">
        <f t="shared" si="40"/>
        <v>#REF!</v>
      </c>
      <c r="C85" t="e">
        <f t="shared" si="41"/>
        <v>#REF!</v>
      </c>
      <c r="D85" t="e">
        <f t="shared" si="42"/>
        <v>#REF!</v>
      </c>
      <c r="E85" t="e">
        <f t="shared" si="43"/>
        <v>#REF!</v>
      </c>
      <c r="F85" t="e">
        <f t="shared" ref="F85:F103" si="44">MATCH(MIN(B85:E85), B85:E85, 0)</f>
        <v>#REF!</v>
      </c>
      <c r="O85" t="s">
        <v>39</v>
      </c>
      <c r="P85" s="7">
        <v>1</v>
      </c>
      <c r="Q85" s="7">
        <v>0.82636248415716085</v>
      </c>
      <c r="R85" s="7">
        <v>0.73355165227746366</v>
      </c>
      <c r="S85" s="7">
        <v>0.698571295172285</v>
      </c>
      <c r="T85" s="7">
        <v>1</v>
      </c>
      <c r="U85" s="7">
        <v>1</v>
      </c>
      <c r="V85" s="7">
        <v>0.62995594713656378</v>
      </c>
      <c r="W85" s="7">
        <v>1</v>
      </c>
      <c r="X85" s="7">
        <v>0.17073170731707307</v>
      </c>
      <c r="Y85" s="7">
        <v>0.5</v>
      </c>
    </row>
    <row r="86" spans="1:25" x14ac:dyDescent="0.25">
      <c r="A86" s="5" t="s">
        <v>49</v>
      </c>
      <c r="B86" s="7" t="e">
        <f t="shared" si="40"/>
        <v>#REF!</v>
      </c>
      <c r="C86" t="e">
        <f t="shared" si="41"/>
        <v>#REF!</v>
      </c>
      <c r="D86" t="e">
        <f t="shared" si="42"/>
        <v>#REF!</v>
      </c>
      <c r="E86" t="e">
        <f t="shared" si="43"/>
        <v>#REF!</v>
      </c>
      <c r="F86" t="e">
        <f t="shared" si="44"/>
        <v>#REF!</v>
      </c>
      <c r="O86" t="s">
        <v>58</v>
      </c>
      <c r="P86" s="7">
        <v>0.71370967741935465</v>
      </c>
      <c r="Q86" s="7">
        <v>1</v>
      </c>
      <c r="R86" s="7">
        <v>1</v>
      </c>
      <c r="S86" s="7">
        <v>1</v>
      </c>
      <c r="T86" s="7">
        <v>0.86900958466453648</v>
      </c>
      <c r="U86" s="7">
        <v>0.88333333333333341</v>
      </c>
      <c r="V86" s="7">
        <v>0</v>
      </c>
      <c r="W86" s="7">
        <v>1</v>
      </c>
      <c r="X86" s="7">
        <v>0</v>
      </c>
      <c r="Y86" s="7">
        <v>0.33333333333333331</v>
      </c>
    </row>
    <row r="87" spans="1:25" x14ac:dyDescent="0.25">
      <c r="A87" s="5" t="s">
        <v>54</v>
      </c>
      <c r="B87" s="7" t="e">
        <f t="shared" si="40"/>
        <v>#REF!</v>
      </c>
      <c r="C87" t="e">
        <f t="shared" si="41"/>
        <v>#REF!</v>
      </c>
      <c r="D87" t="e">
        <f t="shared" si="42"/>
        <v>#REF!</v>
      </c>
      <c r="E87" t="e">
        <f t="shared" si="43"/>
        <v>#REF!</v>
      </c>
      <c r="F87" t="e">
        <f t="shared" si="44"/>
        <v>#REF!</v>
      </c>
      <c r="P87" s="7">
        <f>AVERAGE(P84:P86)</f>
        <v>0.75604838709677402</v>
      </c>
      <c r="Q87" s="7">
        <f t="shared" ref="Q87:Y87" si="45">AVERAGE(Q84:Q86)</f>
        <v>0.87072243346007594</v>
      </c>
      <c r="R87" s="7">
        <f t="shared" si="45"/>
        <v>0.77218748966292894</v>
      </c>
      <c r="S87" s="7">
        <f t="shared" si="45"/>
        <v>0.76054409064027151</v>
      </c>
      <c r="T87" s="7">
        <f t="shared" si="45"/>
        <v>0.84877529286474962</v>
      </c>
      <c r="U87" s="7">
        <f t="shared" si="45"/>
        <v>0.84166666666666679</v>
      </c>
      <c r="V87" s="7">
        <f t="shared" si="45"/>
        <v>0.37591776798825255</v>
      </c>
      <c r="W87" s="7">
        <f t="shared" si="45"/>
        <v>0.99404761904761907</v>
      </c>
      <c r="X87" s="7">
        <f t="shared" si="45"/>
        <v>0.11382113821138205</v>
      </c>
      <c r="Y87" s="7">
        <f t="shared" si="45"/>
        <v>0.61111111111111105</v>
      </c>
    </row>
    <row r="88" spans="1:25" x14ac:dyDescent="0.25">
      <c r="A88" s="5" t="s">
        <v>45</v>
      </c>
      <c r="B88" s="7" t="e">
        <f t="shared" si="40"/>
        <v>#REF!</v>
      </c>
      <c r="C88" t="e">
        <f t="shared" si="41"/>
        <v>#REF!</v>
      </c>
      <c r="D88" t="e">
        <f t="shared" si="42"/>
        <v>#REF!</v>
      </c>
      <c r="E88" t="e">
        <f t="shared" si="43"/>
        <v>#REF!</v>
      </c>
      <c r="F88" t="e">
        <f t="shared" si="44"/>
        <v>#REF!</v>
      </c>
      <c r="O88" t="s">
        <v>95</v>
      </c>
    </row>
    <row r="89" spans="1:25" x14ac:dyDescent="0.25">
      <c r="A89" s="5" t="s">
        <v>57</v>
      </c>
      <c r="B89" s="7" t="e">
        <f t="shared" si="40"/>
        <v>#REF!</v>
      </c>
      <c r="C89" t="e">
        <f t="shared" si="41"/>
        <v>#REF!</v>
      </c>
      <c r="D89" t="e">
        <f t="shared" si="42"/>
        <v>#REF!</v>
      </c>
      <c r="E89" t="e">
        <f t="shared" si="43"/>
        <v>#REF!</v>
      </c>
      <c r="F89" t="e">
        <f t="shared" si="44"/>
        <v>#REF!</v>
      </c>
      <c r="O89" t="s">
        <v>52</v>
      </c>
      <c r="P89" s="7">
        <v>0.47379032258064507</v>
      </c>
      <c r="Q89" s="7">
        <v>0.47908745247148282</v>
      </c>
      <c r="R89" s="7">
        <v>0.34047831695941272</v>
      </c>
      <c r="S89" s="7">
        <v>0.36221869455598099</v>
      </c>
      <c r="T89" s="7">
        <v>0.47603833865814682</v>
      </c>
      <c r="U89" s="7">
        <v>0.49166666666666681</v>
      </c>
      <c r="V89" s="7">
        <v>0.52422907488986781</v>
      </c>
      <c r="W89" s="7">
        <v>0.81250000000000011</v>
      </c>
      <c r="X89" s="7">
        <v>0.36585365853658525</v>
      </c>
      <c r="Y89" s="7">
        <v>0.66666666666666663</v>
      </c>
    </row>
    <row r="90" spans="1:25" x14ac:dyDescent="0.25">
      <c r="A90" s="5" t="s">
        <v>55</v>
      </c>
      <c r="B90" s="7" t="e">
        <f t="shared" si="40"/>
        <v>#REF!</v>
      </c>
      <c r="C90" t="e">
        <f t="shared" si="41"/>
        <v>#REF!</v>
      </c>
      <c r="D90" t="e">
        <f t="shared" si="42"/>
        <v>#REF!</v>
      </c>
      <c r="E90" t="e">
        <f t="shared" si="43"/>
        <v>#REF!</v>
      </c>
      <c r="F90" t="e">
        <f t="shared" si="44"/>
        <v>#REF!</v>
      </c>
      <c r="O90" s="5" t="s">
        <v>54</v>
      </c>
      <c r="P90" s="7">
        <v>0.5342741935483869</v>
      </c>
      <c r="Q90" s="7">
        <v>0.35107731305449941</v>
      </c>
      <c r="R90" s="7">
        <v>0.27131090602361824</v>
      </c>
      <c r="S90" s="7">
        <v>0.23681015967877497</v>
      </c>
      <c r="T90" s="7">
        <v>0.33865814696485608</v>
      </c>
      <c r="U90" s="7">
        <v>0.60833333333333339</v>
      </c>
      <c r="V90" s="7">
        <v>0.14096916299559484</v>
      </c>
      <c r="W90" s="7">
        <v>0.3035714285714286</v>
      </c>
      <c r="X90" s="7">
        <v>0.12195121951219509</v>
      </c>
      <c r="Y90" s="7">
        <v>0.16666666666666666</v>
      </c>
    </row>
    <row r="91" spans="1:25" x14ac:dyDescent="0.25">
      <c r="A91" s="5" t="s">
        <v>44</v>
      </c>
      <c r="B91" s="7" t="e">
        <f t="shared" si="40"/>
        <v>#REF!</v>
      </c>
      <c r="C91" t="e">
        <f t="shared" si="41"/>
        <v>#REF!</v>
      </c>
      <c r="D91" t="e">
        <f t="shared" si="42"/>
        <v>#REF!</v>
      </c>
      <c r="E91" t="e">
        <f t="shared" si="43"/>
        <v>#REF!</v>
      </c>
      <c r="F91" t="e">
        <f t="shared" si="44"/>
        <v>#REF!</v>
      </c>
      <c r="O91" t="s">
        <v>45</v>
      </c>
      <c r="P91" s="7">
        <v>0.52419354838709664</v>
      </c>
      <c r="Q91" s="7">
        <v>0.56653992395437258</v>
      </c>
      <c r="R91" s="7">
        <v>0.47851543117991485</v>
      </c>
      <c r="S91" s="7">
        <v>0.46671024372023545</v>
      </c>
      <c r="T91" s="7">
        <v>0.63258785942492013</v>
      </c>
      <c r="U91" s="7">
        <v>0.66666666666666674</v>
      </c>
      <c r="V91" s="7">
        <v>0.66519823788546262</v>
      </c>
      <c r="W91" s="7">
        <v>0.42857142857142855</v>
      </c>
      <c r="X91" s="7">
        <v>0.36585365853658525</v>
      </c>
      <c r="Y91" s="7">
        <v>0.5</v>
      </c>
    </row>
    <row r="92" spans="1:25" x14ac:dyDescent="0.25">
      <c r="A92" s="5" t="s">
        <v>34</v>
      </c>
      <c r="B92" s="7" t="e">
        <f t="shared" si="40"/>
        <v>#REF!</v>
      </c>
      <c r="C92" t="e">
        <f t="shared" si="41"/>
        <v>#REF!</v>
      </c>
      <c r="D92" t="e">
        <f t="shared" si="42"/>
        <v>#REF!</v>
      </c>
      <c r="E92" t="e">
        <f t="shared" si="43"/>
        <v>#REF!</v>
      </c>
      <c r="F92" t="e">
        <f t="shared" si="44"/>
        <v>#REF!</v>
      </c>
      <c r="O92" t="s">
        <v>55</v>
      </c>
      <c r="P92" s="7">
        <v>0.56249999999999967</v>
      </c>
      <c r="Q92" s="7">
        <v>0.10519645120405567</v>
      </c>
      <c r="R92" s="7">
        <v>0.13773940656941555</v>
      </c>
      <c r="S92" s="7">
        <v>9.8328508730973985E-2</v>
      </c>
      <c r="T92" s="7">
        <v>0.57827476038338654</v>
      </c>
      <c r="U92" s="7">
        <v>0.625</v>
      </c>
      <c r="V92" s="7">
        <v>0.57268722466960331</v>
      </c>
      <c r="W92" s="7">
        <v>0.27678571428571419</v>
      </c>
      <c r="X92" s="7">
        <v>0.43902439024390233</v>
      </c>
      <c r="Y92" s="7">
        <v>0.66666666666666663</v>
      </c>
    </row>
    <row r="93" spans="1:25" x14ac:dyDescent="0.25">
      <c r="A93" s="5" t="s">
        <v>38</v>
      </c>
      <c r="B93" s="7" t="e">
        <f t="shared" si="40"/>
        <v>#REF!</v>
      </c>
      <c r="C93" t="e">
        <f t="shared" si="41"/>
        <v>#REF!</v>
      </c>
      <c r="D93" t="e">
        <f t="shared" si="42"/>
        <v>#REF!</v>
      </c>
      <c r="E93" t="e">
        <f t="shared" si="43"/>
        <v>#REF!</v>
      </c>
      <c r="F93" t="e">
        <f t="shared" si="44"/>
        <v>#REF!</v>
      </c>
      <c r="O93" s="5" t="s">
        <v>34</v>
      </c>
      <c r="P93" s="7">
        <v>0.33467741935483875</v>
      </c>
      <c r="Q93" s="7">
        <v>0.56273764258555126</v>
      </c>
      <c r="R93" s="7">
        <v>0.53458370546789713</v>
      </c>
      <c r="S93" s="7">
        <v>0.50210103651134563</v>
      </c>
      <c r="T93" s="7">
        <v>0.59424920127795522</v>
      </c>
      <c r="U93" s="7">
        <v>0.51666666666666661</v>
      </c>
      <c r="V93" s="7">
        <v>0.6387665198237884</v>
      </c>
      <c r="W93" s="7">
        <v>0.57142857142857129</v>
      </c>
      <c r="X93" s="7">
        <v>0.56097560975609739</v>
      </c>
      <c r="Y93" s="7">
        <v>0.33333333333333331</v>
      </c>
    </row>
    <row r="94" spans="1:25" x14ac:dyDescent="0.25">
      <c r="A94" s="5" t="s">
        <v>59</v>
      </c>
      <c r="B94" s="7" t="e">
        <f t="shared" si="40"/>
        <v>#REF!</v>
      </c>
      <c r="C94" t="e">
        <f t="shared" si="41"/>
        <v>#REF!</v>
      </c>
      <c r="D94" t="e">
        <f t="shared" si="42"/>
        <v>#REF!</v>
      </c>
      <c r="E94" t="e">
        <f t="shared" si="43"/>
        <v>#REF!</v>
      </c>
      <c r="F94" t="e">
        <f t="shared" si="44"/>
        <v>#REF!</v>
      </c>
      <c r="O94" s="5" t="s">
        <v>33</v>
      </c>
      <c r="P94" s="7">
        <v>0.40322580645161266</v>
      </c>
      <c r="Q94" s="7">
        <v>0.62357414448669191</v>
      </c>
      <c r="R94" s="7">
        <v>0.6002778604743475</v>
      </c>
      <c r="S94" s="7">
        <v>0.56167709403305643</v>
      </c>
      <c r="T94" s="7">
        <v>0.61341853035143756</v>
      </c>
      <c r="U94" s="7">
        <v>0.52499999999999991</v>
      </c>
      <c r="V94" s="7">
        <v>0.55506607929515406</v>
      </c>
      <c r="W94" s="7">
        <v>0.52678571428571441</v>
      </c>
      <c r="X94" s="7">
        <v>0.63414634146341453</v>
      </c>
      <c r="Y94" s="7">
        <v>0.5</v>
      </c>
    </row>
    <row r="95" spans="1:25" x14ac:dyDescent="0.25">
      <c r="A95" s="5" t="s">
        <v>39</v>
      </c>
      <c r="B95" s="7" t="e">
        <f t="shared" si="40"/>
        <v>#REF!</v>
      </c>
      <c r="C95" t="e">
        <f t="shared" si="41"/>
        <v>#REF!</v>
      </c>
      <c r="D95" t="e">
        <f t="shared" si="42"/>
        <v>#REF!</v>
      </c>
      <c r="E95" t="e">
        <f t="shared" si="43"/>
        <v>#REF!</v>
      </c>
      <c r="F95" t="e">
        <f t="shared" si="44"/>
        <v>#REF!</v>
      </c>
      <c r="O95" s="5" t="s">
        <v>46</v>
      </c>
      <c r="P95" s="7">
        <v>0.63306451612903247</v>
      </c>
      <c r="Q95" s="7">
        <v>0.5171102661596958</v>
      </c>
      <c r="R95" s="7">
        <v>0.44973702490820694</v>
      </c>
      <c r="S95" s="7">
        <v>0.42898496591651886</v>
      </c>
      <c r="T95" s="7">
        <v>0.60383386581469634</v>
      </c>
      <c r="U95" s="7">
        <v>0.52499999999999991</v>
      </c>
      <c r="V95" s="7">
        <v>0.47136563876651977</v>
      </c>
      <c r="W95" s="7">
        <v>0.68749999999999989</v>
      </c>
      <c r="X95" s="7">
        <v>0.26829268292682928</v>
      </c>
      <c r="Y95" s="7">
        <v>0.16666666666666666</v>
      </c>
    </row>
    <row r="96" spans="1:25" x14ac:dyDescent="0.25">
      <c r="A96" s="5" t="s">
        <v>58</v>
      </c>
      <c r="B96" s="7" t="e">
        <f t="shared" si="40"/>
        <v>#REF!</v>
      </c>
      <c r="C96" t="e">
        <f t="shared" si="41"/>
        <v>#REF!</v>
      </c>
      <c r="D96" t="e">
        <f t="shared" si="42"/>
        <v>#REF!</v>
      </c>
      <c r="E96" t="e">
        <f t="shared" si="43"/>
        <v>#REF!</v>
      </c>
      <c r="F96" t="e">
        <f t="shared" si="44"/>
        <v>#REF!</v>
      </c>
      <c r="O96" s="5" t="s">
        <v>60</v>
      </c>
      <c r="P96" s="7">
        <v>0.52822580645161277</v>
      </c>
      <c r="Q96" s="7">
        <v>0.67934093789607075</v>
      </c>
      <c r="R96" s="7">
        <v>0.55512553339287507</v>
      </c>
      <c r="S96" s="7">
        <v>0.5314221682696797</v>
      </c>
      <c r="T96" s="7">
        <v>0.51757188498402551</v>
      </c>
      <c r="U96" s="7">
        <v>0.6166666666666667</v>
      </c>
      <c r="V96" s="7">
        <v>0.70044052863436113</v>
      </c>
      <c r="W96" s="7">
        <v>0.91071428571428559</v>
      </c>
      <c r="X96" s="7">
        <v>0.31707317073170727</v>
      </c>
      <c r="Y96" s="7">
        <v>0.16666666666666666</v>
      </c>
    </row>
    <row r="97" spans="1:25" x14ac:dyDescent="0.25">
      <c r="A97" s="5" t="s">
        <v>33</v>
      </c>
      <c r="B97" s="7" t="e">
        <f t="shared" si="40"/>
        <v>#REF!</v>
      </c>
      <c r="C97" t="e">
        <f t="shared" si="41"/>
        <v>#REF!</v>
      </c>
      <c r="D97" t="e">
        <f t="shared" si="42"/>
        <v>#REF!</v>
      </c>
      <c r="E97" t="e">
        <f t="shared" si="43"/>
        <v>#REF!</v>
      </c>
      <c r="F97" t="e">
        <f t="shared" si="44"/>
        <v>#REF!</v>
      </c>
      <c r="P97" s="7">
        <f>AVERAGE(P89:P96)</f>
        <v>0.49924395161290314</v>
      </c>
      <c r="Q97" s="7">
        <f t="shared" ref="Q97:Y97" si="46">AVERAGE(Q89:Q96)</f>
        <v>0.48558301647655255</v>
      </c>
      <c r="R97" s="7">
        <f t="shared" si="46"/>
        <v>0.420971023121961</v>
      </c>
      <c r="S97" s="7">
        <f t="shared" si="46"/>
        <v>0.39853160892707079</v>
      </c>
      <c r="T97" s="7">
        <f t="shared" si="46"/>
        <v>0.54432907348242798</v>
      </c>
      <c r="U97" s="7">
        <f t="shared" si="46"/>
        <v>0.57187499999999991</v>
      </c>
      <c r="V97" s="7">
        <f t="shared" si="46"/>
        <v>0.53359030837004395</v>
      </c>
      <c r="W97" s="7">
        <f t="shared" si="46"/>
        <v>0.56473214285714279</v>
      </c>
      <c r="X97" s="7">
        <f t="shared" si="46"/>
        <v>0.38414634146341459</v>
      </c>
      <c r="Y97" s="7">
        <f t="shared" si="46"/>
        <v>0.39583333333333331</v>
      </c>
    </row>
    <row r="98" spans="1:25" x14ac:dyDescent="0.25">
      <c r="A98" s="5" t="s">
        <v>46</v>
      </c>
      <c r="B98" s="7" t="e">
        <f t="shared" si="40"/>
        <v>#REF!</v>
      </c>
      <c r="C98" t="e">
        <f t="shared" si="41"/>
        <v>#REF!</v>
      </c>
      <c r="D98" t="e">
        <f t="shared" si="42"/>
        <v>#REF!</v>
      </c>
      <c r="E98" t="e">
        <f t="shared" si="43"/>
        <v>#REF!</v>
      </c>
      <c r="F98" t="e">
        <f t="shared" si="44"/>
        <v>#REF!</v>
      </c>
      <c r="O98" s="5" t="s">
        <v>102</v>
      </c>
    </row>
    <row r="99" spans="1:25" x14ac:dyDescent="0.25">
      <c r="A99" s="5" t="s">
        <v>48</v>
      </c>
      <c r="B99" s="7" t="e">
        <f t="shared" si="40"/>
        <v>#REF!</v>
      </c>
      <c r="C99" t="e">
        <f t="shared" si="41"/>
        <v>#REF!</v>
      </c>
      <c r="D99" t="e">
        <f t="shared" si="42"/>
        <v>#REF!</v>
      </c>
      <c r="E99" t="e">
        <f t="shared" si="43"/>
        <v>#REF!</v>
      </c>
      <c r="F99" t="e">
        <f t="shared" si="44"/>
        <v>#REF!</v>
      </c>
      <c r="O99" s="5" t="s">
        <v>49</v>
      </c>
      <c r="P99" s="7">
        <v>0.63104838709677469</v>
      </c>
      <c r="Q99" s="7">
        <v>0.38149556400506962</v>
      </c>
      <c r="R99" s="7">
        <v>0.25146372928450944</v>
      </c>
      <c r="S99" s="7">
        <v>0.20123260808665613</v>
      </c>
      <c r="T99" s="7">
        <v>0.78274760383386577</v>
      </c>
      <c r="U99" s="7">
        <v>0.75833333333333341</v>
      </c>
      <c r="V99" s="7">
        <v>1</v>
      </c>
      <c r="W99" s="7">
        <v>0.78571428571428559</v>
      </c>
      <c r="X99" s="7">
        <v>0.97560975609756106</v>
      </c>
      <c r="Y99" s="7">
        <v>0.5</v>
      </c>
    </row>
    <row r="100" spans="1:25" x14ac:dyDescent="0.25">
      <c r="A100" s="5" t="s">
        <v>47</v>
      </c>
      <c r="B100" s="7" t="e">
        <f t="shared" si="40"/>
        <v>#REF!</v>
      </c>
      <c r="C100" t="e">
        <f t="shared" si="41"/>
        <v>#REF!</v>
      </c>
      <c r="D100" t="e">
        <f t="shared" si="42"/>
        <v>#REF!</v>
      </c>
      <c r="E100" t="e">
        <f t="shared" si="43"/>
        <v>#REF!</v>
      </c>
      <c r="F100" t="e">
        <f t="shared" si="44"/>
        <v>#REF!</v>
      </c>
      <c r="O100" s="5" t="s">
        <v>57</v>
      </c>
      <c r="P100" s="7">
        <v>0.71169354838709686</v>
      </c>
      <c r="Q100" s="7">
        <v>0.79340937896070973</v>
      </c>
      <c r="R100" s="7">
        <v>0.69008633521881535</v>
      </c>
      <c r="S100" s="7">
        <v>0.67335885703613785</v>
      </c>
      <c r="T100" s="7">
        <v>0.83067092651757168</v>
      </c>
      <c r="U100" s="7">
        <v>0.89166666666666672</v>
      </c>
      <c r="V100" s="7">
        <v>0.65638766519823766</v>
      </c>
      <c r="W100" s="7">
        <v>0.84821428571428559</v>
      </c>
      <c r="X100" s="7">
        <v>1</v>
      </c>
      <c r="Y100" s="7">
        <v>0.33333333333333331</v>
      </c>
    </row>
    <row r="101" spans="1:25" x14ac:dyDescent="0.25">
      <c r="A101" s="5" t="s">
        <v>60</v>
      </c>
      <c r="B101" s="7" t="e">
        <f t="shared" si="40"/>
        <v>#REF!</v>
      </c>
      <c r="C101" t="e">
        <f t="shared" si="41"/>
        <v>#REF!</v>
      </c>
      <c r="D101" t="e">
        <f t="shared" si="42"/>
        <v>#REF!</v>
      </c>
      <c r="E101" t="e">
        <f t="shared" si="43"/>
        <v>#REF!</v>
      </c>
      <c r="F101" t="e">
        <f t="shared" si="44"/>
        <v>#REF!</v>
      </c>
      <c r="P101" s="7">
        <f>AVERAGE(P99:P100)</f>
        <v>0.67137096774193572</v>
      </c>
      <c r="Q101" s="7">
        <f t="shared" ref="Q101:Y101" si="47">AVERAGE(Q99:Q100)</f>
        <v>0.5874524714828897</v>
      </c>
      <c r="R101" s="7">
        <f t="shared" si="47"/>
        <v>0.4707750322516624</v>
      </c>
      <c r="S101" s="7">
        <f t="shared" si="47"/>
        <v>0.43729573256139698</v>
      </c>
      <c r="T101" s="7">
        <f t="shared" si="47"/>
        <v>0.80670926517571873</v>
      </c>
      <c r="U101" s="7">
        <f t="shared" si="47"/>
        <v>0.82500000000000007</v>
      </c>
      <c r="V101" s="7">
        <f t="shared" si="47"/>
        <v>0.82819383259911883</v>
      </c>
      <c r="W101" s="7">
        <f t="shared" si="47"/>
        <v>0.81696428571428559</v>
      </c>
      <c r="X101" s="7">
        <f t="shared" si="47"/>
        <v>0.98780487804878048</v>
      </c>
      <c r="Y101" s="7">
        <f t="shared" si="47"/>
        <v>0.41666666666666663</v>
      </c>
    </row>
    <row r="102" spans="1:25" x14ac:dyDescent="0.25">
      <c r="A102" s="5" t="s">
        <v>51</v>
      </c>
      <c r="B102" s="7" t="e">
        <f t="shared" si="40"/>
        <v>#REF!</v>
      </c>
      <c r="C102" t="e">
        <f t="shared" si="41"/>
        <v>#REF!</v>
      </c>
      <c r="D102" t="e">
        <f t="shared" si="42"/>
        <v>#REF!</v>
      </c>
      <c r="E102" t="e">
        <f t="shared" si="43"/>
        <v>#REF!</v>
      </c>
      <c r="F102" t="e">
        <f t="shared" si="44"/>
        <v>#REF!</v>
      </c>
      <c r="O102" s="5" t="s">
        <v>108</v>
      </c>
    </row>
    <row r="103" spans="1:25" x14ac:dyDescent="0.25">
      <c r="A103" s="5" t="s">
        <v>43</v>
      </c>
      <c r="B103" s="7" t="e">
        <f t="shared" si="40"/>
        <v>#REF!</v>
      </c>
      <c r="C103" t="e">
        <f t="shared" si="41"/>
        <v>#REF!</v>
      </c>
      <c r="D103" t="e">
        <f t="shared" si="42"/>
        <v>#REF!</v>
      </c>
      <c r="E103" t="e">
        <f t="shared" si="43"/>
        <v>#REF!</v>
      </c>
      <c r="F103" t="e">
        <f t="shared" si="44"/>
        <v>#REF!</v>
      </c>
      <c r="O103" s="5" t="s">
        <v>44</v>
      </c>
      <c r="P103" s="7">
        <v>0.1915322580645161</v>
      </c>
      <c r="Q103" s="7">
        <v>1.5209125475284919E-2</v>
      </c>
      <c r="R103" s="7">
        <v>5.8251463729284615E-2</v>
      </c>
      <c r="S103" s="7">
        <v>5.4440190493977123E-2</v>
      </c>
      <c r="T103" s="7">
        <v>0.22364217252396151</v>
      </c>
      <c r="U103" s="7">
        <v>0.27499999999999997</v>
      </c>
      <c r="V103" s="7">
        <v>0.62995594713656378</v>
      </c>
      <c r="W103" s="7">
        <v>0.13392857142857148</v>
      </c>
      <c r="X103" s="7">
        <v>0.56097560975609739</v>
      </c>
      <c r="Y103" s="7">
        <v>0.33333333333333331</v>
      </c>
    </row>
    <row r="104" spans="1:25" x14ac:dyDescent="0.25">
      <c r="O104" s="5" t="s">
        <v>38</v>
      </c>
      <c r="P104" s="7">
        <v>3.6290322580645115E-2</v>
      </c>
      <c r="Q104" s="7">
        <v>0</v>
      </c>
      <c r="R104" s="7">
        <v>4.0587476431477761E-2</v>
      </c>
      <c r="S104" s="7">
        <v>6.5552339153982592E-2</v>
      </c>
      <c r="T104" s="7">
        <v>0.13099041533546329</v>
      </c>
      <c r="U104" s="7">
        <v>0.13333333333333333</v>
      </c>
      <c r="V104" s="7">
        <v>0.62995594713656378</v>
      </c>
      <c r="W104" s="7">
        <v>3.5714285714285678E-2</v>
      </c>
      <c r="X104" s="7">
        <v>0.6585365853658538</v>
      </c>
      <c r="Y104" s="7">
        <v>0.83333333333333337</v>
      </c>
    </row>
    <row r="105" spans="1:25" x14ac:dyDescent="0.25">
      <c r="O105" s="5" t="s">
        <v>59</v>
      </c>
      <c r="P105" s="7">
        <v>4.0322580645160578E-3</v>
      </c>
      <c r="Q105" s="7">
        <v>0.23320659062103907</v>
      </c>
      <c r="R105" s="7">
        <v>0.30961595713009826</v>
      </c>
      <c r="S105" s="7">
        <v>0.2916238677747689</v>
      </c>
      <c r="T105" s="7">
        <v>0</v>
      </c>
      <c r="U105" s="7">
        <v>0</v>
      </c>
      <c r="V105" s="7">
        <v>0.58590308370044042</v>
      </c>
      <c r="W105" s="7">
        <v>0</v>
      </c>
      <c r="X105" s="7">
        <v>0.73170731707317049</v>
      </c>
      <c r="Y105" s="7">
        <v>0</v>
      </c>
    </row>
    <row r="106" spans="1:25" x14ac:dyDescent="0.25">
      <c r="O106" s="5" t="s">
        <v>48</v>
      </c>
      <c r="P106" s="7">
        <v>0.25806451612903203</v>
      </c>
      <c r="Q106" s="7">
        <v>3.0418250950570179E-2</v>
      </c>
      <c r="R106" s="7">
        <v>0</v>
      </c>
      <c r="S106" s="7">
        <v>0</v>
      </c>
      <c r="T106" s="7">
        <v>0.40894568690095839</v>
      </c>
      <c r="U106" s="7">
        <v>0.45833333333333331</v>
      </c>
      <c r="V106" s="7">
        <v>0.45814977973568266</v>
      </c>
      <c r="W106" s="7">
        <v>0.16964285714285701</v>
      </c>
      <c r="X106" s="7">
        <v>0.68292682926829273</v>
      </c>
      <c r="Y106" s="7">
        <v>0.33333333333333331</v>
      </c>
    </row>
    <row r="107" spans="1:25" x14ac:dyDescent="0.25">
      <c r="O107" s="5" t="s">
        <v>47</v>
      </c>
      <c r="P107" s="7">
        <v>0</v>
      </c>
      <c r="Q107" s="7">
        <v>0.38276299112801004</v>
      </c>
      <c r="R107" s="7">
        <v>0.41629453210280859</v>
      </c>
      <c r="S107" s="7">
        <v>0.43963021757400322</v>
      </c>
      <c r="T107" s="7">
        <v>2.5559105431309979E-2</v>
      </c>
      <c r="U107" s="7">
        <v>0</v>
      </c>
      <c r="V107" s="7">
        <v>0.75770925110132159</v>
      </c>
      <c r="W107" s="7">
        <v>9.8214285714285643E-2</v>
      </c>
      <c r="X107" s="7">
        <v>0.7804878048780487</v>
      </c>
      <c r="Y107" s="7">
        <v>0.5</v>
      </c>
    </row>
    <row r="108" spans="1:25" x14ac:dyDescent="0.25">
      <c r="O108" s="5" t="s">
        <v>51</v>
      </c>
      <c r="P108" s="7">
        <v>0.2963709677419355</v>
      </c>
      <c r="Q108" s="7">
        <v>0.37896070975918866</v>
      </c>
      <c r="R108" s="7">
        <v>0.39664582713109081</v>
      </c>
      <c r="S108" s="7">
        <v>0.37333084321598664</v>
      </c>
      <c r="T108" s="7">
        <v>0.45047923322683708</v>
      </c>
      <c r="U108" s="7">
        <v>0.29166666666666669</v>
      </c>
      <c r="V108" s="7">
        <v>0.68722466960352402</v>
      </c>
      <c r="W108" s="7">
        <v>0.11607142857142841</v>
      </c>
      <c r="X108" s="7">
        <v>0.51219512195121963</v>
      </c>
      <c r="Y108" s="7">
        <v>0.5</v>
      </c>
    </row>
    <row r="109" spans="1:25" x14ac:dyDescent="0.25">
      <c r="O109" s="5" t="s">
        <v>43</v>
      </c>
      <c r="P109" s="7">
        <v>0.22379032258064507</v>
      </c>
      <c r="Q109" s="7">
        <v>0.36248415716096327</v>
      </c>
      <c r="R109" s="7">
        <v>0.34911183884092506</v>
      </c>
      <c r="S109" s="7">
        <v>0.34083481184050812</v>
      </c>
      <c r="T109" s="7">
        <v>0.30670926517571889</v>
      </c>
      <c r="U109" s="7">
        <v>0.40833333333333333</v>
      </c>
      <c r="V109" s="7">
        <v>0.85022026431718056</v>
      </c>
      <c r="W109" s="7">
        <v>7.1428571428571355E-2</v>
      </c>
      <c r="X109" s="7">
        <v>0.41463414634146345</v>
      </c>
      <c r="Y109" s="7">
        <v>0.33333333333333331</v>
      </c>
    </row>
    <row r="110" spans="1:25" x14ac:dyDescent="0.25">
      <c r="P110" s="7">
        <f>AVERAGE(P103:P109)</f>
        <v>0.1442972350230414</v>
      </c>
      <c r="Q110" s="7">
        <f t="shared" ref="Q110:Y110" si="48">AVERAGE(Q103:Q109)</f>
        <v>0.20043454644215089</v>
      </c>
      <c r="R110" s="7">
        <f t="shared" si="48"/>
        <v>0.22435815648081217</v>
      </c>
      <c r="S110" s="7">
        <f t="shared" si="48"/>
        <v>0.22363032429331811</v>
      </c>
      <c r="T110" s="7">
        <f t="shared" si="48"/>
        <v>0.22090369694203557</v>
      </c>
      <c r="U110" s="7">
        <f t="shared" si="48"/>
        <v>0.22380952380952385</v>
      </c>
      <c r="V110" s="7">
        <f t="shared" si="48"/>
        <v>0.65701699181875384</v>
      </c>
      <c r="W110" s="7">
        <f t="shared" si="48"/>
        <v>8.9285714285714232E-2</v>
      </c>
      <c r="X110" s="7">
        <f t="shared" si="48"/>
        <v>0.62020905923344938</v>
      </c>
      <c r="Y110" s="7">
        <f t="shared" si="48"/>
        <v>0.40476190476190477</v>
      </c>
    </row>
    <row r="111" spans="1:25" s="9" customFormat="1" x14ac:dyDescent="0.25">
      <c r="A111" s="9" t="s">
        <v>116</v>
      </c>
    </row>
    <row r="113" spans="1:6" x14ac:dyDescent="0.25">
      <c r="A113" s="5" t="s">
        <v>42</v>
      </c>
      <c r="B113" s="7" t="e">
        <f t="shared" ref="B113:B132" si="49">SQRT((AB26-$P$29)^2+(AC26-$Q$29)^2+(AD26-$R$29)^2+(AE26-$S$29)^2+(AF26-$T$29)^2+(AG26-$U$29)^2+(AH26-$V$29)^2+(AI26-$W$29)^2+(AJ26-$X$29)^2+(AK26-$Y$29)^2)</f>
        <v>#REF!</v>
      </c>
      <c r="C113" s="7" t="e">
        <f t="shared" ref="C113:C132" si="50">SQRT((AB26-$P$97)^2+(AC26-$Q$97)^2+(AD26-$R$97)^2+(AE26-$S$97)^2+(AF26-$T$97)^2+(AG26-$U$97)^2+(AH26-$V$97)^2+(AI26-$W$97)^2+(AJ26-$X$97)^2+(AK26-$Y$97)^2)</f>
        <v>#REF!</v>
      </c>
      <c r="D113" s="7" t="e">
        <f t="shared" ref="D113:D132" si="51">SQRT((AB26-$P$101)^2+(AC26-$Q$101)^2+(AD26-$R$101)^2+(AE26-$S$101)^2+(AF26-$T$101)^2+(AG26-$U$101)^2+(AH26-$V$101)^2+(AI26-$W$101)^2+(AJ26-$X$101)^2+(AK26-$Y$101)^2)</f>
        <v>#REF!</v>
      </c>
      <c r="E113" s="7" t="e">
        <f t="shared" ref="E113:E132" si="52">SQRT((AB26-$P$110)^2+(AC26-$Q$110)^2+(AD26-$R$110)^2+(AE26-$S$110)^2+(AF26-$T$110)^2+(AG26-$U$110)^2+(AH26-$V$110)^2+(AI26-$W$110)^2+(AJ26-$X$110)^2+(AK26-$Y$110)^2)</f>
        <v>#REF!</v>
      </c>
      <c r="F113" t="e">
        <f>MATCH(MIN(B113:E113), B113:E113, 0)</f>
        <v>#REF!</v>
      </c>
    </row>
    <row r="114" spans="1:6" x14ac:dyDescent="0.25">
      <c r="A114" s="5" t="s">
        <v>52</v>
      </c>
      <c r="B114" s="7" t="e">
        <f t="shared" si="49"/>
        <v>#REF!</v>
      </c>
      <c r="C114" s="7" t="e">
        <f t="shared" si="50"/>
        <v>#REF!</v>
      </c>
      <c r="D114" s="7" t="e">
        <f t="shared" si="51"/>
        <v>#REF!</v>
      </c>
      <c r="E114" s="7" t="e">
        <f t="shared" si="52"/>
        <v>#REF!</v>
      </c>
      <c r="F114" t="e">
        <f t="shared" ref="F114:F132" si="53">MATCH(MIN(B114:E114), B114:E114, 0)</f>
        <v>#REF!</v>
      </c>
    </row>
    <row r="115" spans="1:6" x14ac:dyDescent="0.25">
      <c r="A115" s="5" t="s">
        <v>49</v>
      </c>
      <c r="B115" s="7" t="e">
        <f t="shared" si="49"/>
        <v>#REF!</v>
      </c>
      <c r="C115" s="7" t="e">
        <f t="shared" si="50"/>
        <v>#REF!</v>
      </c>
      <c r="D115" s="7" t="e">
        <f t="shared" si="51"/>
        <v>#REF!</v>
      </c>
      <c r="E115" s="7" t="e">
        <f t="shared" si="52"/>
        <v>#REF!</v>
      </c>
      <c r="F115" t="e">
        <f t="shared" si="53"/>
        <v>#REF!</v>
      </c>
    </row>
    <row r="116" spans="1:6" x14ac:dyDescent="0.25">
      <c r="A116" s="5" t="s">
        <v>54</v>
      </c>
      <c r="B116" s="7" t="e">
        <f t="shared" si="49"/>
        <v>#REF!</v>
      </c>
      <c r="C116" s="7" t="e">
        <f t="shared" si="50"/>
        <v>#REF!</v>
      </c>
      <c r="D116" s="7" t="e">
        <f t="shared" si="51"/>
        <v>#REF!</v>
      </c>
      <c r="E116" s="7" t="e">
        <f t="shared" si="52"/>
        <v>#REF!</v>
      </c>
      <c r="F116" t="e">
        <f t="shared" si="53"/>
        <v>#REF!</v>
      </c>
    </row>
    <row r="117" spans="1:6" x14ac:dyDescent="0.25">
      <c r="A117" s="5" t="s">
        <v>45</v>
      </c>
      <c r="B117" s="7" t="e">
        <f t="shared" si="49"/>
        <v>#REF!</v>
      </c>
      <c r="C117" s="7" t="e">
        <f t="shared" si="50"/>
        <v>#REF!</v>
      </c>
      <c r="D117" s="7" t="e">
        <f t="shared" si="51"/>
        <v>#REF!</v>
      </c>
      <c r="E117" s="7" t="e">
        <f t="shared" si="52"/>
        <v>#REF!</v>
      </c>
      <c r="F117" t="e">
        <f t="shared" si="53"/>
        <v>#REF!</v>
      </c>
    </row>
    <row r="118" spans="1:6" x14ac:dyDescent="0.25">
      <c r="A118" s="5" t="s">
        <v>57</v>
      </c>
      <c r="B118" s="7" t="e">
        <f t="shared" si="49"/>
        <v>#REF!</v>
      </c>
      <c r="C118" s="7" t="e">
        <f t="shared" si="50"/>
        <v>#REF!</v>
      </c>
      <c r="D118" s="7" t="e">
        <f t="shared" si="51"/>
        <v>#REF!</v>
      </c>
      <c r="E118" s="7" t="e">
        <f t="shared" si="52"/>
        <v>#REF!</v>
      </c>
      <c r="F118" t="e">
        <f t="shared" si="53"/>
        <v>#REF!</v>
      </c>
    </row>
    <row r="119" spans="1:6" x14ac:dyDescent="0.25">
      <c r="A119" s="5" t="s">
        <v>55</v>
      </c>
      <c r="B119" s="7" t="e">
        <f t="shared" si="49"/>
        <v>#REF!</v>
      </c>
      <c r="C119" s="7" t="e">
        <f t="shared" si="50"/>
        <v>#REF!</v>
      </c>
      <c r="D119" s="7" t="e">
        <f t="shared" si="51"/>
        <v>#REF!</v>
      </c>
      <c r="E119" s="7" t="e">
        <f t="shared" si="52"/>
        <v>#REF!</v>
      </c>
      <c r="F119" t="e">
        <f t="shared" si="53"/>
        <v>#REF!</v>
      </c>
    </row>
    <row r="120" spans="1:6" x14ac:dyDescent="0.25">
      <c r="A120" s="5" t="s">
        <v>44</v>
      </c>
      <c r="B120" s="7" t="e">
        <f t="shared" si="49"/>
        <v>#REF!</v>
      </c>
      <c r="C120" s="7" t="e">
        <f t="shared" si="50"/>
        <v>#REF!</v>
      </c>
      <c r="D120" s="7" t="e">
        <f t="shared" si="51"/>
        <v>#REF!</v>
      </c>
      <c r="E120" s="7" t="e">
        <f t="shared" si="52"/>
        <v>#REF!</v>
      </c>
      <c r="F120" t="e">
        <f t="shared" si="53"/>
        <v>#REF!</v>
      </c>
    </row>
    <row r="121" spans="1:6" x14ac:dyDescent="0.25">
      <c r="A121" s="5" t="s">
        <v>34</v>
      </c>
      <c r="B121" s="7" t="e">
        <f t="shared" si="49"/>
        <v>#REF!</v>
      </c>
      <c r="C121" s="7" t="e">
        <f t="shared" si="50"/>
        <v>#REF!</v>
      </c>
      <c r="D121" s="7" t="e">
        <f t="shared" si="51"/>
        <v>#REF!</v>
      </c>
      <c r="E121" s="7" t="e">
        <f t="shared" si="52"/>
        <v>#REF!</v>
      </c>
      <c r="F121" t="e">
        <f t="shared" si="53"/>
        <v>#REF!</v>
      </c>
    </row>
    <row r="122" spans="1:6" x14ac:dyDescent="0.25">
      <c r="A122" s="5" t="s">
        <v>38</v>
      </c>
      <c r="B122" s="7" t="e">
        <f t="shared" si="49"/>
        <v>#REF!</v>
      </c>
      <c r="C122" s="7" t="e">
        <f t="shared" si="50"/>
        <v>#REF!</v>
      </c>
      <c r="D122" s="7" t="e">
        <f t="shared" si="51"/>
        <v>#REF!</v>
      </c>
      <c r="E122" s="7" t="e">
        <f t="shared" si="52"/>
        <v>#REF!</v>
      </c>
      <c r="F122" t="e">
        <f t="shared" si="53"/>
        <v>#REF!</v>
      </c>
    </row>
    <row r="123" spans="1:6" x14ac:dyDescent="0.25">
      <c r="A123" s="5" t="s">
        <v>59</v>
      </c>
      <c r="B123" s="7" t="e">
        <f t="shared" si="49"/>
        <v>#REF!</v>
      </c>
      <c r="C123" s="7" t="e">
        <f t="shared" si="50"/>
        <v>#REF!</v>
      </c>
      <c r="D123" s="7" t="e">
        <f t="shared" si="51"/>
        <v>#REF!</v>
      </c>
      <c r="E123" s="7" t="e">
        <f t="shared" si="52"/>
        <v>#REF!</v>
      </c>
      <c r="F123" t="e">
        <f t="shared" si="53"/>
        <v>#REF!</v>
      </c>
    </row>
    <row r="124" spans="1:6" x14ac:dyDescent="0.25">
      <c r="A124" s="5" t="s">
        <v>39</v>
      </c>
      <c r="B124" s="7" t="e">
        <f t="shared" si="49"/>
        <v>#REF!</v>
      </c>
      <c r="C124" s="7" t="e">
        <f t="shared" si="50"/>
        <v>#REF!</v>
      </c>
      <c r="D124" s="7" t="e">
        <f t="shared" si="51"/>
        <v>#REF!</v>
      </c>
      <c r="E124" s="7" t="e">
        <f t="shared" si="52"/>
        <v>#REF!</v>
      </c>
      <c r="F124" t="e">
        <f t="shared" si="53"/>
        <v>#REF!</v>
      </c>
    </row>
    <row r="125" spans="1:6" x14ac:dyDescent="0.25">
      <c r="A125" s="5" t="s">
        <v>58</v>
      </c>
      <c r="B125" s="7" t="e">
        <f t="shared" si="49"/>
        <v>#REF!</v>
      </c>
      <c r="C125" s="7" t="e">
        <f t="shared" si="50"/>
        <v>#REF!</v>
      </c>
      <c r="D125" s="7" t="e">
        <f t="shared" si="51"/>
        <v>#REF!</v>
      </c>
      <c r="E125" s="7" t="e">
        <f t="shared" si="52"/>
        <v>#REF!</v>
      </c>
      <c r="F125" t="e">
        <f t="shared" si="53"/>
        <v>#REF!</v>
      </c>
    </row>
    <row r="126" spans="1:6" x14ac:dyDescent="0.25">
      <c r="A126" s="5" t="s">
        <v>33</v>
      </c>
      <c r="B126" s="7" t="e">
        <f t="shared" si="49"/>
        <v>#REF!</v>
      </c>
      <c r="C126" s="7" t="e">
        <f t="shared" si="50"/>
        <v>#REF!</v>
      </c>
      <c r="D126" s="7" t="e">
        <f t="shared" si="51"/>
        <v>#REF!</v>
      </c>
      <c r="E126" s="7" t="e">
        <f t="shared" si="52"/>
        <v>#REF!</v>
      </c>
      <c r="F126" t="e">
        <f t="shared" si="53"/>
        <v>#REF!</v>
      </c>
    </row>
    <row r="127" spans="1:6" x14ac:dyDescent="0.25">
      <c r="A127" s="5" t="s">
        <v>46</v>
      </c>
      <c r="B127" s="7" t="e">
        <f t="shared" si="49"/>
        <v>#REF!</v>
      </c>
      <c r="C127" s="7" t="e">
        <f t="shared" si="50"/>
        <v>#REF!</v>
      </c>
      <c r="D127" s="7" t="e">
        <f t="shared" si="51"/>
        <v>#REF!</v>
      </c>
      <c r="E127" s="7" t="e">
        <f t="shared" si="52"/>
        <v>#REF!</v>
      </c>
      <c r="F127" t="e">
        <f t="shared" si="53"/>
        <v>#REF!</v>
      </c>
    </row>
    <row r="128" spans="1:6" x14ac:dyDescent="0.25">
      <c r="A128" s="5" t="s">
        <v>48</v>
      </c>
      <c r="B128" s="7" t="e">
        <f t="shared" si="49"/>
        <v>#REF!</v>
      </c>
      <c r="C128" s="7" t="e">
        <f t="shared" si="50"/>
        <v>#REF!</v>
      </c>
      <c r="D128" s="7" t="e">
        <f t="shared" si="51"/>
        <v>#REF!</v>
      </c>
      <c r="E128" s="7" t="e">
        <f t="shared" si="52"/>
        <v>#REF!</v>
      </c>
      <c r="F128" t="e">
        <f t="shared" si="53"/>
        <v>#REF!</v>
      </c>
    </row>
    <row r="129" spans="1:6" x14ac:dyDescent="0.25">
      <c r="A129" s="5" t="s">
        <v>47</v>
      </c>
      <c r="B129" s="7" t="e">
        <f t="shared" si="49"/>
        <v>#REF!</v>
      </c>
      <c r="C129" s="7" t="e">
        <f t="shared" si="50"/>
        <v>#REF!</v>
      </c>
      <c r="D129" s="7" t="e">
        <f t="shared" si="51"/>
        <v>#REF!</v>
      </c>
      <c r="E129" s="7" t="e">
        <f t="shared" si="52"/>
        <v>#REF!</v>
      </c>
      <c r="F129" t="e">
        <f t="shared" si="53"/>
        <v>#REF!</v>
      </c>
    </row>
    <row r="130" spans="1:6" x14ac:dyDescent="0.25">
      <c r="A130" s="5" t="s">
        <v>60</v>
      </c>
      <c r="B130" s="7" t="e">
        <f t="shared" si="49"/>
        <v>#REF!</v>
      </c>
      <c r="C130" s="7" t="e">
        <f t="shared" si="50"/>
        <v>#REF!</v>
      </c>
      <c r="D130" s="7" t="e">
        <f t="shared" si="51"/>
        <v>#REF!</v>
      </c>
      <c r="E130" s="7" t="e">
        <f t="shared" si="52"/>
        <v>#REF!</v>
      </c>
      <c r="F130" t="e">
        <f t="shared" si="53"/>
        <v>#REF!</v>
      </c>
    </row>
    <row r="131" spans="1:6" x14ac:dyDescent="0.25">
      <c r="A131" s="5" t="s">
        <v>51</v>
      </c>
      <c r="B131" s="7" t="e">
        <f t="shared" si="49"/>
        <v>#REF!</v>
      </c>
      <c r="C131" s="7" t="e">
        <f t="shared" si="50"/>
        <v>#REF!</v>
      </c>
      <c r="D131" s="7" t="e">
        <f t="shared" si="51"/>
        <v>#REF!</v>
      </c>
      <c r="E131" s="7" t="e">
        <f t="shared" si="52"/>
        <v>#REF!</v>
      </c>
      <c r="F131" t="e">
        <f t="shared" si="53"/>
        <v>#REF!</v>
      </c>
    </row>
    <row r="132" spans="1:6" x14ac:dyDescent="0.25">
      <c r="A132" s="5" t="s">
        <v>43</v>
      </c>
      <c r="B132" s="7" t="e">
        <f t="shared" si="49"/>
        <v>#REF!</v>
      </c>
      <c r="C132" s="7" t="e">
        <f t="shared" si="50"/>
        <v>#REF!</v>
      </c>
      <c r="D132" s="7" t="e">
        <f t="shared" si="51"/>
        <v>#REF!</v>
      </c>
      <c r="E132" s="7" t="e">
        <f t="shared" si="52"/>
        <v>#REF!</v>
      </c>
      <c r="F132" t="e">
        <f t="shared" si="53"/>
        <v>#REF!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A1DE4-EB25-4C72-8C29-3D9A3A6B615F}">
  <dimension ref="A1:Z43"/>
  <sheetViews>
    <sheetView workbookViewId="0">
      <selection activeCell="G22" sqref="G22"/>
    </sheetView>
  </sheetViews>
  <sheetFormatPr defaultRowHeight="15" x14ac:dyDescent="0.25"/>
  <cols>
    <col min="1" max="1" width="15.42578125" bestFit="1" customWidth="1"/>
    <col min="2" max="2" width="14.85546875" bestFit="1" customWidth="1"/>
    <col min="3" max="3" width="16.42578125" bestFit="1" customWidth="1"/>
    <col min="4" max="5" width="14.5703125" bestFit="1" customWidth="1"/>
    <col min="6" max="6" width="13.42578125" bestFit="1" customWidth="1"/>
    <col min="7" max="7" width="14.42578125" bestFit="1" customWidth="1"/>
    <col min="8" max="8" width="13.42578125" bestFit="1" customWidth="1"/>
    <col min="9" max="9" width="13.5703125" bestFit="1" customWidth="1"/>
    <col min="10" max="10" width="15.85546875" bestFit="1" customWidth="1"/>
  </cols>
  <sheetData>
    <row r="1" spans="1:26" x14ac:dyDescent="0.2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111</v>
      </c>
      <c r="G1" t="s">
        <v>81</v>
      </c>
      <c r="H1" t="s">
        <v>82</v>
      </c>
      <c r="I1" t="s">
        <v>83</v>
      </c>
      <c r="J1" t="s">
        <v>84</v>
      </c>
      <c r="M1" t="s">
        <v>71</v>
      </c>
      <c r="N1" t="s">
        <v>72</v>
      </c>
      <c r="O1" t="s">
        <v>73</v>
      </c>
      <c r="P1" t="s">
        <v>74</v>
      </c>
      <c r="Q1" t="s">
        <v>110</v>
      </c>
      <c r="R1" t="s">
        <v>75</v>
      </c>
      <c r="S1" t="s">
        <v>87</v>
      </c>
    </row>
    <row r="2" spans="1:26" x14ac:dyDescent="0.25">
      <c r="A2" t="s">
        <v>42</v>
      </c>
      <c r="B2" s="7">
        <v>1.5789473684210522</v>
      </c>
      <c r="C2" s="7">
        <v>56.89473684210526</v>
      </c>
      <c r="D2" s="7">
        <v>532.65789473684208</v>
      </c>
      <c r="E2" s="7">
        <v>449.10526315789474</v>
      </c>
      <c r="F2" s="7">
        <v>83.394259813476538</v>
      </c>
      <c r="G2" s="7">
        <v>14.394736842105264</v>
      </c>
      <c r="H2" s="7">
        <v>4.9473684210526319</v>
      </c>
      <c r="I2" s="7">
        <v>10.526315789473685</v>
      </c>
      <c r="J2" s="7">
        <v>6.6052631578947372</v>
      </c>
      <c r="M2" s="7">
        <f>(B2 - AVERAGE(B$2:B$21)) / _xlfn.STDEV.P(B$2:B$21)</f>
        <v>0.4835338535900579</v>
      </c>
      <c r="N2" s="7">
        <f>(C2 - AVERAGE(C$2:C$21)) / _xlfn.STDEV.P(C$2:C$21)</f>
        <v>1.1912352485151312</v>
      </c>
      <c r="O2" s="7">
        <f t="shared" ref="O2:S2" si="0">(D2 - AVERAGE(D$2:D$21)) / _xlfn.STDEV.P(D$2:D$21)</f>
        <v>0.70533383667519489</v>
      </c>
      <c r="P2" s="7">
        <f t="shared" si="0"/>
        <v>0.77106678142062612</v>
      </c>
      <c r="Q2" s="7">
        <f t="shared" si="0"/>
        <v>0.86898089957728808</v>
      </c>
      <c r="R2" s="7">
        <f t="shared" si="0"/>
        <v>0.65277879406641115</v>
      </c>
      <c r="S2" s="7">
        <f t="shared" si="0"/>
        <v>0.46877458557588542</v>
      </c>
      <c r="U2" s="7">
        <v>0.60227347853952229</v>
      </c>
      <c r="V2" s="7">
        <v>0.3566078689121337</v>
      </c>
      <c r="W2" s="7">
        <v>0.3898416145856477</v>
      </c>
      <c r="X2" s="7">
        <v>0.43934575460656272</v>
      </c>
      <c r="Y2" s="7">
        <v>0.33003670392499984</v>
      </c>
      <c r="Z2" s="7">
        <v>0.23700650283614011</v>
      </c>
    </row>
    <row r="3" spans="1:26" x14ac:dyDescent="0.25">
      <c r="A3" t="s">
        <v>52</v>
      </c>
      <c r="B3" s="7">
        <v>1.4736842105263157</v>
      </c>
      <c r="C3" s="7">
        <v>50.526315789473685</v>
      </c>
      <c r="D3" s="7">
        <v>468.34210526315792</v>
      </c>
      <c r="E3" s="7">
        <v>386.86842105263156</v>
      </c>
      <c r="F3" s="7">
        <v>81.684417313068394</v>
      </c>
      <c r="G3" s="7">
        <v>12.736842105263158</v>
      </c>
      <c r="H3" s="7">
        <v>4.4736842105263159</v>
      </c>
      <c r="I3" s="7">
        <v>10.684210526315789</v>
      </c>
      <c r="J3" s="7">
        <v>6.1052631578947372</v>
      </c>
      <c r="M3" s="7">
        <f t="shared" ref="M3:M21" si="1">(B3 - AVERAGE(B$2:B$21)) / _xlfn.STDEV.P(B$2:B$21)</f>
        <v>0.16827135736182153</v>
      </c>
      <c r="N3" s="7">
        <f t="shared" ref="N3:N21" si="2">(C3 - AVERAGE(C$2:C$21)) / _xlfn.STDEV.P(C$2:C$21)</f>
        <v>9.0933988436271998E-2</v>
      </c>
      <c r="O3" s="7">
        <f t="shared" ref="O3:O21" si="3">(D3 - AVERAGE(D$2:D$21)) / _xlfn.STDEV.P(D$2:D$21)</f>
        <v>-0.28239622883643728</v>
      </c>
      <c r="P3" s="7">
        <f t="shared" ref="P3:P21" si="4">(E3 - AVERAGE(E$2:E$21)) / _xlfn.STDEV.P(E$2:E$21)</f>
        <v>-0.1367931932189474</v>
      </c>
      <c r="Q3" s="7">
        <f t="shared" ref="Q3:Q21" si="5">(F3 - AVERAGE(F$2:F$21)) / _xlfn.STDEV.P(F$2:F$21)</f>
        <v>0.37916903914510669</v>
      </c>
      <c r="R3" s="7">
        <f t="shared" ref="R3:R21" si="6">(G3 - AVERAGE(G$2:G$21)) / _xlfn.STDEV.P(G$2:G$21)</f>
        <v>-0.10111788835675965</v>
      </c>
      <c r="S3" s="7">
        <f t="shared" ref="S3:S21" si="7">(H3 - AVERAGE(H$2:H$21)) / _xlfn.STDEV.P(H$2:H$21)</f>
        <v>-9.0029556170202682E-2</v>
      </c>
      <c r="U3" s="7">
        <v>0.17538350367597361</v>
      </c>
      <c r="V3" s="7">
        <v>-0.54465487426548054</v>
      </c>
      <c r="W3" s="7">
        <v>-0.26383170823500057</v>
      </c>
      <c r="X3" s="7">
        <v>0.73129965719391565</v>
      </c>
      <c r="Y3" s="7">
        <v>-0.19502509291949738</v>
      </c>
      <c r="Z3" s="7">
        <v>-0.17363913391513328</v>
      </c>
    </row>
    <row r="4" spans="1:26" x14ac:dyDescent="0.25">
      <c r="A4" t="s">
        <v>49</v>
      </c>
      <c r="B4" s="7">
        <v>1.6789473684210532</v>
      </c>
      <c r="C4" s="7">
        <v>48.5</v>
      </c>
      <c r="D4" s="7">
        <v>444.73684210526318</v>
      </c>
      <c r="E4" s="7">
        <v>341.5</v>
      </c>
      <c r="F4" s="7">
        <v>76.275310576047232</v>
      </c>
      <c r="G4" s="7">
        <v>15.263157894736842</v>
      </c>
      <c r="H4" s="7">
        <v>5.3157894736842106</v>
      </c>
      <c r="I4" s="7">
        <v>13.526315789473685</v>
      </c>
      <c r="J4" s="7">
        <v>6.0263157894736841</v>
      </c>
      <c r="M4" s="7">
        <f t="shared" si="1"/>
        <v>0.78303322500688632</v>
      </c>
      <c r="N4" s="7">
        <f t="shared" si="2"/>
        <v>-0.25916186704336536</v>
      </c>
      <c r="O4" s="7">
        <f t="shared" si="3"/>
        <v>-0.6449141784125153</v>
      </c>
      <c r="P4" s="7">
        <f t="shared" si="4"/>
        <v>-0.79859048551434852</v>
      </c>
      <c r="Q4" s="7">
        <f t="shared" si="5"/>
        <v>-1.1703565069236996</v>
      </c>
      <c r="R4" s="7">
        <f t="shared" si="6"/>
        <v>1.0476770562880717</v>
      </c>
      <c r="S4" s="7">
        <f t="shared" si="7"/>
        <v>0.90340002915617579</v>
      </c>
      <c r="U4" s="7">
        <v>-0.12348997733062894</v>
      </c>
      <c r="V4" s="7">
        <v>-0.30729998275184722</v>
      </c>
      <c r="W4" s="7">
        <v>-0.38052635627957254</v>
      </c>
      <c r="X4" s="7">
        <v>-0.5576719297387146</v>
      </c>
      <c r="Y4" s="7">
        <v>0.49921548029743656</v>
      </c>
      <c r="Z4" s="7">
        <v>0.43046784001721317</v>
      </c>
    </row>
    <row r="5" spans="1:26" x14ac:dyDescent="0.25">
      <c r="A5" t="s">
        <v>54</v>
      </c>
      <c r="B5" s="7">
        <v>1.5526315789473681</v>
      </c>
      <c r="C5" s="7">
        <v>47.868421052631582</v>
      </c>
      <c r="D5" s="7">
        <v>450</v>
      </c>
      <c r="E5" s="7">
        <v>351.5263157894737</v>
      </c>
      <c r="F5" s="7">
        <v>77.688921112012608</v>
      </c>
      <c r="G5" s="7">
        <v>11.605263157894736</v>
      </c>
      <c r="H5" s="7">
        <v>4.8421052631578947</v>
      </c>
      <c r="I5" s="7">
        <v>8.3947368421052637</v>
      </c>
      <c r="J5" s="7">
        <v>4.6052631578947372</v>
      </c>
      <c r="M5" s="7">
        <f t="shared" si="1"/>
        <v>0.40471822953299896</v>
      </c>
      <c r="N5" s="7">
        <f t="shared" si="2"/>
        <v>-0.36828265316688807</v>
      </c>
      <c r="O5" s="7">
        <f t="shared" si="3"/>
        <v>-0.56408520414806129</v>
      </c>
      <c r="P5" s="7">
        <f t="shared" si="4"/>
        <v>-0.65233481940962212</v>
      </c>
      <c r="Q5" s="7">
        <f t="shared" si="5"/>
        <v>-0.76540505298425465</v>
      </c>
      <c r="R5" s="7">
        <f t="shared" si="6"/>
        <v>-0.61568229064559032</v>
      </c>
      <c r="S5" s="7">
        <f t="shared" si="7"/>
        <v>0.34459588741008773</v>
      </c>
      <c r="U5" s="7">
        <v>-0.26285655209965852</v>
      </c>
      <c r="V5" s="7">
        <v>-0.40260786267769433</v>
      </c>
      <c r="W5" s="7">
        <v>-0.46559478153554101</v>
      </c>
      <c r="X5" s="7">
        <v>-0.54629706682363655</v>
      </c>
      <c r="Y5" s="7">
        <v>-0.43943455581271523</v>
      </c>
      <c r="Z5" s="7">
        <v>0.24595045694778242</v>
      </c>
    </row>
    <row r="6" spans="1:26" x14ac:dyDescent="0.25">
      <c r="A6" t="s">
        <v>45</v>
      </c>
      <c r="B6" s="7">
        <v>1.5394736842105261</v>
      </c>
      <c r="C6" s="7">
        <v>52.342105263157897</v>
      </c>
      <c r="D6" s="7">
        <v>504.94736842105266</v>
      </c>
      <c r="E6" s="7">
        <v>416.31578947368422</v>
      </c>
      <c r="F6" s="7">
        <v>82.088259171754004</v>
      </c>
      <c r="G6" s="7">
        <v>14.026315789473685</v>
      </c>
      <c r="H6" s="7">
        <v>5.0263157894736841</v>
      </c>
      <c r="I6" s="7">
        <v>11.526315789473685</v>
      </c>
      <c r="J6" s="7">
        <v>4.9736842105263159</v>
      </c>
      <c r="M6" s="7">
        <f t="shared" si="1"/>
        <v>0.36531041750446952</v>
      </c>
      <c r="N6" s="7">
        <f t="shared" si="2"/>
        <v>0.40465624854140181</v>
      </c>
      <c r="O6" s="7">
        <f t="shared" si="3"/>
        <v>0.27976928717284316</v>
      </c>
      <c r="P6" s="7">
        <f t="shared" si="4"/>
        <v>0.2927608497500519</v>
      </c>
      <c r="Q6" s="7">
        <f t="shared" si="5"/>
        <v>0.49485602907310977</v>
      </c>
      <c r="R6" s="7">
        <f t="shared" si="6"/>
        <v>0.48524619797237334</v>
      </c>
      <c r="S6" s="7">
        <f t="shared" si="7"/>
        <v>0.56190860920023289</v>
      </c>
      <c r="U6" s="7">
        <v>0.38171481275116292</v>
      </c>
      <c r="V6" s="7">
        <v>0.26390814784559513</v>
      </c>
      <c r="W6" s="7">
        <v>0.27616317144742852</v>
      </c>
      <c r="X6" s="7">
        <v>0.46680083937243277</v>
      </c>
      <c r="Y6" s="7">
        <v>0.45773582457923451</v>
      </c>
      <c r="Z6" s="7">
        <v>0.53005196464225157</v>
      </c>
    </row>
    <row r="7" spans="1:26" x14ac:dyDescent="0.25">
      <c r="A7" t="s">
        <v>57</v>
      </c>
      <c r="B7" s="7">
        <v>1.7842105263157895</v>
      </c>
      <c r="C7" s="7">
        <v>57.05263157894737</v>
      </c>
      <c r="D7" s="7">
        <v>561.0526315789474</v>
      </c>
      <c r="E7" s="7">
        <v>474.55263157894734</v>
      </c>
      <c r="F7" s="7">
        <v>84.235922666645294</v>
      </c>
      <c r="G7" s="7">
        <v>15.657894736842104</v>
      </c>
      <c r="H7" s="7">
        <v>5.7368421052631575</v>
      </c>
      <c r="I7" s="7">
        <v>11.473684210526315</v>
      </c>
      <c r="J7" s="7">
        <v>6.2105263157894735</v>
      </c>
      <c r="M7" s="7">
        <f t="shared" si="1"/>
        <v>1.0982957212351221</v>
      </c>
      <c r="N7" s="7">
        <f t="shared" si="2"/>
        <v>1.2185154450460129</v>
      </c>
      <c r="O7" s="7">
        <f t="shared" si="3"/>
        <v>1.1414061528319273</v>
      </c>
      <c r="P7" s="7">
        <f t="shared" si="4"/>
        <v>1.1422721072034872</v>
      </c>
      <c r="Q7" s="7">
        <f t="shared" si="5"/>
        <v>1.1100887489077615</v>
      </c>
      <c r="R7" s="7">
        <f t="shared" si="6"/>
        <v>1.2271762663888259</v>
      </c>
      <c r="S7" s="7">
        <f t="shared" si="7"/>
        <v>1.4001148218193646</v>
      </c>
      <c r="U7" s="7">
        <v>0.41097276714318354</v>
      </c>
      <c r="V7" s="7">
        <v>0.38496585904652131</v>
      </c>
      <c r="W7" s="7">
        <v>0.38525792236483752</v>
      </c>
      <c r="X7" s="7">
        <v>0.37440333380091873</v>
      </c>
      <c r="Y7" s="7">
        <v>0.41389383123593632</v>
      </c>
      <c r="Z7" s="7">
        <v>0.47222139446871053</v>
      </c>
    </row>
    <row r="8" spans="1:26" x14ac:dyDescent="0.25">
      <c r="A8" t="s">
        <v>55</v>
      </c>
      <c r="B8" s="7">
        <v>1.5894736842105259</v>
      </c>
      <c r="C8" s="7">
        <v>42.763157894736842</v>
      </c>
      <c r="D8" s="7">
        <v>414.57894736842104</v>
      </c>
      <c r="E8" s="7">
        <v>312.5</v>
      </c>
      <c r="F8" s="7">
        <v>74.466894054564861</v>
      </c>
      <c r="G8" s="7">
        <v>13.578947368421053</v>
      </c>
      <c r="H8" s="7">
        <v>4.8947368421052628</v>
      </c>
      <c r="I8" s="7">
        <v>10.973684210526315</v>
      </c>
      <c r="J8" s="7">
        <v>4.5263157894736841</v>
      </c>
      <c r="M8" s="7">
        <f t="shared" si="1"/>
        <v>0.51506010321288176</v>
      </c>
      <c r="N8" s="7">
        <f t="shared" si="2"/>
        <v>-1.250342340998702</v>
      </c>
      <c r="O8" s="7">
        <f t="shared" si="3"/>
        <v>-1.1080642009478396</v>
      </c>
      <c r="P8" s="7">
        <f t="shared" si="4"/>
        <v>-1.2216186851138451</v>
      </c>
      <c r="Q8" s="7">
        <f t="shared" si="5"/>
        <v>-1.6884064797206886</v>
      </c>
      <c r="R8" s="7">
        <f t="shared" si="6"/>
        <v>0.28181375985818441</v>
      </c>
      <c r="S8" s="7">
        <f t="shared" si="7"/>
        <v>0.40668523649298605</v>
      </c>
      <c r="U8" s="7">
        <v>-0.46028722799641653</v>
      </c>
      <c r="V8" s="7">
        <v>-0.40791052400014249</v>
      </c>
      <c r="W8" s="7">
        <v>-0.44971321837389711</v>
      </c>
      <c r="X8" s="7">
        <v>-0.6215513246244857</v>
      </c>
      <c r="Y8" s="7">
        <v>0.10374380686233689</v>
      </c>
      <c r="Z8" s="7">
        <v>0.14971261392532334</v>
      </c>
    </row>
    <row r="9" spans="1:26" x14ac:dyDescent="0.25">
      <c r="A9" t="s">
        <v>44</v>
      </c>
      <c r="B9" s="7">
        <v>1.1052631578947369</v>
      </c>
      <c r="C9" s="7">
        <v>40.89473684210526</v>
      </c>
      <c r="D9" s="7">
        <v>393.5</v>
      </c>
      <c r="E9" s="7">
        <v>300.13157894736844</v>
      </c>
      <c r="F9" s="7">
        <v>75.339183927165507</v>
      </c>
      <c r="G9" s="7">
        <v>10.657894736842104</v>
      </c>
      <c r="H9" s="7">
        <v>3.7894736842105261</v>
      </c>
      <c r="I9" s="7">
        <v>11.315789473684211</v>
      </c>
      <c r="J9" s="7">
        <v>4.1052631578947372</v>
      </c>
      <c r="M9" s="7">
        <f t="shared" si="1"/>
        <v>-0.93514737943700876</v>
      </c>
      <c r="N9" s="7">
        <f t="shared" si="2"/>
        <v>-1.573157999947459</v>
      </c>
      <c r="O9" s="7">
        <f t="shared" si="3"/>
        <v>-1.4317842428769794</v>
      </c>
      <c r="P9" s="7">
        <f t="shared" si="4"/>
        <v>-1.4020390606236122</v>
      </c>
      <c r="Q9" s="7">
        <f t="shared" si="5"/>
        <v>-1.4385250285152789</v>
      </c>
      <c r="R9" s="7">
        <f t="shared" si="6"/>
        <v>-1.046480394887402</v>
      </c>
      <c r="S9" s="7">
        <f t="shared" si="7"/>
        <v>-0.89719109424788568</v>
      </c>
      <c r="U9" s="7">
        <v>-0.48641511277110333</v>
      </c>
      <c r="V9" s="7">
        <v>-0.44270282704353586</v>
      </c>
      <c r="W9" s="7">
        <v>-0.43350571767457746</v>
      </c>
      <c r="X9" s="7">
        <v>-0.44478705507818261</v>
      </c>
      <c r="Y9" s="7">
        <v>-0.323568185337331</v>
      </c>
      <c r="Z9" s="7">
        <v>-0.27740844041119217</v>
      </c>
    </row>
    <row r="10" spans="1:26" x14ac:dyDescent="0.25">
      <c r="A10" t="s">
        <v>34</v>
      </c>
      <c r="B10" s="7">
        <v>1.2921052631578949</v>
      </c>
      <c r="C10" s="7">
        <v>52.263157894736842</v>
      </c>
      <c r="D10" s="7">
        <v>519.81578947368416</v>
      </c>
      <c r="E10" s="7">
        <v>426.28947368421052</v>
      </c>
      <c r="F10" s="7">
        <v>81.638946237846852</v>
      </c>
      <c r="G10" s="7">
        <v>13.710526315789474</v>
      </c>
      <c r="H10" s="7">
        <v>4.5526315789473681</v>
      </c>
      <c r="I10" s="7">
        <v>11.368421052631579</v>
      </c>
      <c r="J10" s="7">
        <v>5.3947368421052628</v>
      </c>
      <c r="M10" s="7">
        <f t="shared" si="1"/>
        <v>-0.37555644863188736</v>
      </c>
      <c r="N10" s="7">
        <f t="shared" si="2"/>
        <v>0.39101615027596098</v>
      </c>
      <c r="O10" s="7">
        <f t="shared" si="3"/>
        <v>0.5081111394699257</v>
      </c>
      <c r="P10" s="7">
        <f t="shared" si="4"/>
        <v>0.43824876957601289</v>
      </c>
      <c r="Q10" s="7">
        <f t="shared" si="5"/>
        <v>0.36614311895374479</v>
      </c>
      <c r="R10" s="7">
        <f t="shared" si="6"/>
        <v>0.34164682989176942</v>
      </c>
      <c r="S10" s="7">
        <f t="shared" si="7"/>
        <v>3.1044674541448117E-3</v>
      </c>
      <c r="U10" s="7">
        <v>0.42314060119742825</v>
      </c>
      <c r="V10" s="7">
        <v>0.5498556846786915</v>
      </c>
      <c r="W10" s="7">
        <v>0.47425367903998794</v>
      </c>
      <c r="X10" s="7">
        <v>0.39622409296661193</v>
      </c>
      <c r="Y10" s="7">
        <v>0.36971527875657262</v>
      </c>
      <c r="Z10" s="7">
        <v>3.3595190991921662E-3</v>
      </c>
    </row>
    <row r="11" spans="1:26" x14ac:dyDescent="0.25">
      <c r="A11" t="s">
        <v>38</v>
      </c>
      <c r="B11" s="7">
        <v>0.90263157894736856</v>
      </c>
      <c r="C11" s="7">
        <v>40.578947368421055</v>
      </c>
      <c r="D11" s="7">
        <v>388.81578947368422</v>
      </c>
      <c r="E11" s="7">
        <v>303.26315789473682</v>
      </c>
      <c r="F11" s="7">
        <v>76.928533524388143</v>
      </c>
      <c r="G11" s="7">
        <v>9.8947368421052637</v>
      </c>
      <c r="H11" s="7">
        <v>3.3421052631578947</v>
      </c>
      <c r="I11" s="7">
        <v>11.315789473684211</v>
      </c>
      <c r="J11" s="7">
        <v>3.8157894736842106</v>
      </c>
      <c r="M11" s="7">
        <f t="shared" si="1"/>
        <v>-1.5420276846763656</v>
      </c>
      <c r="N11" s="7">
        <f t="shared" si="2"/>
        <v>-1.6277183930092196</v>
      </c>
      <c r="O11" s="7">
        <f t="shared" si="3"/>
        <v>-1.5037220299723435</v>
      </c>
      <c r="P11" s="7">
        <f t="shared" si="4"/>
        <v>-1.3563581570370971</v>
      </c>
      <c r="Q11" s="7">
        <f t="shared" si="5"/>
        <v>-0.98323029645257021</v>
      </c>
      <c r="R11" s="7">
        <f t="shared" si="6"/>
        <v>-1.3935122010821941</v>
      </c>
      <c r="S11" s="7">
        <f t="shared" si="7"/>
        <v>-1.4249505614525242</v>
      </c>
      <c r="U11" s="7">
        <v>-0.47608237858263314</v>
      </c>
      <c r="V11" s="7">
        <v>-0.43981536599389148</v>
      </c>
      <c r="W11" s="7">
        <v>-0.39671371926834292</v>
      </c>
      <c r="X11" s="7">
        <v>-0.28757960851216835</v>
      </c>
      <c r="Y11" s="7">
        <v>-0.407580700767675</v>
      </c>
      <c r="Z11" s="7">
        <v>-0.41677593346156516</v>
      </c>
    </row>
    <row r="12" spans="1:26" x14ac:dyDescent="0.25">
      <c r="A12" t="s">
        <v>59</v>
      </c>
      <c r="B12" s="7">
        <v>0.86052631578947381</v>
      </c>
      <c r="C12" s="7">
        <v>45.421052631578945</v>
      </c>
      <c r="D12" s="7">
        <v>460.15789473684208</v>
      </c>
      <c r="E12" s="7">
        <v>366.9736842105263</v>
      </c>
      <c r="F12" s="7">
        <v>78.986385076721191</v>
      </c>
      <c r="G12" s="7">
        <v>8.8157894736842106</v>
      </c>
      <c r="H12" s="7">
        <v>2.9210526315789473</v>
      </c>
      <c r="I12" s="7">
        <v>11.052631578947368</v>
      </c>
      <c r="J12" s="7">
        <v>3.7105263157894739</v>
      </c>
      <c r="M12" s="7">
        <f t="shared" si="1"/>
        <v>-1.6681326831676606</v>
      </c>
      <c r="N12" s="7">
        <f t="shared" si="2"/>
        <v>-0.79112569939554189</v>
      </c>
      <c r="O12" s="7">
        <f t="shared" si="3"/>
        <v>-0.40808528381766462</v>
      </c>
      <c r="P12" s="7">
        <f t="shared" si="4"/>
        <v>-0.42700128659210479</v>
      </c>
      <c r="Q12" s="7">
        <f t="shared" si="5"/>
        <v>-0.39372565079023558</v>
      </c>
      <c r="R12" s="7">
        <f t="shared" si="6"/>
        <v>-1.8841433753575909</v>
      </c>
      <c r="S12" s="7">
        <f t="shared" si="7"/>
        <v>-1.9216653541157134</v>
      </c>
      <c r="U12" s="7">
        <v>-0.27341127774935836</v>
      </c>
      <c r="V12" s="7">
        <v>-0.14103336418542087</v>
      </c>
      <c r="W12" s="7">
        <v>-0.14757069256752453</v>
      </c>
      <c r="X12" s="7">
        <v>-0.13607070702861129</v>
      </c>
      <c r="Y12" s="7">
        <v>-0.6511557494758472</v>
      </c>
      <c r="Z12" s="7">
        <v>-0.66412326167243096</v>
      </c>
    </row>
    <row r="13" spans="1:26" x14ac:dyDescent="0.25">
      <c r="A13" t="s">
        <v>39</v>
      </c>
      <c r="B13" s="7">
        <v>2.1605263157894736</v>
      </c>
      <c r="C13" s="7">
        <v>57.736842105263158</v>
      </c>
      <c r="D13" s="7">
        <v>572.57894736842104</v>
      </c>
      <c r="E13" s="7">
        <v>481.65789473684208</v>
      </c>
      <c r="F13" s="7">
        <v>83.757975109850733</v>
      </c>
      <c r="G13" s="7">
        <v>17.05263157894737</v>
      </c>
      <c r="H13" s="7">
        <v>6.0789473684210522</v>
      </c>
      <c r="I13" s="7">
        <v>11.315789473684211</v>
      </c>
      <c r="J13" s="7">
        <v>6.6578947368421053</v>
      </c>
      <c r="M13" s="7">
        <f t="shared" si="1"/>
        <v>2.2253591452510704</v>
      </c>
      <c r="N13" s="7">
        <f t="shared" si="2"/>
        <v>1.3367296300131628</v>
      </c>
      <c r="O13" s="7">
        <f t="shared" si="3"/>
        <v>1.3184216064710816</v>
      </c>
      <c r="P13" s="7">
        <f t="shared" si="4"/>
        <v>1.2459178548367578</v>
      </c>
      <c r="Q13" s="7">
        <f t="shared" si="5"/>
        <v>0.97317299092029863</v>
      </c>
      <c r="R13" s="7">
        <f t="shared" si="6"/>
        <v>1.8614068087448274</v>
      </c>
      <c r="S13" s="7">
        <f t="shared" si="7"/>
        <v>1.8036955908582057</v>
      </c>
      <c r="U13" s="7">
        <v>0.37446768869676111</v>
      </c>
      <c r="V13" s="7">
        <v>0.36933893034018789</v>
      </c>
      <c r="W13" s="7">
        <v>0.34902793274819022</v>
      </c>
      <c r="X13" s="7">
        <v>0.27262195168700631</v>
      </c>
      <c r="Y13" s="7">
        <v>0.5214492816982188</v>
      </c>
      <c r="Z13" s="7">
        <v>0.50528222301360992</v>
      </c>
    </row>
    <row r="14" spans="1:26" x14ac:dyDescent="0.25">
      <c r="A14" t="s">
        <v>58</v>
      </c>
      <c r="B14" s="7">
        <v>1.7868421052631576</v>
      </c>
      <c r="C14" s="7">
        <v>61.342105263157897</v>
      </c>
      <c r="D14" s="7">
        <v>643.23684210526312</v>
      </c>
      <c r="E14" s="7">
        <v>566.60526315789468</v>
      </c>
      <c r="F14" s="7">
        <v>87.910077745346669</v>
      </c>
      <c r="G14" s="7">
        <v>15.973684210526315</v>
      </c>
      <c r="H14" s="7">
        <v>5.7105263157894735</v>
      </c>
      <c r="I14" s="7">
        <v>7.5526315789473681</v>
      </c>
      <c r="J14" s="7">
        <v>6.6578947368421053</v>
      </c>
      <c r="M14" s="7">
        <f t="shared" si="1"/>
        <v>1.106177283640827</v>
      </c>
      <c r="N14" s="7">
        <f t="shared" si="2"/>
        <v>1.9596274508016087</v>
      </c>
      <c r="O14" s="7">
        <f t="shared" si="3"/>
        <v>2.4035505859713817</v>
      </c>
      <c r="P14" s="7">
        <f t="shared" si="4"/>
        <v>2.4850603487634135</v>
      </c>
      <c r="Q14" s="7">
        <f t="shared" si="5"/>
        <v>2.1626095127708007</v>
      </c>
      <c r="R14" s="7">
        <f t="shared" si="6"/>
        <v>1.37077563446943</v>
      </c>
      <c r="S14" s="7">
        <f t="shared" si="7"/>
        <v>1.3690701472779154</v>
      </c>
      <c r="U14" s="7">
        <v>0.39816193553777107</v>
      </c>
      <c r="V14" s="7">
        <v>0.48835933232198608</v>
      </c>
      <c r="W14" s="7">
        <v>0.50492068683109148</v>
      </c>
      <c r="X14" s="7">
        <v>0.4394043311982529</v>
      </c>
      <c r="Y14" s="7">
        <v>0.27851757209519712</v>
      </c>
      <c r="Z14" s="7">
        <v>0.27817104700394546</v>
      </c>
    </row>
    <row r="15" spans="1:26" x14ac:dyDescent="0.25">
      <c r="A15" t="s">
        <v>33</v>
      </c>
      <c r="B15" s="7">
        <v>1.3815789473684208</v>
      </c>
      <c r="C15" s="7">
        <v>53.526315789473685</v>
      </c>
      <c r="D15" s="7">
        <v>537.23684210526312</v>
      </c>
      <c r="E15" s="7">
        <v>443.07894736842104</v>
      </c>
      <c r="F15" s="7">
        <v>82.026350228409044</v>
      </c>
      <c r="G15" s="7">
        <v>13.868421052631579</v>
      </c>
      <c r="H15" s="7">
        <v>4.5789473684210522</v>
      </c>
      <c r="I15" s="7">
        <v>10.868421052631579</v>
      </c>
      <c r="J15" s="7">
        <v>5.2631578947368425</v>
      </c>
      <c r="M15" s="7">
        <f t="shared" si="1"/>
        <v>-0.10758332683788673</v>
      </c>
      <c r="N15" s="7">
        <f t="shared" si="2"/>
        <v>0.60925772252300769</v>
      </c>
      <c r="O15" s="7">
        <f t="shared" si="3"/>
        <v>0.77565504428526999</v>
      </c>
      <c r="P15" s="7">
        <f t="shared" si="4"/>
        <v>0.68315983250203716</v>
      </c>
      <c r="Q15" s="7">
        <f t="shared" si="5"/>
        <v>0.47712121741066299</v>
      </c>
      <c r="R15" s="7">
        <f t="shared" si="6"/>
        <v>0.41344651393207099</v>
      </c>
      <c r="S15" s="7">
        <f t="shared" si="7"/>
        <v>3.4149141995593976E-2</v>
      </c>
      <c r="U15" s="7">
        <v>0.44923719986051752</v>
      </c>
      <c r="V15" s="7">
        <v>0.57193054313602332</v>
      </c>
      <c r="W15" s="7">
        <v>0.50372904415471842</v>
      </c>
      <c r="X15" s="7">
        <v>0.35180612699663105</v>
      </c>
      <c r="Y15" s="7">
        <v>0.30485547797700996</v>
      </c>
      <c r="Z15" s="7">
        <v>2.5179926918629268E-2</v>
      </c>
    </row>
    <row r="16" spans="1:26" x14ac:dyDescent="0.25">
      <c r="A16" t="s">
        <v>46</v>
      </c>
      <c r="B16" s="7">
        <v>1.6815789473684213</v>
      </c>
      <c r="C16" s="7">
        <v>51.315789473684212</v>
      </c>
      <c r="D16" s="7">
        <v>497.31578947368422</v>
      </c>
      <c r="E16" s="7">
        <v>405.68421052631578</v>
      </c>
      <c r="F16" s="7">
        <v>80.581001669121136</v>
      </c>
      <c r="G16" s="7">
        <v>13.789473684210526</v>
      </c>
      <c r="H16" s="7">
        <v>4.5789473684210522</v>
      </c>
      <c r="I16" s="7">
        <v>10.368421052631579</v>
      </c>
      <c r="J16" s="7">
        <v>5.7368421052631575</v>
      </c>
      <c r="M16" s="7">
        <f t="shared" si="1"/>
        <v>0.79091478741259125</v>
      </c>
      <c r="N16" s="7">
        <f t="shared" si="2"/>
        <v>0.22733497109067632</v>
      </c>
      <c r="O16" s="7">
        <f t="shared" si="3"/>
        <v>0.16256727448938402</v>
      </c>
      <c r="P16" s="7">
        <f t="shared" si="4"/>
        <v>0.13767610143952835</v>
      </c>
      <c r="Q16" s="7">
        <f t="shared" si="5"/>
        <v>6.3077896678610787E-2</v>
      </c>
      <c r="R16" s="7">
        <f t="shared" si="6"/>
        <v>0.37754667191191982</v>
      </c>
      <c r="S16" s="7">
        <f t="shared" si="7"/>
        <v>3.4149141995593976E-2</v>
      </c>
      <c r="U16" s="7">
        <v>0.45952004704109112</v>
      </c>
      <c r="V16" s="7">
        <v>0.32860285974614623</v>
      </c>
      <c r="W16" s="7">
        <v>0.27828946996760934</v>
      </c>
      <c r="X16" s="7">
        <v>0.1275015362130402</v>
      </c>
      <c r="Y16" s="7">
        <v>0.76314815800149516</v>
      </c>
      <c r="Z16" s="7">
        <v>6.9026842904733487E-2</v>
      </c>
    </row>
    <row r="17" spans="1:26" x14ac:dyDescent="0.25">
      <c r="A17" t="s">
        <v>48</v>
      </c>
      <c r="B17" s="7">
        <v>1.1921052631578946</v>
      </c>
      <c r="C17" s="7">
        <v>41.210526315789473</v>
      </c>
      <c r="D17" s="7">
        <v>378.05263157894734</v>
      </c>
      <c r="E17" s="7">
        <v>284.78947368421052</v>
      </c>
      <c r="F17" s="7">
        <v>74.522722250038171</v>
      </c>
      <c r="G17" s="7">
        <v>12.184210526315789</v>
      </c>
      <c r="H17" s="7">
        <v>4.3684210526315788</v>
      </c>
      <c r="I17" s="7">
        <v>10.289473684210526</v>
      </c>
      <c r="J17" s="7">
        <v>4.2105263157894735</v>
      </c>
      <c r="M17" s="7">
        <f t="shared" si="1"/>
        <v>-0.67505582004871378</v>
      </c>
      <c r="N17" s="7">
        <f t="shared" si="2"/>
        <v>-1.518597606885697</v>
      </c>
      <c r="O17" s="7">
        <f t="shared" si="3"/>
        <v>-1.6690172823431535</v>
      </c>
      <c r="P17" s="7">
        <f t="shared" si="4"/>
        <v>-1.6258371008836003</v>
      </c>
      <c r="Q17" s="7">
        <f t="shared" si="5"/>
        <v>-1.6724135960002136</v>
      </c>
      <c r="R17" s="7">
        <f t="shared" si="6"/>
        <v>-0.35241678249781633</v>
      </c>
      <c r="S17" s="7">
        <f t="shared" si="7"/>
        <v>-0.21420825433600038</v>
      </c>
      <c r="U17" s="7">
        <v>-0.46420212053922394</v>
      </c>
      <c r="V17" s="7">
        <v>-0.51018212999108181</v>
      </c>
      <c r="W17" s="7">
        <v>-0.4969828916227958</v>
      </c>
      <c r="X17" s="7">
        <v>-0.51122030889672154</v>
      </c>
      <c r="Y17" s="7">
        <v>-0.10772611322928959</v>
      </c>
      <c r="Z17" s="7">
        <v>-6.5478784800469661E-2</v>
      </c>
    </row>
    <row r="18" spans="1:26" x14ac:dyDescent="0.25">
      <c r="A18" t="s">
        <v>47</v>
      </c>
      <c r="B18" s="7">
        <v>0.85526315789473706</v>
      </c>
      <c r="C18" s="7">
        <v>48.526315789473685</v>
      </c>
      <c r="D18" s="7">
        <v>488.44736842105266</v>
      </c>
      <c r="E18" s="7">
        <v>408.68421052631578</v>
      </c>
      <c r="F18" s="7">
        <v>82.988888561117889</v>
      </c>
      <c r="G18" s="7">
        <v>9.026315789473685</v>
      </c>
      <c r="H18" s="7">
        <v>2.9210526315789473</v>
      </c>
      <c r="I18" s="7">
        <v>12.078947368421053</v>
      </c>
      <c r="J18" s="7">
        <v>4</v>
      </c>
      <c r="M18" s="7">
        <f t="shared" si="1"/>
        <v>-1.6838958079790722</v>
      </c>
      <c r="N18" s="7">
        <f t="shared" si="2"/>
        <v>-0.25461516762155179</v>
      </c>
      <c r="O18" s="7">
        <f t="shared" si="3"/>
        <v>2.6370452853778616E-2</v>
      </c>
      <c r="P18" s="7">
        <f t="shared" si="4"/>
        <v>0.18143763932913146</v>
      </c>
      <c r="Q18" s="7">
        <f t="shared" si="5"/>
        <v>0.75285579025516214</v>
      </c>
      <c r="R18" s="7">
        <f t="shared" si="6"/>
        <v>-1.7884104633038547</v>
      </c>
      <c r="S18" s="7">
        <f t="shared" si="7"/>
        <v>-1.9216653541157134</v>
      </c>
      <c r="U18" s="7">
        <v>-9.2624418670331637E-2</v>
      </c>
      <c r="V18" s="7">
        <v>9.5930964697481108E-3</v>
      </c>
      <c r="W18" s="7">
        <v>6.6003749991662322E-2</v>
      </c>
      <c r="X18" s="7">
        <v>0.27387539621608548</v>
      </c>
      <c r="Y18" s="7">
        <v>-0.65059156159020826</v>
      </c>
      <c r="Z18" s="7">
        <v>-0.69906729424872949</v>
      </c>
    </row>
    <row r="19" spans="1:26" x14ac:dyDescent="0.25">
      <c r="A19" t="s">
        <v>60</v>
      </c>
      <c r="B19" s="7">
        <v>1.544736842105263</v>
      </c>
      <c r="C19" s="7">
        <v>54.684210526315788</v>
      </c>
      <c r="D19" s="7">
        <v>525.26315789473688</v>
      </c>
      <c r="E19" s="7">
        <v>434.55263157894734</v>
      </c>
      <c r="F19" s="7">
        <v>82.178770856842107</v>
      </c>
      <c r="G19" s="7">
        <v>13.078947368421053</v>
      </c>
      <c r="H19" s="7">
        <v>4.8684210526315788</v>
      </c>
      <c r="I19" s="7">
        <v>11.736842105263158</v>
      </c>
      <c r="J19" s="7">
        <v>6.3947368421052628</v>
      </c>
      <c r="M19" s="7">
        <f t="shared" si="1"/>
        <v>0.38107354231588142</v>
      </c>
      <c r="N19" s="7">
        <f t="shared" si="2"/>
        <v>0.80931249708279995</v>
      </c>
      <c r="O19" s="7">
        <f t="shared" si="3"/>
        <v>0.59176912783363733</v>
      </c>
      <c r="P19" s="7">
        <f t="shared" si="4"/>
        <v>0.55878493534211238</v>
      </c>
      <c r="Q19" s="7">
        <f t="shared" si="5"/>
        <v>0.52078455573756743</v>
      </c>
      <c r="R19" s="7">
        <f t="shared" si="6"/>
        <v>5.4448093730561586E-2</v>
      </c>
      <c r="S19" s="7">
        <f t="shared" si="7"/>
        <v>0.37564056195153689</v>
      </c>
      <c r="U19" s="7">
        <v>0.61482841681578526</v>
      </c>
      <c r="V19" s="7">
        <v>0.44956240920272056</v>
      </c>
      <c r="W19" s="7">
        <v>0.42450457440761963</v>
      </c>
      <c r="X19" s="7">
        <v>0.39563598123146493</v>
      </c>
      <c r="Y19" s="7">
        <v>4.1363793822120784E-2</v>
      </c>
      <c r="Z19" s="7">
        <v>0.28537121671658383</v>
      </c>
    </row>
    <row r="20" spans="1:26" x14ac:dyDescent="0.25">
      <c r="A20" t="s">
        <v>51</v>
      </c>
      <c r="B20" s="7">
        <v>1.2421052631578948</v>
      </c>
      <c r="C20" s="7">
        <v>48.44736842105263</v>
      </c>
      <c r="D20" s="7">
        <v>483.23684210526318</v>
      </c>
      <c r="E20" s="7">
        <v>390</v>
      </c>
      <c r="F20" s="7">
        <v>80.219390723066297</v>
      </c>
      <c r="G20" s="7">
        <v>12.526315789473685</v>
      </c>
      <c r="H20" s="7">
        <v>3.8421052631578947</v>
      </c>
      <c r="I20" s="7">
        <v>11.657894736842104</v>
      </c>
      <c r="J20" s="7">
        <v>4.0526315789473681</v>
      </c>
      <c r="M20" s="7">
        <f t="shared" si="1"/>
        <v>-0.52530613434030027</v>
      </c>
      <c r="N20" s="7">
        <f t="shared" si="2"/>
        <v>-0.26825526588699256</v>
      </c>
      <c r="O20" s="7">
        <f t="shared" si="3"/>
        <v>-5.3650231668031338E-2</v>
      </c>
      <c r="P20" s="7">
        <f t="shared" si="4"/>
        <v>-9.1112289632431606E-2</v>
      </c>
      <c r="Q20" s="7">
        <f t="shared" si="5"/>
        <v>-4.0511369699714965E-2</v>
      </c>
      <c r="R20" s="7">
        <f t="shared" si="6"/>
        <v>-0.19685080041049507</v>
      </c>
      <c r="S20" s="7">
        <f t="shared" si="7"/>
        <v>-0.83510174516498681</v>
      </c>
      <c r="U20" s="7">
        <v>-0.29607107557848783</v>
      </c>
      <c r="V20" s="7">
        <v>-5.9213308422734305E-2</v>
      </c>
      <c r="W20" s="7">
        <v>-0.10055986599441721</v>
      </c>
      <c r="X20" s="7">
        <v>-4.4712057228375776E-2</v>
      </c>
      <c r="Y20" s="7">
        <v>-0.21726256896881865</v>
      </c>
      <c r="Z20" s="7">
        <v>-0.9216947562648341</v>
      </c>
    </row>
    <row r="21" spans="1:26" x14ac:dyDescent="0.25">
      <c r="A21" t="s">
        <v>43</v>
      </c>
      <c r="B21" s="7">
        <v>1.1473684210526316</v>
      </c>
      <c r="C21" s="7">
        <v>48.10526315789474</v>
      </c>
      <c r="D21" s="7">
        <v>470.63157894736844</v>
      </c>
      <c r="E21" s="7">
        <v>380.84210526315792</v>
      </c>
      <c r="F21" s="7">
        <v>80.30395763671396</v>
      </c>
      <c r="G21" s="7">
        <v>11.342105263157896</v>
      </c>
      <c r="H21" s="7">
        <v>4.2105263157894735</v>
      </c>
      <c r="I21" s="7">
        <v>12.631578947368421</v>
      </c>
      <c r="J21" s="7">
        <v>3.9210526315789473</v>
      </c>
      <c r="M21" s="7">
        <f t="shared" si="1"/>
        <v>-0.80904238094571412</v>
      </c>
      <c r="N21" s="7">
        <f t="shared" si="2"/>
        <v>-0.32736235837056693</v>
      </c>
      <c r="O21" s="7">
        <f t="shared" si="3"/>
        <v>-0.2472356250313997</v>
      </c>
      <c r="P21" s="7">
        <f t="shared" si="4"/>
        <v>-0.22470014213753547</v>
      </c>
      <c r="Q21" s="7">
        <f t="shared" si="5"/>
        <v>-1.628581834344563E-2</v>
      </c>
      <c r="R21" s="7">
        <f t="shared" si="6"/>
        <v>-0.73534843071275957</v>
      </c>
      <c r="S21" s="7">
        <f t="shared" si="7"/>
        <v>-0.40047630158469644</v>
      </c>
      <c r="U21" s="7">
        <v>-0.34126815148485934</v>
      </c>
      <c r="V21" s="7">
        <v>-0.25773777154965538</v>
      </c>
      <c r="W21" s="7">
        <v>-0.23424501988361907</v>
      </c>
      <c r="X21" s="7">
        <v>-1.6977612053963035E-2</v>
      </c>
      <c r="Y21" s="7">
        <v>-0.76658477442469009</v>
      </c>
      <c r="Z21" s="7">
        <v>-0.4174878499640915</v>
      </c>
    </row>
    <row r="22" spans="1:26" x14ac:dyDescent="0.25">
      <c r="A22" t="s">
        <v>96</v>
      </c>
      <c r="B22" s="7">
        <v>1.4174999999999991</v>
      </c>
      <c r="C22" s="7">
        <v>50</v>
      </c>
      <c r="D22" s="7">
        <v>486.73026315789474</v>
      </c>
      <c r="E22" s="7">
        <v>396.24605263157895</v>
      </c>
      <c r="F22" s="7">
        <v>80.360808412709758</v>
      </c>
      <c r="G22" s="7">
        <v>12.95921052631579</v>
      </c>
      <c r="H22" s="7">
        <v>4.55</v>
      </c>
      <c r="I22" s="7">
        <v>11.032894736842104</v>
      </c>
      <c r="J22" s="7">
        <v>5.1486842105263158</v>
      </c>
    </row>
    <row r="23" spans="1:26" x14ac:dyDescent="0.25">
      <c r="N23" s="7">
        <f>N2 / SQRT(SUMSQ($N2:$S2))</f>
        <v>0.60227347853952229</v>
      </c>
      <c r="O23" s="7">
        <f>O2 / SQRT(SUMSQ($N2:$S2))</f>
        <v>0.3566078689121337</v>
      </c>
      <c r="P23" s="7">
        <f t="shared" ref="P23:S23" si="8">P2 / SQRT(SUMSQ($N2:$S2))</f>
        <v>0.3898416145856477</v>
      </c>
      <c r="Q23" s="7">
        <f t="shared" si="8"/>
        <v>0.43934575460656272</v>
      </c>
      <c r="R23" s="7">
        <f t="shared" si="8"/>
        <v>0.33003670392499984</v>
      </c>
      <c r="S23" s="7">
        <f t="shared" si="8"/>
        <v>0.23700650283614011</v>
      </c>
      <c r="U23" s="7"/>
    </row>
    <row r="24" spans="1:26" x14ac:dyDescent="0.25">
      <c r="B24" s="7"/>
      <c r="C24" s="7"/>
      <c r="D24" s="7"/>
      <c r="E24" s="7"/>
      <c r="F24" s="7"/>
      <c r="G24" s="7"/>
      <c r="N24" s="7">
        <f>N3 / SQRT(SUMSQ($N3:$S3))</f>
        <v>0.17538350367597361</v>
      </c>
      <c r="O24" s="7">
        <f t="shared" ref="O24:S42" si="9">O3 / SQRT(SUMSQ($N3:$S3))</f>
        <v>-0.54465487426548054</v>
      </c>
      <c r="P24" s="7">
        <f t="shared" si="9"/>
        <v>-0.26383170823500057</v>
      </c>
      <c r="Q24" s="7">
        <f t="shared" si="9"/>
        <v>0.73129965719391565</v>
      </c>
      <c r="R24" s="7">
        <f t="shared" si="9"/>
        <v>-0.19502509291949738</v>
      </c>
      <c r="S24" s="7">
        <f t="shared" si="9"/>
        <v>-0.17363913391513328</v>
      </c>
    </row>
    <row r="25" spans="1:26" x14ac:dyDescent="0.25">
      <c r="B25" s="7"/>
      <c r="C25" s="7"/>
      <c r="D25" s="7"/>
      <c r="E25" s="7"/>
      <c r="F25" s="7"/>
      <c r="G25" s="7"/>
      <c r="N25" s="7">
        <f t="shared" ref="N25:N41" si="10">N4 / SQRT(SUMSQ($N4:$S4))</f>
        <v>-0.12348997733062894</v>
      </c>
      <c r="O25" s="7">
        <f t="shared" si="9"/>
        <v>-0.30729998275184722</v>
      </c>
      <c r="P25" s="7">
        <f t="shared" si="9"/>
        <v>-0.38052635627957254</v>
      </c>
      <c r="Q25" s="7">
        <f t="shared" si="9"/>
        <v>-0.5576719297387146</v>
      </c>
      <c r="R25" s="7">
        <f t="shared" si="9"/>
        <v>0.49921548029743656</v>
      </c>
      <c r="S25" s="7">
        <f t="shared" si="9"/>
        <v>0.43046784001721317</v>
      </c>
    </row>
    <row r="26" spans="1:26" x14ac:dyDescent="0.25">
      <c r="B26" s="7"/>
      <c r="C26" s="7"/>
      <c r="D26" s="7"/>
      <c r="E26" s="7"/>
      <c r="F26" s="7"/>
      <c r="G26" s="7"/>
      <c r="N26" s="7">
        <f t="shared" si="10"/>
        <v>-0.26285655209965852</v>
      </c>
      <c r="O26" s="7">
        <f t="shared" si="9"/>
        <v>-0.40260786267769433</v>
      </c>
      <c r="P26" s="7">
        <f t="shared" si="9"/>
        <v>-0.46559478153554101</v>
      </c>
      <c r="Q26" s="7">
        <f t="shared" si="9"/>
        <v>-0.54629706682363655</v>
      </c>
      <c r="R26" s="7">
        <f t="shared" si="9"/>
        <v>-0.43943455581271523</v>
      </c>
      <c r="S26" s="7">
        <f t="shared" si="9"/>
        <v>0.24595045694778242</v>
      </c>
    </row>
    <row r="27" spans="1:26" x14ac:dyDescent="0.25">
      <c r="B27" s="7"/>
      <c r="C27" s="7"/>
      <c r="D27" s="7"/>
      <c r="E27" s="7"/>
      <c r="F27" s="7"/>
      <c r="G27" s="7"/>
      <c r="N27" s="7">
        <f t="shared" si="10"/>
        <v>0.38171481275116292</v>
      </c>
      <c r="O27" s="7">
        <f t="shared" si="9"/>
        <v>0.26390814784559513</v>
      </c>
      <c r="P27" s="7">
        <f t="shared" si="9"/>
        <v>0.27616317144742852</v>
      </c>
      <c r="Q27" s="7">
        <f t="shared" si="9"/>
        <v>0.46680083937243277</v>
      </c>
      <c r="R27" s="7">
        <f t="shared" si="9"/>
        <v>0.45773582457923451</v>
      </c>
      <c r="S27" s="7">
        <f t="shared" si="9"/>
        <v>0.53005196464225157</v>
      </c>
    </row>
    <row r="28" spans="1:26" x14ac:dyDescent="0.25">
      <c r="B28" s="7"/>
      <c r="C28" s="7"/>
      <c r="D28" s="7"/>
      <c r="E28" s="7"/>
      <c r="F28" s="7"/>
      <c r="G28" s="7"/>
      <c r="N28" s="7">
        <f t="shared" si="10"/>
        <v>0.41097276714318354</v>
      </c>
      <c r="O28" s="7">
        <f t="shared" si="9"/>
        <v>0.38496585904652131</v>
      </c>
      <c r="P28" s="7">
        <f t="shared" si="9"/>
        <v>0.38525792236483752</v>
      </c>
      <c r="Q28" s="7">
        <f t="shared" si="9"/>
        <v>0.37440333380091873</v>
      </c>
      <c r="R28" s="7">
        <f t="shared" si="9"/>
        <v>0.41389383123593632</v>
      </c>
      <c r="S28" s="7">
        <f t="shared" si="9"/>
        <v>0.47222139446871053</v>
      </c>
    </row>
    <row r="29" spans="1:26" x14ac:dyDescent="0.25">
      <c r="B29" s="7"/>
      <c r="C29" s="7"/>
      <c r="D29" s="7"/>
      <c r="E29" s="7"/>
      <c r="F29" s="7"/>
      <c r="G29" s="7"/>
      <c r="N29" s="7">
        <f t="shared" si="10"/>
        <v>-0.46028722799641653</v>
      </c>
      <c r="O29" s="7">
        <f t="shared" si="9"/>
        <v>-0.40791052400014249</v>
      </c>
      <c r="P29" s="7">
        <f t="shared" si="9"/>
        <v>-0.44971321837389711</v>
      </c>
      <c r="Q29" s="7">
        <f t="shared" si="9"/>
        <v>-0.6215513246244857</v>
      </c>
      <c r="R29" s="7">
        <f t="shared" si="9"/>
        <v>0.10374380686233689</v>
      </c>
      <c r="S29" s="7">
        <f t="shared" si="9"/>
        <v>0.14971261392532334</v>
      </c>
    </row>
    <row r="30" spans="1:26" x14ac:dyDescent="0.25">
      <c r="B30" s="7"/>
      <c r="C30" s="7"/>
      <c r="D30" s="7"/>
      <c r="E30" s="7"/>
      <c r="F30" s="7"/>
      <c r="G30" s="7"/>
      <c r="N30" s="7">
        <f t="shared" si="10"/>
        <v>-0.48641511277110333</v>
      </c>
      <c r="O30" s="7">
        <f t="shared" si="9"/>
        <v>-0.44270282704353586</v>
      </c>
      <c r="P30" s="7">
        <f t="shared" si="9"/>
        <v>-0.43350571767457746</v>
      </c>
      <c r="Q30" s="7">
        <f t="shared" si="9"/>
        <v>-0.44478705507818261</v>
      </c>
      <c r="R30" s="7">
        <f t="shared" si="9"/>
        <v>-0.323568185337331</v>
      </c>
      <c r="S30" s="7">
        <f t="shared" si="9"/>
        <v>-0.27740844041119217</v>
      </c>
    </row>
    <row r="31" spans="1:26" x14ac:dyDescent="0.25">
      <c r="B31" s="7"/>
      <c r="C31" s="7"/>
      <c r="D31" s="7"/>
      <c r="E31" s="7"/>
      <c r="F31" s="7"/>
      <c r="G31" s="7"/>
      <c r="N31" s="7">
        <f t="shared" si="10"/>
        <v>0.42314060119742825</v>
      </c>
      <c r="O31" s="7">
        <f t="shared" si="9"/>
        <v>0.5498556846786915</v>
      </c>
      <c r="P31" s="7">
        <f t="shared" si="9"/>
        <v>0.47425367903998794</v>
      </c>
      <c r="Q31" s="7">
        <f t="shared" si="9"/>
        <v>0.39622409296661193</v>
      </c>
      <c r="R31" s="7">
        <f t="shared" si="9"/>
        <v>0.36971527875657262</v>
      </c>
      <c r="S31" s="7">
        <f t="shared" si="9"/>
        <v>3.3595190991921662E-3</v>
      </c>
    </row>
    <row r="32" spans="1:26" x14ac:dyDescent="0.25">
      <c r="B32" s="7"/>
      <c r="C32" s="7"/>
      <c r="D32" s="7"/>
      <c r="E32" s="7"/>
      <c r="F32" s="7"/>
      <c r="G32" s="7"/>
      <c r="N32" s="7">
        <f t="shared" si="10"/>
        <v>-0.47608237858263314</v>
      </c>
      <c r="O32" s="7">
        <f t="shared" si="9"/>
        <v>-0.43981536599389148</v>
      </c>
      <c r="P32" s="7">
        <f t="shared" si="9"/>
        <v>-0.39671371926834292</v>
      </c>
      <c r="Q32" s="7">
        <f t="shared" si="9"/>
        <v>-0.28757960851216835</v>
      </c>
      <c r="R32" s="7">
        <f t="shared" si="9"/>
        <v>-0.407580700767675</v>
      </c>
      <c r="S32" s="7">
        <f t="shared" si="9"/>
        <v>-0.41677593346156516</v>
      </c>
    </row>
    <row r="33" spans="2:19" x14ac:dyDescent="0.25">
      <c r="B33" s="7"/>
      <c r="C33" s="7"/>
      <c r="D33" s="7"/>
      <c r="E33" s="7"/>
      <c r="F33" s="7"/>
      <c r="G33" s="7"/>
      <c r="N33" s="7">
        <f>N12 / SQRT(SUMSQ($N12:$S12))</f>
        <v>-0.27341127774935836</v>
      </c>
      <c r="O33" s="7">
        <f t="shared" si="9"/>
        <v>-0.14103336418542087</v>
      </c>
      <c r="P33" s="7">
        <f t="shared" si="9"/>
        <v>-0.14757069256752453</v>
      </c>
      <c r="Q33" s="7">
        <f t="shared" si="9"/>
        <v>-0.13607070702861129</v>
      </c>
      <c r="R33" s="7">
        <f t="shared" si="9"/>
        <v>-0.6511557494758472</v>
      </c>
      <c r="S33" s="7">
        <f t="shared" si="9"/>
        <v>-0.66412326167243096</v>
      </c>
    </row>
    <row r="34" spans="2:19" x14ac:dyDescent="0.25">
      <c r="B34" s="7"/>
      <c r="C34" s="7"/>
      <c r="D34" s="7"/>
      <c r="E34" s="7"/>
      <c r="F34" s="7"/>
      <c r="G34" s="7"/>
      <c r="N34" s="7">
        <f t="shared" si="10"/>
        <v>0.37446768869676111</v>
      </c>
      <c r="O34" s="7">
        <f t="shared" si="9"/>
        <v>0.36933893034018789</v>
      </c>
      <c r="P34" s="7">
        <f t="shared" si="9"/>
        <v>0.34902793274819022</v>
      </c>
      <c r="Q34" s="7">
        <f t="shared" si="9"/>
        <v>0.27262195168700631</v>
      </c>
      <c r="R34" s="7">
        <f t="shared" si="9"/>
        <v>0.5214492816982188</v>
      </c>
      <c r="S34" s="7">
        <f t="shared" si="9"/>
        <v>0.50528222301360992</v>
      </c>
    </row>
    <row r="35" spans="2:19" x14ac:dyDescent="0.25">
      <c r="B35" s="7"/>
      <c r="C35" s="7"/>
      <c r="D35" s="7"/>
      <c r="E35" s="7"/>
      <c r="F35" s="7"/>
      <c r="G35" s="7"/>
      <c r="N35" s="7">
        <f t="shared" si="10"/>
        <v>0.39816193553777107</v>
      </c>
      <c r="O35" s="7">
        <f t="shared" si="9"/>
        <v>0.48835933232198608</v>
      </c>
      <c r="P35" s="7">
        <f t="shared" si="9"/>
        <v>0.50492068683109148</v>
      </c>
      <c r="Q35" s="7">
        <f t="shared" si="9"/>
        <v>0.4394043311982529</v>
      </c>
      <c r="R35" s="7">
        <f t="shared" si="9"/>
        <v>0.27851757209519712</v>
      </c>
      <c r="S35" s="7">
        <f t="shared" si="9"/>
        <v>0.27817104700394546</v>
      </c>
    </row>
    <row r="36" spans="2:19" x14ac:dyDescent="0.25">
      <c r="B36" s="7"/>
      <c r="C36" s="7"/>
      <c r="D36" s="7"/>
      <c r="E36" s="7"/>
      <c r="F36" s="7"/>
      <c r="G36" s="7"/>
      <c r="N36" s="7">
        <f t="shared" si="10"/>
        <v>0.44923719986051752</v>
      </c>
      <c r="O36" s="7">
        <f t="shared" si="9"/>
        <v>0.57193054313602332</v>
      </c>
      <c r="P36" s="7">
        <f t="shared" si="9"/>
        <v>0.50372904415471842</v>
      </c>
      <c r="Q36" s="7">
        <f t="shared" si="9"/>
        <v>0.35180612699663105</v>
      </c>
      <c r="R36" s="7">
        <f t="shared" si="9"/>
        <v>0.30485547797700996</v>
      </c>
      <c r="S36" s="7">
        <f t="shared" si="9"/>
        <v>2.5179926918629268E-2</v>
      </c>
    </row>
    <row r="37" spans="2:19" x14ac:dyDescent="0.25">
      <c r="B37" s="7"/>
      <c r="C37" s="7"/>
      <c r="D37" s="7"/>
      <c r="E37" s="7"/>
      <c r="F37" s="7"/>
      <c r="G37" s="7"/>
      <c r="N37" s="7">
        <f t="shared" si="10"/>
        <v>0.45952004704109112</v>
      </c>
      <c r="O37" s="7">
        <f t="shared" si="9"/>
        <v>0.32860285974614623</v>
      </c>
      <c r="P37" s="7">
        <f t="shared" si="9"/>
        <v>0.27828946996760934</v>
      </c>
      <c r="Q37" s="7">
        <f t="shared" si="9"/>
        <v>0.1275015362130402</v>
      </c>
      <c r="R37" s="7">
        <f t="shared" si="9"/>
        <v>0.76314815800149516</v>
      </c>
      <c r="S37" s="7">
        <f t="shared" si="9"/>
        <v>6.9026842904733487E-2</v>
      </c>
    </row>
    <row r="38" spans="2:19" x14ac:dyDescent="0.25">
      <c r="B38" s="7"/>
      <c r="C38" s="7"/>
      <c r="D38" s="7"/>
      <c r="E38" s="7"/>
      <c r="F38" s="7"/>
      <c r="G38" s="7"/>
      <c r="N38" s="7">
        <f t="shared" si="10"/>
        <v>-0.46420212053922394</v>
      </c>
      <c r="O38" s="7">
        <f t="shared" si="9"/>
        <v>-0.51018212999108181</v>
      </c>
      <c r="P38" s="7">
        <f t="shared" si="9"/>
        <v>-0.4969828916227958</v>
      </c>
      <c r="Q38" s="7">
        <f t="shared" si="9"/>
        <v>-0.51122030889672154</v>
      </c>
      <c r="R38" s="7">
        <f t="shared" si="9"/>
        <v>-0.10772611322928959</v>
      </c>
      <c r="S38" s="7">
        <f t="shared" si="9"/>
        <v>-6.5478784800469661E-2</v>
      </c>
    </row>
    <row r="39" spans="2:19" x14ac:dyDescent="0.25">
      <c r="B39" s="7"/>
      <c r="C39" s="7"/>
      <c r="D39" s="7"/>
      <c r="E39" s="7"/>
      <c r="F39" s="7"/>
      <c r="G39" s="7"/>
      <c r="N39" s="7">
        <f>N18 / SQRT(SUMSQ($N18:$S18))</f>
        <v>-9.2624418670331637E-2</v>
      </c>
      <c r="O39" s="7">
        <f t="shared" si="9"/>
        <v>9.5930964697481108E-3</v>
      </c>
      <c r="P39" s="7">
        <f t="shared" si="9"/>
        <v>6.6003749991662322E-2</v>
      </c>
      <c r="Q39" s="7">
        <f t="shared" si="9"/>
        <v>0.27387539621608548</v>
      </c>
      <c r="R39" s="7">
        <f t="shared" si="9"/>
        <v>-0.65059156159020826</v>
      </c>
      <c r="S39" s="7">
        <f t="shared" si="9"/>
        <v>-0.69906729424872949</v>
      </c>
    </row>
    <row r="40" spans="2:19" x14ac:dyDescent="0.25">
      <c r="B40" s="7"/>
      <c r="C40" s="7"/>
      <c r="D40" s="7"/>
      <c r="E40" s="7"/>
      <c r="F40" s="7"/>
      <c r="G40" s="7"/>
      <c r="N40" s="7">
        <f t="shared" si="10"/>
        <v>0.61482841681578526</v>
      </c>
      <c r="O40" s="7">
        <f t="shared" si="9"/>
        <v>0.44956240920272056</v>
      </c>
      <c r="P40" s="7">
        <f t="shared" si="9"/>
        <v>0.42450457440761963</v>
      </c>
      <c r="Q40" s="7">
        <f t="shared" si="9"/>
        <v>0.39563598123146493</v>
      </c>
      <c r="R40" s="7">
        <f t="shared" si="9"/>
        <v>4.1363793822120784E-2</v>
      </c>
      <c r="S40" s="7">
        <f t="shared" si="9"/>
        <v>0.28537121671658383</v>
      </c>
    </row>
    <row r="41" spans="2:19" x14ac:dyDescent="0.25">
      <c r="B41" s="7"/>
      <c r="C41" s="7"/>
      <c r="D41" s="7"/>
      <c r="E41" s="7"/>
      <c r="F41" s="7"/>
      <c r="G41" s="7"/>
      <c r="N41" s="7">
        <f t="shared" si="10"/>
        <v>-0.29607107557848783</v>
      </c>
      <c r="O41" s="7">
        <f t="shared" si="9"/>
        <v>-5.9213308422734305E-2</v>
      </c>
      <c r="P41" s="7">
        <f t="shared" si="9"/>
        <v>-0.10055986599441721</v>
      </c>
      <c r="Q41" s="7">
        <f t="shared" si="9"/>
        <v>-4.4712057228375776E-2</v>
      </c>
      <c r="R41" s="7">
        <f t="shared" si="9"/>
        <v>-0.21726256896881865</v>
      </c>
      <c r="S41" s="7">
        <f t="shared" si="9"/>
        <v>-0.9216947562648341</v>
      </c>
    </row>
    <row r="42" spans="2:19" x14ac:dyDescent="0.25">
      <c r="B42" s="7"/>
      <c r="C42" s="7"/>
      <c r="D42" s="7"/>
      <c r="E42" s="7"/>
      <c r="F42" s="7"/>
      <c r="G42" s="7"/>
      <c r="N42" s="7">
        <f>N21 / SQRT(SUMSQ($N21:$S21))</f>
        <v>-0.34126815148485934</v>
      </c>
      <c r="O42" s="7">
        <f t="shared" si="9"/>
        <v>-0.25773777154965538</v>
      </c>
      <c r="P42" s="7">
        <f t="shared" si="9"/>
        <v>-0.23424501988361907</v>
      </c>
      <c r="Q42" s="7">
        <f t="shared" si="9"/>
        <v>-1.6977612053963035E-2</v>
      </c>
      <c r="R42" s="7">
        <f t="shared" si="9"/>
        <v>-0.76658477442469009</v>
      </c>
      <c r="S42" s="7">
        <f t="shared" si="9"/>
        <v>-0.4174878499640915</v>
      </c>
    </row>
    <row r="43" spans="2:19" x14ac:dyDescent="0.25">
      <c r="B43" s="7"/>
      <c r="C43" s="7"/>
      <c r="D43" s="7"/>
      <c r="E43" s="7"/>
      <c r="F43" s="7"/>
      <c r="G43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AE59-A11E-4D03-B5DE-5EEF92C1F884}">
  <dimension ref="A1:W102"/>
  <sheetViews>
    <sheetView topLeftCell="J6" workbookViewId="0">
      <selection activeCell="V15" sqref="V15"/>
    </sheetView>
  </sheetViews>
  <sheetFormatPr defaultRowHeight="15" x14ac:dyDescent="0.25"/>
  <cols>
    <col min="1" max="1" width="13.42578125" bestFit="1" customWidth="1"/>
  </cols>
  <sheetData>
    <row r="1" spans="1:23" ht="15.75" thickBot="1" x14ac:dyDescent="0.3">
      <c r="A1" t="s">
        <v>117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113</v>
      </c>
      <c r="J1" t="s">
        <v>144</v>
      </c>
      <c r="M1" t="s">
        <v>149</v>
      </c>
      <c r="W1">
        <f>0.0066</f>
        <v>6.6E-3</v>
      </c>
    </row>
    <row r="2" spans="1:23" ht="16.5" thickBot="1" x14ac:dyDescent="0.3">
      <c r="A2" s="5" t="s">
        <v>42</v>
      </c>
      <c r="B2" s="7">
        <v>8.0797864421904106E-2</v>
      </c>
      <c r="C2" s="7">
        <v>0.7564429110840708</v>
      </c>
      <c r="D2" s="7">
        <v>0.637787397883541</v>
      </c>
      <c r="E2" s="7">
        <v>0.11843060486726378</v>
      </c>
      <c r="F2" s="7">
        <v>2.0442382904154278E-2</v>
      </c>
      <c r="G2" s="7">
        <v>7.0259012540786186E-3</v>
      </c>
      <c r="H2" s="16">
        <v>1</v>
      </c>
      <c r="I2" t="s">
        <v>40</v>
      </c>
      <c r="J2" t="s">
        <v>145</v>
      </c>
      <c r="K2">
        <v>0</v>
      </c>
      <c r="M2" t="s">
        <v>150</v>
      </c>
      <c r="N2" s="7">
        <f>SQRT((B2-B3)^2+(C2-C3)^2+(D2-D3)^2+(E2-E3)^2+(F2-F3)^2+(G2-G3)^2)</f>
        <v>1.7636841333619722E-2</v>
      </c>
      <c r="O2" t="s">
        <v>158</v>
      </c>
      <c r="P2" s="7">
        <f>SQRT(($B$7-B3)^2+($C$7-C3)^2+($D$7-D3)^2+($E$7-E3)^2+($F$7-F3)^2+($G$7-G3)^2)</f>
        <v>2.3230104377310143E-2</v>
      </c>
      <c r="R2" t="s">
        <v>89</v>
      </c>
      <c r="S2" t="s">
        <v>36</v>
      </c>
      <c r="T2" t="s">
        <v>179</v>
      </c>
      <c r="U2" t="s">
        <v>35</v>
      </c>
      <c r="V2" t="s">
        <v>182</v>
      </c>
      <c r="W2" t="s">
        <v>231</v>
      </c>
    </row>
    <row r="3" spans="1:23" ht="16.5" thickBot="1" x14ac:dyDescent="0.3">
      <c r="A3" s="24" t="s">
        <v>52</v>
      </c>
      <c r="B3" s="25">
        <v>8.213554955900762E-2</v>
      </c>
      <c r="C3" s="25">
        <v>0.76133665390711391</v>
      </c>
      <c r="D3" s="25">
        <v>0.628893080243214</v>
      </c>
      <c r="E3" s="25">
        <v>0.1327861412728204</v>
      </c>
      <c r="F3" s="25">
        <v>2.0705003117999835E-2</v>
      </c>
      <c r="G3" s="25">
        <v>7.2724184505371329E-3</v>
      </c>
      <c r="H3" s="17">
        <v>3</v>
      </c>
      <c r="I3" t="s">
        <v>191</v>
      </c>
      <c r="J3" t="s">
        <v>146</v>
      </c>
      <c r="K3" s="7">
        <f>SQRT((B2-B7)^2+(C2-C7)^2+(D2-D7)^2+(E2-E7)^2+(F2-F7)^2+(G2-G7)^2)</f>
        <v>6.5947787957742867E-3</v>
      </c>
      <c r="M3" t="s">
        <v>151</v>
      </c>
      <c r="N3" s="18">
        <v>4.8599999999999997E-2</v>
      </c>
      <c r="O3" t="s">
        <v>159</v>
      </c>
      <c r="P3" s="7">
        <f>SQRT(($B$7-B4)^2+($C$7-C4)^2+($D$7-D4)^2+($E$7-E4)^2+($F$7-F4)^2+($G$7-G4)^2)</f>
        <v>5.2230182242243454E-2</v>
      </c>
      <c r="R3">
        <v>4.8599999999999997E-2</v>
      </c>
      <c r="S3">
        <v>4.0300000000000002E-2</v>
      </c>
      <c r="T3">
        <v>5.8999999999999997E-2</v>
      </c>
      <c r="U3">
        <v>5.7799999999999997E-2</v>
      </c>
      <c r="V3">
        <v>5.1700000000000003E-2</v>
      </c>
      <c r="W3">
        <f>AVERAGE(R3:V3)</f>
        <v>5.1480000000000005E-2</v>
      </c>
    </row>
    <row r="4" spans="1:23" ht="16.5" thickBot="1" x14ac:dyDescent="0.3">
      <c r="A4" s="23" t="s">
        <v>49</v>
      </c>
      <c r="B4" s="15">
        <v>8.5358159120354285E-2</v>
      </c>
      <c r="C4" s="15">
        <v>0.78271996154855528</v>
      </c>
      <c r="D4" s="15">
        <v>0.6010270379299173</v>
      </c>
      <c r="E4" s="15">
        <v>0.13424165148669445</v>
      </c>
      <c r="F4" s="15">
        <v>2.6862578562021424E-2</v>
      </c>
      <c r="G4" s="15">
        <v>9.355587706083324E-3</v>
      </c>
      <c r="H4" s="17">
        <v>2</v>
      </c>
      <c r="I4" t="s">
        <v>89</v>
      </c>
      <c r="J4" t="s">
        <v>147</v>
      </c>
      <c r="K4" s="7">
        <f>SQRT((B2-B7)^2+(C2-C7)^2+(D2-D7)^2+(E2-E7)^2+(F2-F7)^2+(G2-G7)^2)</f>
        <v>6.5947787957742867E-3</v>
      </c>
      <c r="M4" t="s">
        <v>152</v>
      </c>
      <c r="N4" s="7">
        <f>SQRT((B2-B5)^2+(C2-C5)^2+(D2-D5)^2+(E2-E5)^2+(F2-F5)^2+(G2-G5)^2)</f>
        <v>4.0312309186860538E-2</v>
      </c>
      <c r="O4" t="s">
        <v>160</v>
      </c>
      <c r="P4" s="7">
        <f t="shared" ref="P4" si="0">SQRT(($B$7-B5)^2+($C$7-C5)^2+($D$7-D5)^2+($E$7-E5)^2+($F$7-F5)^2+($G$7-G5)^2)</f>
        <v>4.4248410091679395E-2</v>
      </c>
      <c r="R4" t="s">
        <v>191</v>
      </c>
      <c r="S4" t="s">
        <v>178</v>
      </c>
      <c r="T4" t="s">
        <v>226</v>
      </c>
    </row>
    <row r="5" spans="1:23" ht="16.5" thickBot="1" x14ac:dyDescent="0.3">
      <c r="A5" s="23" t="s">
        <v>54</v>
      </c>
      <c r="B5" s="15">
        <v>8.2758917107124075E-2</v>
      </c>
      <c r="C5" s="15">
        <v>0.77799751651007232</v>
      </c>
      <c r="D5" s="15">
        <v>0.60774800149365771</v>
      </c>
      <c r="E5" s="15">
        <v>0.13431508374553941</v>
      </c>
      <c r="F5" s="15">
        <v>2.0064146478417654E-2</v>
      </c>
      <c r="G5" s="15">
        <v>8.371435265371539E-3</v>
      </c>
      <c r="H5" s="17">
        <v>2</v>
      </c>
      <c r="I5" t="s">
        <v>36</v>
      </c>
      <c r="J5" t="s">
        <v>148</v>
      </c>
      <c r="K5">
        <v>0</v>
      </c>
      <c r="M5" t="s">
        <v>154</v>
      </c>
      <c r="N5" s="19">
        <v>1.24E-2</v>
      </c>
      <c r="O5" t="s">
        <v>161</v>
      </c>
      <c r="P5" s="7">
        <f>SQRT(($B$7-B6)^2+($C$7-C6)^2+($D$7-D6)^2+($E$7-E6)^2+($F$7-F6)^2+($G$7-G6)^2)</f>
        <v>1.6506318715410896E-2</v>
      </c>
      <c r="R5">
        <v>1.7600000000000001E-2</v>
      </c>
      <c r="S5">
        <v>1.24E-2</v>
      </c>
      <c r="T5">
        <v>1.41E-2</v>
      </c>
      <c r="W5">
        <f>AVERAGE(R5:V5)</f>
        <v>1.47E-2</v>
      </c>
    </row>
    <row r="6" spans="1:23" ht="16.5" thickBot="1" x14ac:dyDescent="0.3">
      <c r="A6" s="24" t="s">
        <v>45</v>
      </c>
      <c r="B6" s="25">
        <v>7.9089469429606638E-2</v>
      </c>
      <c r="C6" s="25">
        <v>0.76298076390914638</v>
      </c>
      <c r="D6" s="25">
        <v>0.62905751954568978</v>
      </c>
      <c r="E6" s="25">
        <v>0.12403621962954975</v>
      </c>
      <c r="F6" s="25">
        <v>2.1193910108587399E-2</v>
      </c>
      <c r="G6" s="25">
        <v>7.5948158175238138E-3</v>
      </c>
      <c r="H6" s="17">
        <v>3</v>
      </c>
      <c r="I6" t="s">
        <v>178</v>
      </c>
      <c r="M6" t="s">
        <v>153</v>
      </c>
      <c r="N6" s="7">
        <f>SQRT(($B$2-B8)^2+($C$2-C8)^2+($D$2-D8)^2+($E$2-E8)^2+($F$2-F8)^2+($G$2-G8)^2)</f>
        <v>5.9002350478343069E-2</v>
      </c>
      <c r="O6" t="s">
        <v>162</v>
      </c>
      <c r="P6" s="7">
        <f>SQRT(($B$7-B8)^2+($C$7-C8)^2+($D$7-D8)^2+($E$7-E8)^2+($F$7-F8)^2+($G$7-G8)^2)</f>
        <v>6.2603591169367756E-2</v>
      </c>
      <c r="W6" s="7">
        <f>(W5-W1)/(MAX(W1,W5))</f>
        <v>0.55102040816326525</v>
      </c>
    </row>
    <row r="7" spans="1:23" ht="16.5" thickBot="1" x14ac:dyDescent="0.3">
      <c r="A7" s="5" t="s">
        <v>57</v>
      </c>
      <c r="B7" s="7">
        <v>7.6887194861412322E-2</v>
      </c>
      <c r="C7" s="7">
        <v>0.75610470223492188</v>
      </c>
      <c r="D7" s="7">
        <v>0.63953264987815872</v>
      </c>
      <c r="E7" s="7">
        <v>0.113520859970132</v>
      </c>
      <c r="F7" s="7">
        <v>2.1101421098957716E-2</v>
      </c>
      <c r="G7" s="7">
        <v>7.7312769740719017E-3</v>
      </c>
      <c r="H7" s="17">
        <v>1</v>
      </c>
      <c r="I7" t="s">
        <v>88</v>
      </c>
      <c r="M7" t="s">
        <v>155</v>
      </c>
      <c r="N7" s="7">
        <f t="shared" ref="N7:N8" si="1">SQRT(($B$2-B9)^2+($C$2-C9)^2+($D$2-D9)^2+($E$2-E9)^2+($F$2-F9)^2+($G$2-G9)^2)</f>
        <v>5.7835029111936012E-2</v>
      </c>
      <c r="O7" t="s">
        <v>163</v>
      </c>
      <c r="P7" s="7">
        <f t="shared" ref="P7:P8" si="2">SQRT(($B$7-B9)^2+($C$7-C9)^2+($D$7-D9)^2+($E$7-E9)^2+($F$7-F9)^2+($G$7-G9)^2)</f>
        <v>6.2129269384228629E-2</v>
      </c>
      <c r="R7" t="s">
        <v>40</v>
      </c>
      <c r="S7" t="s">
        <v>88</v>
      </c>
      <c r="W7">
        <v>1.1900000000000001E-2</v>
      </c>
    </row>
    <row r="8" spans="1:23" ht="16.5" thickBot="1" x14ac:dyDescent="0.3">
      <c r="A8" s="23" t="s">
        <v>55</v>
      </c>
      <c r="B8" s="15">
        <v>8.1234459543160359E-2</v>
      </c>
      <c r="C8" s="15">
        <v>0.78754933885719891</v>
      </c>
      <c r="D8" s="15">
        <v>0.59363643512309483</v>
      </c>
      <c r="E8" s="15">
        <v>0.14146003686797143</v>
      </c>
      <c r="F8" s="15">
        <v>2.5795065307243535E-2</v>
      </c>
      <c r="G8" s="15">
        <v>9.2982212154017387E-3</v>
      </c>
      <c r="H8" s="17">
        <v>2</v>
      </c>
      <c r="I8" t="s">
        <v>179</v>
      </c>
      <c r="M8" t="s">
        <v>156</v>
      </c>
      <c r="N8" s="7">
        <f t="shared" si="1"/>
        <v>1.4147899796079833E-2</v>
      </c>
      <c r="O8" t="s">
        <v>164</v>
      </c>
      <c r="P8" s="7">
        <f t="shared" si="2"/>
        <v>1.6526773009336731E-2</v>
      </c>
      <c r="R8">
        <v>1.7600000000000001E-2</v>
      </c>
      <c r="S8">
        <v>2.3199999999999998E-2</v>
      </c>
      <c r="W8">
        <f>AVERAGE(R8:S8)</f>
        <v>2.0400000000000001E-2</v>
      </c>
    </row>
    <row r="9" spans="1:23" ht="16.5" thickBot="1" x14ac:dyDescent="0.3">
      <c r="A9" s="23" t="s">
        <v>44</v>
      </c>
      <c r="B9" s="15">
        <v>8.1400085490323376E-2</v>
      </c>
      <c r="C9" s="15">
        <v>0.78325320356293793</v>
      </c>
      <c r="D9" s="15">
        <v>0.59740538932891785</v>
      </c>
      <c r="E9" s="15">
        <v>0.14996100931326503</v>
      </c>
      <c r="F9" s="15">
        <v>2.1214307994582349E-2</v>
      </c>
      <c r="G9" s="15">
        <v>7.5428650647403903E-3</v>
      </c>
      <c r="H9" s="17">
        <v>2</v>
      </c>
      <c r="I9" t="s">
        <v>35</v>
      </c>
      <c r="M9" t="s">
        <v>157</v>
      </c>
      <c r="N9" s="7">
        <f>SQRT(($B$2-B11)^2+($C$2-C11)^2+($D$2-D11)^2+($E$2-E11)^2+($F$2-F11)^2+($G$2-G11)^2)</f>
        <v>5.1718986621698396E-2</v>
      </c>
      <c r="O9" t="s">
        <v>165</v>
      </c>
      <c r="P9" s="7">
        <f>SQRT(($B$7-B11)^2+($C$7-C11)^2+($D$7-D11)^2+($E$7-E11)^2+($F$7-F11)^2+($G$7-G11)^2)</f>
        <v>5.6506400761956725E-2</v>
      </c>
      <c r="R9" t="s">
        <v>89</v>
      </c>
      <c r="S9" t="s">
        <v>36</v>
      </c>
      <c r="T9" t="s">
        <v>179</v>
      </c>
      <c r="U9" t="s">
        <v>35</v>
      </c>
      <c r="V9" t="s">
        <v>182</v>
      </c>
    </row>
    <row r="10" spans="1:23" ht="16.5" thickBot="1" x14ac:dyDescent="0.3">
      <c r="A10" s="24" t="s">
        <v>34</v>
      </c>
      <c r="B10" s="25">
        <v>7.6929471371274802E-2</v>
      </c>
      <c r="C10" s="25">
        <v>0.76514997381510119</v>
      </c>
      <c r="D10" s="25">
        <v>0.62748263179419961</v>
      </c>
      <c r="E10" s="25">
        <v>0.12016956552902734</v>
      </c>
      <c r="F10" s="25">
        <v>2.018139707171912E-2</v>
      </c>
      <c r="G10" s="25">
        <v>6.7013084326437763E-3</v>
      </c>
      <c r="H10" s="17">
        <v>3</v>
      </c>
      <c r="I10" t="s">
        <v>226</v>
      </c>
      <c r="M10" t="s">
        <v>170</v>
      </c>
      <c r="N10" s="7">
        <v>6.6E-3</v>
      </c>
      <c r="O10" t="s">
        <v>174</v>
      </c>
      <c r="P10" s="7">
        <v>6.6E-3</v>
      </c>
      <c r="R10">
        <v>4.8599999999999997E-2</v>
      </c>
      <c r="S10">
        <v>4.0300000000000002E-2</v>
      </c>
      <c r="T10">
        <v>5.8999999999999997E-2</v>
      </c>
      <c r="U10">
        <v>5.7799999999999997E-2</v>
      </c>
      <c r="V10">
        <v>5.1700000000000003E-2</v>
      </c>
      <c r="W10">
        <f>AVERAGE(R10:V10)</f>
        <v>5.1480000000000005E-2</v>
      </c>
    </row>
    <row r="11" spans="1:23" ht="16.5" thickBot="1" x14ac:dyDescent="0.3">
      <c r="A11" s="23" t="s">
        <v>38</v>
      </c>
      <c r="B11" s="15">
        <v>8.1025124451776398E-2</v>
      </c>
      <c r="C11" s="15">
        <v>0.77635941230544503</v>
      </c>
      <c r="D11" s="15">
        <v>0.60553406886009797</v>
      </c>
      <c r="E11" s="15">
        <v>0.1536053645284278</v>
      </c>
      <c r="F11" s="15">
        <v>1.9757099088111494E-2</v>
      </c>
      <c r="G11" s="15">
        <v>6.6732754898674454E-3</v>
      </c>
      <c r="H11" s="17">
        <v>2</v>
      </c>
      <c r="I11" t="s">
        <v>182</v>
      </c>
      <c r="M11" t="s">
        <v>171</v>
      </c>
      <c r="N11">
        <v>3.7699999999999997E-2</v>
      </c>
      <c r="O11" t="s">
        <v>173</v>
      </c>
      <c r="P11">
        <v>4.1700000000000001E-2</v>
      </c>
      <c r="W11" s="7">
        <f>(W8-W7)/(MAX(W8,W7))</f>
        <v>0.41666666666666669</v>
      </c>
    </row>
    <row r="12" spans="1:23" x14ac:dyDescent="0.25">
      <c r="M12" t="s">
        <v>169</v>
      </c>
      <c r="N12" s="7">
        <f>(N11-N10)/(MAX(N11,N10))</f>
        <v>0.82493368700265246</v>
      </c>
      <c r="O12" t="s">
        <v>172</v>
      </c>
      <c r="P12" s="7">
        <f>(P11-P10)/(MAX(P11,P10))</f>
        <v>0.84172661870503596</v>
      </c>
    </row>
    <row r="13" spans="1:23" x14ac:dyDescent="0.25">
      <c r="A13" s="5" t="s">
        <v>94</v>
      </c>
    </row>
    <row r="14" spans="1:23" ht="15.75" thickBot="1" x14ac:dyDescent="0.3">
      <c r="A14" s="5" t="s">
        <v>42</v>
      </c>
      <c r="B14" s="7">
        <v>8.0797864421904106E-2</v>
      </c>
      <c r="C14" s="7">
        <v>0.7564429110840708</v>
      </c>
      <c r="D14" s="7">
        <v>0.637787397883541</v>
      </c>
      <c r="E14" s="7">
        <v>0.11843060486726378</v>
      </c>
      <c r="F14" s="7">
        <v>2.0442382904154278E-2</v>
      </c>
      <c r="G14" s="7">
        <v>7.0259012540786186E-3</v>
      </c>
      <c r="J14" t="s">
        <v>175</v>
      </c>
      <c r="M14" t="s">
        <v>189</v>
      </c>
    </row>
    <row r="15" spans="1:23" ht="16.5" thickBot="1" x14ac:dyDescent="0.3">
      <c r="A15" s="5" t="s">
        <v>57</v>
      </c>
      <c r="B15" s="7">
        <v>7.6887194861412322E-2</v>
      </c>
      <c r="C15" s="7">
        <v>0.75610470223492188</v>
      </c>
      <c r="D15" s="7">
        <v>0.63953264987815872</v>
      </c>
      <c r="E15" s="7">
        <v>0.113520859970132</v>
      </c>
      <c r="F15" s="7">
        <v>2.1101421098957716E-2</v>
      </c>
      <c r="G15" s="7">
        <v>7.7312769740719017E-3</v>
      </c>
      <c r="J15" t="s">
        <v>176</v>
      </c>
      <c r="K15">
        <v>0</v>
      </c>
      <c r="L15">
        <v>4.0300000000000002E-2</v>
      </c>
      <c r="M15" t="s">
        <v>190</v>
      </c>
      <c r="N15" s="7">
        <f>SQRT(($B$4-B3)^2+($C$4-C3)^2+($D$4-D3)^2+($E$4-E3)^2+($F$4-F3)^2+($G$4-G3)^2)</f>
        <v>3.589597765430845E-2</v>
      </c>
      <c r="O15" s="20">
        <v>4.8599999999999997E-2</v>
      </c>
      <c r="P15" s="21">
        <v>3.5900000000000001E-2</v>
      </c>
      <c r="Q15" s="21">
        <v>3.6799999999999999E-2</v>
      </c>
      <c r="R15" s="21">
        <v>5.2200000000000003E-2</v>
      </c>
      <c r="S15" s="21">
        <v>3.6499999999999998E-2</v>
      </c>
    </row>
    <row r="16" spans="1:23" x14ac:dyDescent="0.25">
      <c r="J16" t="s">
        <v>177</v>
      </c>
      <c r="K16" s="7">
        <f>SQRT(($B$4-B5)^2+($C$4-C5)^2+($D$4-D5)^2+($E$4-E5)^2+($F$4-F5)^2+($G$4-G5)^2)</f>
        <v>1.1019143547868442E-2</v>
      </c>
      <c r="L16">
        <v>1.2200000000000001E-2</v>
      </c>
      <c r="O16">
        <f>AVERAGE(O15:S15)</f>
        <v>4.1999999999999996E-2</v>
      </c>
    </row>
    <row r="17" spans="1:19" x14ac:dyDescent="0.25">
      <c r="A17" s="5" t="s">
        <v>95</v>
      </c>
      <c r="J17" t="s">
        <v>178</v>
      </c>
      <c r="K17" s="7">
        <f>SQRT(($B$4-B6)^2+($C$4-C6)^2+($D$4-D6)^2+($E$4-E6)^2+($F$4-F6)^2+($G$4-G6)^2)</f>
        <v>3.6797082120298814E-2</v>
      </c>
      <c r="L17">
        <v>1.7600000000000001E-2</v>
      </c>
    </row>
    <row r="18" spans="1:19" x14ac:dyDescent="0.25">
      <c r="A18" s="5" t="s">
        <v>49</v>
      </c>
      <c r="B18" s="7">
        <v>8.5358159120354299E-2</v>
      </c>
      <c r="C18" s="7">
        <v>0.78271996154855528</v>
      </c>
      <c r="D18" s="7">
        <v>0.6010270379299173</v>
      </c>
      <c r="E18" s="7">
        <v>0.13424165148669445</v>
      </c>
      <c r="F18" s="7">
        <v>2.6862578562021424E-2</v>
      </c>
      <c r="G18" s="7">
        <v>9.355587706083324E-3</v>
      </c>
      <c r="J18" t="s">
        <v>88</v>
      </c>
      <c r="K18" s="7">
        <f t="shared" ref="K18:K19" si="3">SQRT(($B$4-B7)^2+($C$4-C7)^2+($D$4-D7)^2+($E$4-E7)^2+($F$4-F7)^2+($G$4-G7)^2)</f>
        <v>5.2230182242243454E-2</v>
      </c>
      <c r="L18">
        <v>2.2599999999999999E-2</v>
      </c>
    </row>
    <row r="19" spans="1:19" x14ac:dyDescent="0.25">
      <c r="A19" s="5" t="s">
        <v>54</v>
      </c>
      <c r="B19" s="7">
        <v>8.2758917107124075E-2</v>
      </c>
      <c r="C19" s="7">
        <v>0.77799751651007232</v>
      </c>
      <c r="D19" s="7">
        <v>0.60774800149365771</v>
      </c>
      <c r="E19" s="7">
        <v>0.13431508374553941</v>
      </c>
      <c r="F19" s="7">
        <v>2.0064146478417654E-2</v>
      </c>
      <c r="G19" s="7">
        <v>8.371435265371539E-3</v>
      </c>
      <c r="J19" t="s">
        <v>179</v>
      </c>
      <c r="K19" s="7">
        <f t="shared" si="3"/>
        <v>1.2173609005402477E-2</v>
      </c>
      <c r="L19" s="7">
        <f>AVERAGE(L15:L18)</f>
        <v>2.3175000000000001E-2</v>
      </c>
    </row>
    <row r="20" spans="1:19" x14ac:dyDescent="0.25">
      <c r="A20" s="5" t="s">
        <v>55</v>
      </c>
      <c r="B20" s="7">
        <v>8.1234459543160359E-2</v>
      </c>
      <c r="C20" s="7">
        <v>0.78754933885719891</v>
      </c>
      <c r="D20" s="7">
        <v>0.59363643512309483</v>
      </c>
      <c r="E20" s="7">
        <v>0.14146003686797143</v>
      </c>
      <c r="F20" s="7">
        <v>2.5795065307243535E-2</v>
      </c>
      <c r="G20" s="7">
        <v>9.2982212154017387E-3</v>
      </c>
      <c r="J20" t="s">
        <v>180</v>
      </c>
      <c r="K20" s="7">
        <f>SQRT(($B$4-B9)^2+($C$4-C9)^2+($D$4-D9)^2+($E$4-E9)^2+($F$4-F9)^2+($G$4-G9)^2)</f>
        <v>1.7645230708408767E-2</v>
      </c>
    </row>
    <row r="21" spans="1:19" x14ac:dyDescent="0.25">
      <c r="A21" s="5" t="s">
        <v>44</v>
      </c>
      <c r="B21" s="7">
        <v>8.1400085490323376E-2</v>
      </c>
      <c r="C21" s="7">
        <v>0.78325320356293793</v>
      </c>
      <c r="D21" s="7">
        <v>0.59740538932891785</v>
      </c>
      <c r="E21" s="7">
        <v>0.14996100931326503</v>
      </c>
      <c r="F21" s="7">
        <v>2.1214307994582349E-2</v>
      </c>
      <c r="G21" s="7">
        <v>7.5428650647403903E-3</v>
      </c>
      <c r="J21" t="s">
        <v>181</v>
      </c>
      <c r="K21" s="7">
        <f t="shared" ref="K21:K22" si="4">SQRT(($B$4-B10)^2+($C$4-C10)^2+($D$4-D10)^2+($E$4-E10)^2+($F$4-F10)^2+($G$4-G10)^2)</f>
        <v>3.6460289091075536E-2</v>
      </c>
    </row>
    <row r="22" spans="1:19" x14ac:dyDescent="0.25">
      <c r="A22" s="5" t="s">
        <v>38</v>
      </c>
      <c r="B22" s="7">
        <v>8.1025124451776398E-2</v>
      </c>
      <c r="C22" s="7">
        <v>0.77635941230544503</v>
      </c>
      <c r="D22" s="7">
        <v>0.60553406886009797</v>
      </c>
      <c r="E22" s="7">
        <v>0.1536053645284278</v>
      </c>
      <c r="F22" s="7">
        <v>1.9757099088111494E-2</v>
      </c>
      <c r="G22" s="7">
        <v>6.6732754898674454E-3</v>
      </c>
      <c r="J22" t="s">
        <v>182</v>
      </c>
      <c r="K22" s="7">
        <f t="shared" si="4"/>
        <v>2.2631418958181649E-2</v>
      </c>
    </row>
    <row r="23" spans="1:19" ht="15.75" thickBot="1" x14ac:dyDescent="0.3"/>
    <row r="24" spans="1:19" ht="16.5" thickBot="1" x14ac:dyDescent="0.3">
      <c r="A24" s="5" t="s">
        <v>102</v>
      </c>
      <c r="J24" t="s">
        <v>183</v>
      </c>
      <c r="K24" s="7">
        <f>SQRT(($B$5-B6)^2+($C$5-C6)^2+($D$5-D6)^2+($E$5-E6)^2+($F$5-F6)^2+($G$5-G6)^2)</f>
        <v>2.829483726207211E-2</v>
      </c>
      <c r="L24">
        <v>4.0300000000000002E-2</v>
      </c>
      <c r="M24" t="s">
        <v>192</v>
      </c>
      <c r="N24" s="7">
        <f>SQRT(($B$5-B2)^2+($C$5-C2)^2+($D$5-D2)^2+($E$5-E2)^2+($F$5-F2)^2+($G$5-G2)^2)</f>
        <v>4.0312309186860538E-2</v>
      </c>
      <c r="O24" s="20">
        <v>4.0300000000000002E-2</v>
      </c>
      <c r="P24" s="21">
        <v>1.0999999999999999E-2</v>
      </c>
      <c r="Q24" s="21">
        <v>2.8299999999999999E-2</v>
      </c>
      <c r="R24" s="21">
        <v>4.4200000000000003E-2</v>
      </c>
      <c r="S24" s="21">
        <v>2.81E-2</v>
      </c>
    </row>
    <row r="25" spans="1:19" x14ac:dyDescent="0.25">
      <c r="A25" s="5" t="s">
        <v>52</v>
      </c>
      <c r="B25" s="7">
        <v>8.213554955900762E-2</v>
      </c>
      <c r="C25" s="7">
        <v>0.76133665390711391</v>
      </c>
      <c r="D25" s="7">
        <v>0.628893080243214</v>
      </c>
      <c r="E25" s="7">
        <v>0.1327861412728204</v>
      </c>
      <c r="F25" s="7">
        <v>2.0705003117999835E-2</v>
      </c>
      <c r="G25" s="7">
        <v>7.2724184505371329E-3</v>
      </c>
      <c r="J25" t="s">
        <v>184</v>
      </c>
      <c r="K25" s="7">
        <f t="shared" ref="K25:K28" si="5">SQRT(($B$5-B7)^2+($C$5-C7)^2+($D$5-D7)^2+($E$5-E7)^2+($F$5-F7)^2+($G$5-G7)^2)</f>
        <v>4.4248410091679395E-2</v>
      </c>
      <c r="L25">
        <v>1.9400000000000001E-2</v>
      </c>
      <c r="M25" t="s">
        <v>166</v>
      </c>
      <c r="N25" s="7">
        <f t="shared" ref="N25:N28" si="6">SQRT(($B$5-B3)^2+($C$5-C3)^2+($D$5-D3)^2+($E$5-E3)^2+($F$5-F3)^2+($G$5-G3)^2)</f>
        <v>2.7000805272737866E-2</v>
      </c>
      <c r="O25" s="7">
        <f>AVERAGE(O24:S24)</f>
        <v>3.0380000000000001E-2</v>
      </c>
    </row>
    <row r="26" spans="1:19" x14ac:dyDescent="0.25">
      <c r="A26" s="5" t="s">
        <v>45</v>
      </c>
      <c r="B26" s="7">
        <v>7.9089469429606638E-2</v>
      </c>
      <c r="C26" s="7">
        <v>0.76298076390914638</v>
      </c>
      <c r="D26" s="7">
        <v>0.62905751954568978</v>
      </c>
      <c r="E26" s="7">
        <v>0.12403621962954975</v>
      </c>
      <c r="F26" s="7">
        <v>2.1193910108587399E-2</v>
      </c>
      <c r="G26" s="7">
        <v>7.5948158175238138E-3</v>
      </c>
      <c r="J26" t="s">
        <v>185</v>
      </c>
      <c r="K26" s="7">
        <f t="shared" si="5"/>
        <v>1.9428080306291451E-2</v>
      </c>
      <c r="L26">
        <v>1.9599999999999999E-2</v>
      </c>
      <c r="M26" t="s">
        <v>193</v>
      </c>
      <c r="N26" s="7">
        <f t="shared" si="6"/>
        <v>1.1019143547868442E-2</v>
      </c>
    </row>
    <row r="27" spans="1:19" x14ac:dyDescent="0.25">
      <c r="A27" s="5" t="s">
        <v>34</v>
      </c>
      <c r="B27" s="7">
        <v>7.6929471371274802E-2</v>
      </c>
      <c r="C27" s="7">
        <v>0.76514997381510119</v>
      </c>
      <c r="D27" s="7">
        <v>0.62748263179419961</v>
      </c>
      <c r="E27" s="7">
        <v>0.12016956552902734</v>
      </c>
      <c r="F27" s="7">
        <v>2.018139707171912E-2</v>
      </c>
      <c r="G27" s="7">
        <v>6.7013084326437763E-3</v>
      </c>
      <c r="J27" t="s">
        <v>180</v>
      </c>
      <c r="K27" s="7">
        <f>SQRT(($B$5-B9)^2+($C$5-C9)^2+($D$5-D9)^2+($E$5-E9)^2+($F$5-F9)^2+($G$5-G9)^2)</f>
        <v>1.9576585072789175E-2</v>
      </c>
      <c r="L27">
        <v>1.9599999999999999E-2</v>
      </c>
      <c r="M27" t="s">
        <v>194</v>
      </c>
      <c r="N27" s="7">
        <f t="shared" si="6"/>
        <v>0</v>
      </c>
    </row>
    <row r="28" spans="1:19" x14ac:dyDescent="0.25">
      <c r="J28" t="s">
        <v>181</v>
      </c>
      <c r="K28" s="7">
        <f t="shared" si="5"/>
        <v>2.8131764625385396E-2</v>
      </c>
      <c r="L28" s="7">
        <f>AVERAGE(L24:L27)</f>
        <v>2.4725000000000004E-2</v>
      </c>
      <c r="M28" t="s">
        <v>195</v>
      </c>
      <c r="N28" s="7">
        <f t="shared" si="6"/>
        <v>2.829483726207211E-2</v>
      </c>
    </row>
    <row r="29" spans="1:19" x14ac:dyDescent="0.25">
      <c r="J29" t="s">
        <v>186</v>
      </c>
      <c r="K29" s="7">
        <f>SQRT(($B$5-B11)^2+($C$5-C11)^2+($D$5-D11)^2+($E$5-E11)^2+($F$5-F11)^2+($G$5-G11)^2)</f>
        <v>1.9638835949938652E-2</v>
      </c>
    </row>
    <row r="30" spans="1:19" ht="15.75" thickBot="1" x14ac:dyDescent="0.3"/>
    <row r="31" spans="1:19" ht="16.5" thickBot="1" x14ac:dyDescent="0.3">
      <c r="J31" t="s">
        <v>187</v>
      </c>
      <c r="K31" s="7">
        <f>SQRT(($B$8-B9)^2+($C$8-C9)^2+($D$8-D9)^2+($E$8-E9)^2+($F$8-F9)^2+($G$8-G9)^2)</f>
        <v>1.1358713462156013E-2</v>
      </c>
      <c r="L31">
        <v>1.2200000000000001E-2</v>
      </c>
      <c r="M31" t="s">
        <v>196</v>
      </c>
      <c r="N31" s="7">
        <f>SQRT(($B$8-B2)^2+($C$8-C2)^2+($D$8-D2)^2+($E$8-E2)^2+($F$8-F2)^2+($G$8-G2)^2)</f>
        <v>5.9002350478343069E-2</v>
      </c>
      <c r="O31" s="20">
        <v>5.8999999999999997E-2</v>
      </c>
      <c r="P31" s="21">
        <v>4.5100000000000001E-2</v>
      </c>
      <c r="Q31" s="21">
        <v>4.6800000000000001E-2</v>
      </c>
      <c r="R31" s="21">
        <v>6.2600000000000003E-2</v>
      </c>
      <c r="S31" s="21">
        <v>4.6399999999999997E-2</v>
      </c>
    </row>
    <row r="32" spans="1:19" x14ac:dyDescent="0.25">
      <c r="J32" t="s">
        <v>181</v>
      </c>
      <c r="K32" s="7">
        <f t="shared" ref="K32" si="7">SQRT(($B$8-B10)^2+($C$8-C10)^2+($D$8-D10)^2+($E$8-E10)^2+($F$8-F10)^2+($G$8-G10)^2)</f>
        <v>4.6447506966924665E-2</v>
      </c>
      <c r="L32">
        <v>1.9400000000000001E-2</v>
      </c>
      <c r="M32" t="s">
        <v>166</v>
      </c>
      <c r="N32" s="7">
        <f t="shared" ref="N32:N36" si="8">SQRT(($B$8-B3)^2+($C$8-C3)^2+($D$8-D3)^2+($E$8-E3)^2+($F$8-F3)^2+($G$8-G3)^2)</f>
        <v>4.5124238667961773E-2</v>
      </c>
      <c r="O32" s="7">
        <f>AVERAGE(O31:S31)</f>
        <v>5.1980000000000005E-2</v>
      </c>
    </row>
    <row r="33" spans="10:19" x14ac:dyDescent="0.25">
      <c r="J33" t="s">
        <v>186</v>
      </c>
      <c r="K33" s="7">
        <f>SQRT(($B$8-B11)^2+($C$8-C11)^2+($D$8-D11)^2+($E$8-E11)^2+($F$8-F11)^2+($G$8-G11)^2)</f>
        <v>2.1393184102868688E-2</v>
      </c>
      <c r="L33">
        <v>1.14E-2</v>
      </c>
      <c r="M33" t="s">
        <v>193</v>
      </c>
      <c r="N33" s="7">
        <f t="shared" si="8"/>
        <v>1.2173609005402477E-2</v>
      </c>
    </row>
    <row r="34" spans="10:19" x14ac:dyDescent="0.25">
      <c r="L34">
        <v>2.1399999999999999E-2</v>
      </c>
      <c r="M34" t="s">
        <v>194</v>
      </c>
      <c r="N34" s="7">
        <f t="shared" si="8"/>
        <v>1.9428080306291451E-2</v>
      </c>
    </row>
    <row r="35" spans="10:19" x14ac:dyDescent="0.25">
      <c r="J35" t="s">
        <v>188</v>
      </c>
      <c r="K35" s="7">
        <f>SQRT(($B$9-B11)^2+($C$9-C11)^2+($D$9-D11)^2+($E$9-E11)^2+($F$9-F11)^2+($G$9-G11)^2)</f>
        <v>1.1397427488826163E-2</v>
      </c>
      <c r="L35">
        <f>AVERAGE(L31:L34)</f>
        <v>1.61E-2</v>
      </c>
      <c r="M35" t="s">
        <v>195</v>
      </c>
      <c r="N35" s="7">
        <f t="shared" si="8"/>
        <v>4.6803105725020826E-2</v>
      </c>
    </row>
    <row r="36" spans="10:19" x14ac:dyDescent="0.25">
      <c r="M36" t="s">
        <v>184</v>
      </c>
      <c r="N36" s="7">
        <f t="shared" si="8"/>
        <v>6.2603591169367756E-2</v>
      </c>
    </row>
    <row r="37" spans="10:19" ht="15.75" thickBot="1" x14ac:dyDescent="0.3">
      <c r="L37">
        <v>1.7600000000000001E-2</v>
      </c>
    </row>
    <row r="38" spans="10:19" ht="16.5" thickBot="1" x14ac:dyDescent="0.3">
      <c r="L38">
        <v>1.9599999999999999E-2</v>
      </c>
      <c r="M38" t="s">
        <v>197</v>
      </c>
      <c r="N38" s="7">
        <f>SQRT(($B$9-B2)^2+($C$9-C2)^2+($D$9-D2)^2+($E$9-E2)^2+($F$9-F2)^2+($G$9-G2)^2)</f>
        <v>5.7835029111936012E-2</v>
      </c>
      <c r="O38" s="20">
        <v>5.7799999999999997E-2</v>
      </c>
      <c r="P38" s="21">
        <v>4.2000000000000003E-2</v>
      </c>
      <c r="Q38" s="21">
        <v>4.5699999999999998E-2</v>
      </c>
      <c r="R38" s="21">
        <v>6.2100000000000002E-2</v>
      </c>
      <c r="S38" s="21">
        <v>4.6300000000000001E-2</v>
      </c>
    </row>
    <row r="39" spans="10:19" x14ac:dyDescent="0.25">
      <c r="L39">
        <v>1.14E-2</v>
      </c>
      <c r="M39" t="s">
        <v>166</v>
      </c>
      <c r="N39" s="7">
        <f t="shared" ref="N39:N46" si="9">SQRT(($B$9-B3)^2+($C$9-C3)^2+($D$9-D3)^2+($E$9-E3)^2+($F$9-F3)^2+($G$9-G3)^2)</f>
        <v>4.2043541244308917E-2</v>
      </c>
      <c r="O39" s="7">
        <f>AVERAGE(O38:S38)</f>
        <v>5.0780000000000006E-2</v>
      </c>
    </row>
    <row r="40" spans="10:19" x14ac:dyDescent="0.25">
      <c r="L40">
        <v>1.14E-2</v>
      </c>
      <c r="M40" t="s">
        <v>193</v>
      </c>
      <c r="N40" s="7">
        <f t="shared" si="9"/>
        <v>1.7645230708408767E-2</v>
      </c>
    </row>
    <row r="41" spans="10:19" x14ac:dyDescent="0.25">
      <c r="L41">
        <f>AVERAGE(L37:L40)</f>
        <v>1.4999999999999999E-2</v>
      </c>
      <c r="M41" t="s">
        <v>194</v>
      </c>
      <c r="N41" s="7">
        <f t="shared" si="9"/>
        <v>1.9576585072789175E-2</v>
      </c>
    </row>
    <row r="42" spans="10:19" x14ac:dyDescent="0.25">
      <c r="M42" t="s">
        <v>195</v>
      </c>
      <c r="N42" s="7">
        <f t="shared" si="9"/>
        <v>4.5719426269972892E-2</v>
      </c>
    </row>
    <row r="43" spans="10:19" x14ac:dyDescent="0.25">
      <c r="L43">
        <v>2.2599999999999999E-2</v>
      </c>
      <c r="M43" t="s">
        <v>184</v>
      </c>
      <c r="N43" s="7">
        <f t="shared" si="9"/>
        <v>6.2129269384228629E-2</v>
      </c>
    </row>
    <row r="44" spans="10:19" x14ac:dyDescent="0.25">
      <c r="L44">
        <v>1.9599999999999999E-2</v>
      </c>
      <c r="M44" t="s">
        <v>185</v>
      </c>
      <c r="N44" s="7">
        <f t="shared" si="9"/>
        <v>1.1358713462156013E-2</v>
      </c>
    </row>
    <row r="45" spans="10:19" x14ac:dyDescent="0.25">
      <c r="L45">
        <v>2.1399999999999999E-2</v>
      </c>
      <c r="M45" t="s">
        <v>180</v>
      </c>
      <c r="N45" s="7">
        <f t="shared" si="9"/>
        <v>0</v>
      </c>
    </row>
    <row r="46" spans="10:19" x14ac:dyDescent="0.25">
      <c r="L46">
        <v>1.14E-2</v>
      </c>
      <c r="M46" t="s">
        <v>181</v>
      </c>
      <c r="N46" s="7">
        <f t="shared" si="9"/>
        <v>4.6278062594589421E-2</v>
      </c>
    </row>
    <row r="47" spans="10:19" ht="15.75" thickBot="1" x14ac:dyDescent="0.3">
      <c r="L47" s="7">
        <f>AVERAGE(L43:L46)</f>
        <v>1.8750000000000003E-2</v>
      </c>
    </row>
    <row r="48" spans="10:19" ht="16.5" thickBot="1" x14ac:dyDescent="0.3">
      <c r="M48" t="s">
        <v>198</v>
      </c>
      <c r="N48" s="7">
        <f>SQRT(($B$11-B3)^2+($C$11-C3)^2+($D$11-D3)^2+($E$11-E3)^2+($F$11-F3)^2+($G$11-G3)^2)</f>
        <v>3.4745608037764483E-2</v>
      </c>
      <c r="O48" s="20">
        <v>5.1700000000000003E-2</v>
      </c>
      <c r="P48" s="21">
        <v>3.4700000000000002E-2</v>
      </c>
      <c r="Q48" s="21">
        <v>4.02E-2</v>
      </c>
      <c r="R48" s="21">
        <v>5.6500000000000002E-2</v>
      </c>
      <c r="S48" s="21">
        <v>4.1700000000000001E-2</v>
      </c>
    </row>
    <row r="49" spans="10:15" x14ac:dyDescent="0.25">
      <c r="M49" t="s">
        <v>193</v>
      </c>
      <c r="N49" s="7">
        <f t="shared" ref="N49:N56" si="10">SQRT(($B$11-B4)^2+($C$11-C4)^2+($D$11-D4)^2+($E$11-E4)^2+($F$11-F4)^2+($G$11-G4)^2)</f>
        <v>2.2631418958181649E-2</v>
      </c>
      <c r="O49" s="7">
        <f>AVERAGE(O48:S48)</f>
        <v>4.496E-2</v>
      </c>
    </row>
    <row r="50" spans="10:15" x14ac:dyDescent="0.25">
      <c r="M50" t="s">
        <v>194</v>
      </c>
      <c r="N50" s="7">
        <f t="shared" si="10"/>
        <v>1.9638835949938652E-2</v>
      </c>
    </row>
    <row r="51" spans="10:15" x14ac:dyDescent="0.25">
      <c r="M51" t="s">
        <v>195</v>
      </c>
      <c r="N51" s="7">
        <f t="shared" si="10"/>
        <v>4.0166350568218281E-2</v>
      </c>
    </row>
    <row r="52" spans="10:15" x14ac:dyDescent="0.25">
      <c r="M52" t="s">
        <v>184</v>
      </c>
      <c r="N52" s="7">
        <f t="shared" si="10"/>
        <v>5.6506400761956725E-2</v>
      </c>
    </row>
    <row r="53" spans="10:15" x14ac:dyDescent="0.25">
      <c r="M53" t="s">
        <v>185</v>
      </c>
      <c r="N53" s="7">
        <f t="shared" si="10"/>
        <v>2.1393184102868688E-2</v>
      </c>
    </row>
    <row r="54" spans="10:15" x14ac:dyDescent="0.25">
      <c r="M54" t="s">
        <v>180</v>
      </c>
      <c r="N54" s="7">
        <f t="shared" si="10"/>
        <v>1.1397427488826163E-2</v>
      </c>
    </row>
    <row r="55" spans="10:15" x14ac:dyDescent="0.25">
      <c r="M55" t="s">
        <v>181</v>
      </c>
      <c r="N55" s="7">
        <f t="shared" si="10"/>
        <v>4.1740852526630637E-2</v>
      </c>
    </row>
    <row r="56" spans="10:15" x14ac:dyDescent="0.25">
      <c r="M56" t="s">
        <v>186</v>
      </c>
      <c r="N56" s="7">
        <f t="shared" si="10"/>
        <v>0</v>
      </c>
    </row>
    <row r="58" spans="10:15" x14ac:dyDescent="0.25">
      <c r="J58" t="s">
        <v>199</v>
      </c>
      <c r="K58">
        <v>2.3199999999999998E-2</v>
      </c>
      <c r="L58" t="s">
        <v>203</v>
      </c>
      <c r="M58">
        <v>2.47E-2</v>
      </c>
    </row>
    <row r="59" spans="10:15" x14ac:dyDescent="0.25">
      <c r="J59" t="s">
        <v>200</v>
      </c>
      <c r="K59">
        <v>4.2000000000000003E-2</v>
      </c>
      <c r="L59" t="s">
        <v>202</v>
      </c>
      <c r="M59">
        <v>3.04E-2</v>
      </c>
    </row>
    <row r="60" spans="10:15" x14ac:dyDescent="0.25">
      <c r="J60" t="s">
        <v>201</v>
      </c>
      <c r="K60" s="7">
        <f>(K59-K58)/(MAX(K59,K58))</f>
        <v>0.44761904761904769</v>
      </c>
      <c r="L60" t="s">
        <v>204</v>
      </c>
      <c r="M60" s="7">
        <f>(M59-M58)/(MAX(M59,M58))</f>
        <v>0.1875</v>
      </c>
    </row>
    <row r="62" spans="10:15" x14ac:dyDescent="0.25">
      <c r="J62" t="s">
        <v>205</v>
      </c>
      <c r="K62">
        <v>1.61E-2</v>
      </c>
      <c r="L62" t="s">
        <v>208</v>
      </c>
      <c r="M62">
        <v>1.4999999999999999E-2</v>
      </c>
    </row>
    <row r="63" spans="10:15" x14ac:dyDescent="0.25">
      <c r="J63" t="s">
        <v>206</v>
      </c>
      <c r="K63">
        <v>5.1999999999999998E-2</v>
      </c>
      <c r="L63" t="s">
        <v>209</v>
      </c>
      <c r="M63">
        <v>5.0799999999999998E-2</v>
      </c>
    </row>
    <row r="64" spans="10:15" x14ac:dyDescent="0.25">
      <c r="J64" t="s">
        <v>207</v>
      </c>
      <c r="K64" s="7">
        <f>(K63-K62)/(MAX(K63,K62))</f>
        <v>0.69038461538461549</v>
      </c>
      <c r="L64" t="s">
        <v>210</v>
      </c>
      <c r="M64" s="7">
        <f>(M63-M62)/(MAX(M63,M62))</f>
        <v>0.70472440944881887</v>
      </c>
    </row>
    <row r="66" spans="1:18" x14ac:dyDescent="0.25">
      <c r="J66" t="s">
        <v>211</v>
      </c>
      <c r="K66">
        <v>1.8800000000000001E-2</v>
      </c>
    </row>
    <row r="67" spans="1:18" x14ac:dyDescent="0.25">
      <c r="J67" t="s">
        <v>212</v>
      </c>
      <c r="K67">
        <v>4.4999999999999998E-2</v>
      </c>
    </row>
    <row r="68" spans="1:18" x14ac:dyDescent="0.25">
      <c r="J68" t="s">
        <v>213</v>
      </c>
      <c r="K68" s="7">
        <f>(K67-K66)/(MAX(K67,K66))</f>
        <v>0.5822222222222222</v>
      </c>
    </row>
    <row r="70" spans="1:18" x14ac:dyDescent="0.25">
      <c r="J70" t="s">
        <v>214</v>
      </c>
      <c r="M70" t="s">
        <v>223</v>
      </c>
    </row>
    <row r="71" spans="1:18" x14ac:dyDescent="0.25">
      <c r="E71" t="s">
        <v>191</v>
      </c>
      <c r="F71" t="s">
        <v>178</v>
      </c>
      <c r="G71" t="s">
        <v>226</v>
      </c>
      <c r="H71" t="s">
        <v>167</v>
      </c>
      <c r="J71" t="s">
        <v>215</v>
      </c>
      <c r="K71" s="9">
        <v>0</v>
      </c>
      <c r="M71" t="s">
        <v>224</v>
      </c>
      <c r="N71" s="15">
        <f>SQRT(($B$3-B2)^2+($C$3-C2)^2+($D$3-D2)^2+($E$3-E2)^2+($F$3-F2)^2+($G$3-G2)^2)</f>
        <v>1.7636841333619722E-2</v>
      </c>
    </row>
    <row r="72" spans="1:18" x14ac:dyDescent="0.25">
      <c r="D72" t="s">
        <v>191</v>
      </c>
      <c r="E72">
        <v>0</v>
      </c>
      <c r="F72" s="7">
        <f>K72</f>
        <v>9.4293605832407815E-3</v>
      </c>
      <c r="G72">
        <f>E74</f>
        <v>1.43E-2</v>
      </c>
      <c r="H72" s="7">
        <f>AVERAGE(F72:G72)</f>
        <v>1.186468029162039E-2</v>
      </c>
      <c r="J72" t="s">
        <v>216</v>
      </c>
      <c r="K72" s="15">
        <f>SQRT(($B$3-B6)^2+($C$3-C6)^2+($D$3-D6)^2+($E$3-E6)^2+($F$3-F6)^2+($G$3-G6)^2)</f>
        <v>9.4293605832407815E-3</v>
      </c>
      <c r="M72" t="s">
        <v>166</v>
      </c>
      <c r="N72" s="7">
        <f t="shared" ref="N72:N80" si="11">SQRT(($B$3-B3)^2+($C$3-C3)^2+($D$3-D3)^2+($E$3-E3)^2+($F$3-F3)^2+($G$3-G3)^2)</f>
        <v>0</v>
      </c>
    </row>
    <row r="73" spans="1:18" x14ac:dyDescent="0.25">
      <c r="D73" t="s">
        <v>178</v>
      </c>
      <c r="E73">
        <v>9.4000000000000004E-3</v>
      </c>
      <c r="F73">
        <v>0</v>
      </c>
      <c r="G73" s="7">
        <f>F74</f>
        <v>5.3503165035008633E-3</v>
      </c>
      <c r="H73" s="7">
        <f>AVERAGE(E73,G73)</f>
        <v>7.3751582517504318E-3</v>
      </c>
      <c r="J73" t="s">
        <v>184</v>
      </c>
      <c r="K73" s="7">
        <f t="shared" ref="K73:K77" si="12">SQRT(($B$3-B7)^2+($C$3-C7)^2+($D$3-D7)^2+($E$3-E7)^2+($F$3-F7)^2+($G$3-G7)^2)</f>
        <v>2.3230104377310143E-2</v>
      </c>
      <c r="M73" t="s">
        <v>193</v>
      </c>
      <c r="N73" s="15">
        <f t="shared" si="11"/>
        <v>3.589597765430845E-2</v>
      </c>
    </row>
    <row r="74" spans="1:18" x14ac:dyDescent="0.25">
      <c r="D74" t="s">
        <v>226</v>
      </c>
      <c r="E74">
        <f>K83</f>
        <v>1.43E-2</v>
      </c>
      <c r="F74" s="7">
        <f>K84</f>
        <v>5.3503165035008633E-3</v>
      </c>
      <c r="G74">
        <v>0</v>
      </c>
      <c r="H74" s="7">
        <f>AVERAGE(E74:F74)</f>
        <v>9.8251582517504318E-3</v>
      </c>
      <c r="J74" t="s">
        <v>185</v>
      </c>
      <c r="K74" s="7">
        <f t="shared" si="12"/>
        <v>4.5124238667961773E-2</v>
      </c>
      <c r="M74" t="s">
        <v>194</v>
      </c>
      <c r="N74" s="15">
        <f t="shared" si="11"/>
        <v>2.7000805272737866E-2</v>
      </c>
    </row>
    <row r="75" spans="1:18" x14ac:dyDescent="0.25">
      <c r="J75" t="s">
        <v>180</v>
      </c>
      <c r="K75" s="7">
        <f t="shared" si="12"/>
        <v>4.2043541244308917E-2</v>
      </c>
      <c r="M75" t="s">
        <v>195</v>
      </c>
      <c r="N75" s="7">
        <f t="shared" si="11"/>
        <v>9.4293605832407815E-3</v>
      </c>
    </row>
    <row r="76" spans="1:18" x14ac:dyDescent="0.25">
      <c r="B76" t="s">
        <v>40</v>
      </c>
      <c r="C76" t="s">
        <v>89</v>
      </c>
      <c r="D76" t="s">
        <v>36</v>
      </c>
      <c r="E76" t="s">
        <v>88</v>
      </c>
      <c r="F76" t="s">
        <v>179</v>
      </c>
      <c r="G76" t="s">
        <v>35</v>
      </c>
      <c r="H76" t="s">
        <v>182</v>
      </c>
      <c r="I76" t="s">
        <v>168</v>
      </c>
      <c r="J76" t="s">
        <v>181</v>
      </c>
      <c r="K76" s="7">
        <f t="shared" si="12"/>
        <v>1.4262269703237065E-2</v>
      </c>
      <c r="M76" t="s">
        <v>184</v>
      </c>
      <c r="N76" s="15">
        <f t="shared" si="11"/>
        <v>2.3230104377310143E-2</v>
      </c>
    </row>
    <row r="77" spans="1:18" x14ac:dyDescent="0.25">
      <c r="A77" t="s">
        <v>191</v>
      </c>
      <c r="B77" s="7">
        <f>N71</f>
        <v>1.7636841333619722E-2</v>
      </c>
      <c r="C77">
        <v>3.5900000000000001E-2</v>
      </c>
      <c r="D77" s="7">
        <f>N74</f>
        <v>2.7000805272737866E-2</v>
      </c>
      <c r="E77" s="7">
        <f>N76</f>
        <v>2.3230104377310143E-2</v>
      </c>
      <c r="F77" s="7">
        <f>N77</f>
        <v>4.5124238667961773E-2</v>
      </c>
      <c r="G77" s="7">
        <f>N78</f>
        <v>4.2043541244308917E-2</v>
      </c>
      <c r="H77" s="7">
        <f>N80</f>
        <v>3.4745608037764483E-2</v>
      </c>
      <c r="I77" s="7">
        <f>AVERAGE(B77:H77)</f>
        <v>3.2240162704814702E-2</v>
      </c>
      <c r="J77" t="s">
        <v>186</v>
      </c>
      <c r="K77" s="15">
        <f t="shared" si="12"/>
        <v>3.4745608037764483E-2</v>
      </c>
      <c r="M77" t="s">
        <v>185</v>
      </c>
      <c r="N77" s="15">
        <f t="shared" si="11"/>
        <v>4.5124238667961773E-2</v>
      </c>
    </row>
    <row r="78" spans="1:18" x14ac:dyDescent="0.25">
      <c r="A78" t="s">
        <v>178</v>
      </c>
      <c r="B78">
        <f>N5</f>
        <v>1.24E-2</v>
      </c>
      <c r="C78" s="7">
        <f>K17</f>
        <v>3.6797082120298814E-2</v>
      </c>
      <c r="D78" s="7">
        <f>K24</f>
        <v>2.829483726207211E-2</v>
      </c>
      <c r="E78" s="7">
        <f>N87</f>
        <v>1.6506318715410896E-2</v>
      </c>
      <c r="F78" s="7">
        <f>N88</f>
        <v>4.6803105725020826E-2</v>
      </c>
      <c r="G78" s="7">
        <f>N89</f>
        <v>4.5719426269972892E-2</v>
      </c>
      <c r="H78" s="7">
        <f>N91</f>
        <v>4.0166350568218281E-2</v>
      </c>
      <c r="I78" s="7">
        <f t="shared" ref="I78:I79" si="13">AVERAGE(B78:H78)</f>
        <v>3.2383874380141973E-2</v>
      </c>
      <c r="M78" t="s">
        <v>180</v>
      </c>
      <c r="N78" s="15">
        <f t="shared" si="11"/>
        <v>4.2043541244308917E-2</v>
      </c>
    </row>
    <row r="79" spans="1:18" x14ac:dyDescent="0.25">
      <c r="A79" t="s">
        <v>226</v>
      </c>
      <c r="B79" s="7">
        <f>N93</f>
        <v>1.4147899796079833E-2</v>
      </c>
      <c r="C79" s="7">
        <f>N95</f>
        <v>3.6460289091075536E-2</v>
      </c>
      <c r="D79" s="7">
        <f>N96</f>
        <v>2.8131764625385396E-2</v>
      </c>
      <c r="E79" s="7">
        <f>N98</f>
        <v>1.6526773009336731E-2</v>
      </c>
      <c r="F79" s="7">
        <f>N99</f>
        <v>4.6447506966924665E-2</v>
      </c>
      <c r="G79" s="7">
        <f>N100</f>
        <v>4.6278062594589421E-2</v>
      </c>
      <c r="H79" s="7">
        <f>N102</f>
        <v>4.1740852526630637E-2</v>
      </c>
      <c r="I79" s="7">
        <f t="shared" si="13"/>
        <v>3.2819021230003173E-2</v>
      </c>
      <c r="J79" t="s">
        <v>217</v>
      </c>
      <c r="K79" s="9">
        <v>9.4000000000000004E-3</v>
      </c>
      <c r="M79" t="s">
        <v>181</v>
      </c>
      <c r="N79" s="7">
        <f t="shared" si="11"/>
        <v>1.4262269703237065E-2</v>
      </c>
    </row>
    <row r="80" spans="1:18" x14ac:dyDescent="0.25">
      <c r="J80" t="s">
        <v>218</v>
      </c>
      <c r="K80" s="9">
        <v>0</v>
      </c>
      <c r="M80" t="s">
        <v>186</v>
      </c>
      <c r="N80" s="15">
        <f t="shared" si="11"/>
        <v>3.4745608037764483E-2</v>
      </c>
      <c r="R80">
        <v>0.82489999999999997</v>
      </c>
    </row>
    <row r="81" spans="1:18" x14ac:dyDescent="0.25">
      <c r="J81" t="s">
        <v>219</v>
      </c>
      <c r="K81" s="15">
        <f>SQRT(($B$6-B10)^2+($C$6-C10)^2+($D$6-D10)^2+($E$6-E10)^2+($F$6-F10)^2+($G$6-G10)^2)</f>
        <v>5.3503165035008633E-3</v>
      </c>
      <c r="R81">
        <v>0.63200000000000001</v>
      </c>
    </row>
    <row r="82" spans="1:18" x14ac:dyDescent="0.25">
      <c r="A82" t="s">
        <v>228</v>
      </c>
      <c r="B82" s="7">
        <f>(I77-H72)/(MAX(I77,H72))</f>
        <v>0.63199068192517105</v>
      </c>
      <c r="M82" t="s">
        <v>225</v>
      </c>
      <c r="N82" s="15">
        <f>SQRT(($B$6-B2)^2+($C$6-C2)^2+($D$6-D2)^2+($E$6-E2)^2+($F$6-F2)^2+($G$6-G2)^2)</f>
        <v>1.241709638314856E-2</v>
      </c>
      <c r="R82">
        <v>0.4476</v>
      </c>
    </row>
    <row r="83" spans="1:18" x14ac:dyDescent="0.25">
      <c r="A83" t="s">
        <v>229</v>
      </c>
      <c r="B83" s="7">
        <f>(I78-H73)/(MAX(I78,H73))</f>
        <v>0.77225831087484287</v>
      </c>
      <c r="J83" t="s">
        <v>220</v>
      </c>
      <c r="K83" s="9">
        <v>1.43E-2</v>
      </c>
      <c r="M83" t="s">
        <v>166</v>
      </c>
      <c r="N83" s="22">
        <f t="shared" ref="N83:N91" si="14">SQRT(($B$6-B3)^2+($C$6-C3)^2+($D$6-D3)^2+($E$6-E3)^2+($F$6-F3)^2+($G$6-G3)^2)</f>
        <v>9.4293605832407815E-3</v>
      </c>
      <c r="R83">
        <v>0.1875</v>
      </c>
    </row>
    <row r="84" spans="1:18" x14ac:dyDescent="0.25">
      <c r="A84" t="s">
        <v>230</v>
      </c>
      <c r="B84" s="7">
        <f>(I79-H74)/(MAX(I79,H74))</f>
        <v>0.70062610390195712</v>
      </c>
      <c r="J84" t="s">
        <v>221</v>
      </c>
      <c r="K84" s="15">
        <f>SQRT(($B$10-B6)^2+($C$10-C6)^2+($D$10-D6)^2+($E$10-E6)^2+($F$10-F6)^2+($G$10-G6)^2)</f>
        <v>5.3503165035008633E-3</v>
      </c>
      <c r="M84" t="s">
        <v>193</v>
      </c>
      <c r="N84" s="15">
        <f t="shared" si="14"/>
        <v>3.6797082120298814E-2</v>
      </c>
      <c r="R84">
        <v>0.77229999999999999</v>
      </c>
    </row>
    <row r="85" spans="1:18" x14ac:dyDescent="0.25">
      <c r="J85" t="s">
        <v>222</v>
      </c>
      <c r="K85" s="9">
        <v>0</v>
      </c>
      <c r="M85" t="s">
        <v>194</v>
      </c>
      <c r="N85" s="15">
        <f t="shared" si="14"/>
        <v>2.829483726207211E-2</v>
      </c>
      <c r="R85">
        <v>0.8417</v>
      </c>
    </row>
    <row r="86" spans="1:18" x14ac:dyDescent="0.25">
      <c r="M86" t="s">
        <v>195</v>
      </c>
      <c r="N86" s="22">
        <f t="shared" si="14"/>
        <v>0</v>
      </c>
      <c r="R86">
        <v>0.69040000000000001</v>
      </c>
    </row>
    <row r="87" spans="1:18" x14ac:dyDescent="0.25">
      <c r="M87" t="s">
        <v>184</v>
      </c>
      <c r="N87" s="15">
        <f t="shared" si="14"/>
        <v>1.6506318715410896E-2</v>
      </c>
      <c r="R87">
        <v>0.70469999999999999</v>
      </c>
    </row>
    <row r="88" spans="1:18" x14ac:dyDescent="0.25">
      <c r="M88" t="s">
        <v>185</v>
      </c>
      <c r="N88" s="15">
        <f t="shared" si="14"/>
        <v>4.6803105725020826E-2</v>
      </c>
      <c r="R88">
        <v>0.7006</v>
      </c>
    </row>
    <row r="89" spans="1:18" x14ac:dyDescent="0.25">
      <c r="M89" t="s">
        <v>180</v>
      </c>
      <c r="N89" s="15">
        <f t="shared" si="14"/>
        <v>4.5719426269972892E-2</v>
      </c>
      <c r="R89">
        <v>0.58220000000000005</v>
      </c>
    </row>
    <row r="90" spans="1:18" x14ac:dyDescent="0.25">
      <c r="M90" t="s">
        <v>181</v>
      </c>
      <c r="N90" s="22">
        <f t="shared" si="14"/>
        <v>5.3503165035008633E-3</v>
      </c>
      <c r="R90" s="7">
        <f>AVERAGE(R80:R89)</f>
        <v>0.63839000000000001</v>
      </c>
    </row>
    <row r="91" spans="1:18" x14ac:dyDescent="0.25">
      <c r="M91" t="s">
        <v>186</v>
      </c>
      <c r="N91" s="15">
        <f t="shared" si="14"/>
        <v>4.0166350568218281E-2</v>
      </c>
    </row>
    <row r="93" spans="1:18" x14ac:dyDescent="0.25">
      <c r="M93" t="s">
        <v>227</v>
      </c>
      <c r="N93" s="15">
        <f>SQRT(($B$10-B2)^2+($C$10-C2)^2+($D$10-D2)^2+($E$10-E2)^2+($F$10-F2)^2+($G$10-G2)^2)</f>
        <v>1.4147899796079833E-2</v>
      </c>
    </row>
    <row r="94" spans="1:18" x14ac:dyDescent="0.25">
      <c r="M94" t="s">
        <v>166</v>
      </c>
      <c r="N94" s="15">
        <f t="shared" ref="N94:N102" si="15">SQRT(($B$10-B3)^2+($C$10-C3)^2+($D$10-D3)^2+($E$10-E3)^2+($F$10-F3)^2+($G$10-G3)^2)</f>
        <v>1.4262269703237065E-2</v>
      </c>
    </row>
    <row r="95" spans="1:18" x14ac:dyDescent="0.25">
      <c r="M95" t="s">
        <v>193</v>
      </c>
      <c r="N95" s="15">
        <f t="shared" si="15"/>
        <v>3.6460289091075536E-2</v>
      </c>
    </row>
    <row r="96" spans="1:18" x14ac:dyDescent="0.25">
      <c r="M96" t="s">
        <v>194</v>
      </c>
      <c r="N96" s="15">
        <f t="shared" si="15"/>
        <v>2.8131764625385396E-2</v>
      </c>
    </row>
    <row r="97" spans="13:14" x14ac:dyDescent="0.25">
      <c r="M97" t="s">
        <v>195</v>
      </c>
      <c r="N97" s="15">
        <f t="shared" si="15"/>
        <v>5.3503165035008633E-3</v>
      </c>
    </row>
    <row r="98" spans="13:14" x14ac:dyDescent="0.25">
      <c r="M98" t="s">
        <v>184</v>
      </c>
      <c r="N98" s="15">
        <f t="shared" si="15"/>
        <v>1.6526773009336731E-2</v>
      </c>
    </row>
    <row r="99" spans="13:14" x14ac:dyDescent="0.25">
      <c r="M99" t="s">
        <v>185</v>
      </c>
      <c r="N99" s="15">
        <f t="shared" si="15"/>
        <v>4.6447506966924665E-2</v>
      </c>
    </row>
    <row r="100" spans="13:14" x14ac:dyDescent="0.25">
      <c r="M100" t="s">
        <v>180</v>
      </c>
      <c r="N100" s="15">
        <f t="shared" si="15"/>
        <v>4.6278062594589421E-2</v>
      </c>
    </row>
    <row r="101" spans="13:14" x14ac:dyDescent="0.25">
      <c r="M101" t="s">
        <v>181</v>
      </c>
      <c r="N101" s="15">
        <f t="shared" si="15"/>
        <v>0</v>
      </c>
    </row>
    <row r="102" spans="13:14" x14ac:dyDescent="0.25">
      <c r="M102" t="s">
        <v>186</v>
      </c>
      <c r="N102" s="15">
        <f t="shared" si="15"/>
        <v>4.1740852526630637E-2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E0DCE-619B-47A3-818F-C7949B252451}">
  <dimension ref="A1:M14"/>
  <sheetViews>
    <sheetView workbookViewId="0">
      <selection activeCell="H14" sqref="H14"/>
    </sheetView>
  </sheetViews>
  <sheetFormatPr defaultRowHeight="15" x14ac:dyDescent="0.25"/>
  <cols>
    <col min="8" max="8" width="11.7109375" bestFit="1" customWidth="1"/>
    <col min="9" max="9" width="16.42578125" bestFit="1" customWidth="1"/>
    <col min="10" max="10" width="18.28515625" bestFit="1" customWidth="1"/>
    <col min="11" max="11" width="18.140625" bestFit="1" customWidth="1"/>
    <col min="12" max="12" width="16" bestFit="1" customWidth="1"/>
    <col min="13" max="13" width="20.7109375" bestFit="1" customWidth="1"/>
  </cols>
  <sheetData>
    <row r="1" spans="1:13" x14ac:dyDescent="0.25">
      <c r="A1" t="s">
        <v>72</v>
      </c>
      <c r="B1" t="s">
        <v>73</v>
      </c>
      <c r="C1" t="s">
        <v>74</v>
      </c>
      <c r="D1" t="s">
        <v>110</v>
      </c>
      <c r="E1" t="s">
        <v>75</v>
      </c>
      <c r="F1" t="s">
        <v>87</v>
      </c>
      <c r="H1" t="s">
        <v>72</v>
      </c>
      <c r="I1" t="s">
        <v>73</v>
      </c>
      <c r="J1" t="s">
        <v>74</v>
      </c>
      <c r="K1" t="s">
        <v>110</v>
      </c>
      <c r="L1" t="s">
        <v>75</v>
      </c>
      <c r="M1" t="s">
        <v>87</v>
      </c>
    </row>
    <row r="2" spans="1:13" x14ac:dyDescent="0.25">
      <c r="A2" s="15">
        <v>8.0785081885943619E-2</v>
      </c>
      <c r="B2" s="15">
        <v>0.75632323887760622</v>
      </c>
      <c r="C2" s="15">
        <v>0.63768649744010819</v>
      </c>
      <c r="D2" s="15">
        <v>0.11841186868560391</v>
      </c>
      <c r="E2" s="15">
        <v>2.0439148839783147E-2</v>
      </c>
      <c r="F2" s="15">
        <v>7.024789729212489E-3</v>
      </c>
      <c r="H2" t="str">
        <f>_xlfn.LET(
    _xlpm.x, A2,
    _xlpm.min, MIN($A$2:$A$11),
    _xlpm.max, MAX($A$2:$A$11),
    _xlpm.persen, IF(_xlpm.max=_xlpm.min,0,(_xlpm.x-_xlpm.min)/(_xlpm.max-_xlpm.min)*100),
    IF(_xlpm.persen&lt;=50,"Poss Sedikit","Poss Banyak")
)</f>
        <v>Poss Sedikit</v>
      </c>
      <c r="I2" t="str">
        <f>_xlfn.LET(
    _xlpm.x, B2,
    _xlpm.min, MIN($B$2:$B$11),
    _xlpm.max, MAX($B$2:$B$11),
    _xlpm.persen, IF(_xlpm.max=_xlpm.min,0,(_xlpm.x-_xlpm.min)/(_xlpm.max-_xlpm.min)*100),
    IF(_xlpm.persen&lt;=50,"Total Pass Sedikit","Total Pass Banyak")
)</f>
        <v>Total Pass Sedikit</v>
      </c>
      <c r="J2" t="str">
        <f>_xlfn.LET(
    _xlpm.x, C2,
    _xlpm.min, MIN($C$2:$C$11),
    _xlpm.max, MAX($C$2:$C$11),
    _xlpm.persen, IF(_xlpm.max=_xlpm.min,0,(_xlpm.x-_xlpm.min)/(_xlpm.max-_xlpm.min)*100),
    IF(_xlpm.persen&lt;=50,"Pass Sukses Sedikit","Pass Sukses Banyak")
)</f>
        <v>Pass Sukses Banyak</v>
      </c>
      <c r="K2" t="str">
        <f>_xlfn.LET(
    _xlpm.x, D2,
    _xlpm.min, MIN($D$2:$D$11),
    _xlpm.max, MAX($D$2:$D$11),
    _xlpm.persen, IF(_xlpm.max=_xlpm.min,0,(_xlpm.x-_xlpm.min)/(_xlpm.max-_xlpm.min)*100),
    IF(_xlpm.persen&lt;=50,"Pass Rate Sedikit","Pass Rate Banyak")
)</f>
        <v>Pass Rate Sedikit</v>
      </c>
      <c r="L2" t="str">
        <f>_xlfn.LET(
    _xlpm.x, E2,
    _xlpm.min, MIN($E$2:$E$11),
    _xlpm.max, MAX($E$2:$E$11),
    _xlpm.persen, IF(_xlpm.max=_xlpm.min,0,(_xlpm.x-_xlpm.min)/(_xlpm.max-_xlpm.min)*100),
    IF(_xlpm.persen&lt;=50,"Total Shot Sedikit","Total Shot Banyak")
)</f>
        <v>Total Shot Sedikit</v>
      </c>
      <c r="M2" t="str">
        <f>_xlfn.LET(
    _xlpm.x, F2,
    _xlpm.min, MIN($F$2:$F$11),
    _xlpm.max, MAX($F$2:$F$11),
    _xlpm.persen, IF(_xlpm.max=_xlpm.min,0,(_xlpm.x-_xlpm.min)/(_xlpm.max-_xlpm.min)*100),
    IF(_xlpm.persen&lt;=50,"Shot on Target Sedikit","Shot on Target Banyak")
)</f>
        <v>Shot on Target Sedikit</v>
      </c>
    </row>
    <row r="3" spans="1:13" x14ac:dyDescent="0.25">
      <c r="A3" s="7">
        <v>8.2118885431709879E-2</v>
      </c>
      <c r="B3" s="7">
        <v>0.76118218959799</v>
      </c>
      <c r="C3" s="7">
        <v>0.62876548683935773</v>
      </c>
      <c r="D3" s="7">
        <v>0.13275920086548854</v>
      </c>
      <c r="E3" s="7">
        <v>2.0700802369243532E-2</v>
      </c>
      <c r="F3" s="7">
        <v>7.2709429809326457E-3</v>
      </c>
      <c r="H3" t="str">
        <f t="shared" ref="H3:H11" si="0">_xlfn.LET(
    _xlpm.x, A3,
    _xlpm.min, MIN($A$2:$A$11),
    _xlpm.max, MAX($A$2:$A$11),
    _xlpm.persen, IF(_xlpm.max=_xlpm.min,0,(_xlpm.x-_xlpm.min)/(_xlpm.max-_xlpm.min)*100),
    IF(_xlpm.persen&lt;=50,"Poss Sedikit","Poss Banyak")
)</f>
        <v>Poss Banyak</v>
      </c>
      <c r="I3" t="str">
        <f t="shared" ref="I3:I11" si="1">_xlfn.LET(
    _xlpm.x, B3,
    _xlpm.min, MIN($B$2:$B$11),
    _xlpm.max, MAX($B$2:$B$11),
    _xlpm.persen, IF(_xlpm.max=_xlpm.min,0,(_xlpm.x-_xlpm.min)/(_xlpm.max-_xlpm.min)*100),
    IF(_xlpm.persen&lt;=50,"Total Pass Sedikit","Total Pass Banyak")
)</f>
        <v>Total Pass Sedikit</v>
      </c>
      <c r="J3" t="str">
        <f t="shared" ref="J3:J11" si="2">_xlfn.LET(
    _xlpm.x, C3,
    _xlpm.min, MIN($C$2:$C$11),
    _xlpm.max, MAX($C$2:$C$11),
    _xlpm.persen, IF(_xlpm.max=_xlpm.min,0,(_xlpm.x-_xlpm.min)/(_xlpm.max-_xlpm.min)*100),
    IF(_xlpm.persen&lt;=50,"Pass Sukses Sedikit","Pass Sukses Banyak")
)</f>
        <v>Pass Sukses Banyak</v>
      </c>
      <c r="K3" t="str">
        <f t="shared" ref="K3:K11" si="3">_xlfn.LET(
    _xlpm.x, D3,
    _xlpm.min, MIN($D$2:$D$11),
    _xlpm.max, MAX($D$2:$D$11),
    _xlpm.persen, IF(_xlpm.max=_xlpm.min,0,(_xlpm.x-_xlpm.min)/(_xlpm.max-_xlpm.min)*100),
    IF(_xlpm.persen&lt;=50,"Pass Rate Sedikit","Pass Rate Banyak")
)</f>
        <v>Pass Rate Sedikit</v>
      </c>
      <c r="L3" t="str">
        <f t="shared" ref="L3:L11" si="4">_xlfn.LET(
    _xlpm.x, E3,
    _xlpm.min, MIN($E$2:$E$11),
    _xlpm.max, MAX($E$2:$E$11),
    _xlpm.persen, IF(_xlpm.max=_xlpm.min,0,(_xlpm.x-_xlpm.min)/(_xlpm.max-_xlpm.min)*100),
    IF(_xlpm.persen&lt;=50,"Total Shot Sedikit","Total Shot Banyak")
)</f>
        <v>Total Shot Sedikit</v>
      </c>
      <c r="M3" t="str">
        <f t="shared" ref="M3:M11" si="5">_xlfn.LET(
    _xlpm.x, F3,
    _xlpm.min, MIN($F$2:$F$11),
    _xlpm.max, MAX($F$2:$F$11),
    _xlpm.persen, IF(_xlpm.max=_xlpm.min,0,(_xlpm.x-_xlpm.min)/(_xlpm.max-_xlpm.min)*100),
    IF(_xlpm.persen&lt;=50,"Shot on Target Sedikit","Shot on Target Banyak")
)</f>
        <v>Shot on Target Sedikit</v>
      </c>
    </row>
    <row r="4" spans="1:13" x14ac:dyDescent="0.25">
      <c r="A4" s="15">
        <v>8.5328813757413871E-2</v>
      </c>
      <c r="B4" s="15">
        <v>0.78245086950639953</v>
      </c>
      <c r="C4" s="15">
        <v>0.60082041027127497</v>
      </c>
      <c r="D4" s="15">
        <v>0.13419550042128731</v>
      </c>
      <c r="E4" s="15">
        <v>2.6853343450515488E-2</v>
      </c>
      <c r="F4" s="15">
        <v>9.3523713396622913E-3</v>
      </c>
      <c r="H4" t="str">
        <f t="shared" si="0"/>
        <v>Poss Banyak</v>
      </c>
      <c r="I4" t="str">
        <f t="shared" si="1"/>
        <v>Total Pass Banyak</v>
      </c>
      <c r="J4" t="str">
        <f t="shared" si="2"/>
        <v>Pass Sukses Sedikit</v>
      </c>
      <c r="K4" t="str">
        <f t="shared" si="3"/>
        <v>Pass Rate Banyak</v>
      </c>
      <c r="L4" t="str">
        <f t="shared" si="4"/>
        <v>Total Shot Banyak</v>
      </c>
      <c r="M4" t="str">
        <f t="shared" si="5"/>
        <v>Shot on Target Banyak</v>
      </c>
    </row>
    <row r="5" spans="1:13" x14ac:dyDescent="0.25">
      <c r="A5" s="7">
        <v>8.2747281972942358E-2</v>
      </c>
      <c r="B5" s="7">
        <v>0.77788813729374062</v>
      </c>
      <c r="C5" s="7">
        <v>0.60766255777601097</v>
      </c>
      <c r="D5" s="7">
        <v>0.1342962002937419</v>
      </c>
      <c r="E5" s="7">
        <v>2.0061325645996466E-2</v>
      </c>
      <c r="F5" s="7">
        <v>8.370258319418027E-3</v>
      </c>
      <c r="H5" t="str">
        <f t="shared" si="0"/>
        <v>Poss Banyak</v>
      </c>
      <c r="I5" t="str">
        <f t="shared" si="1"/>
        <v>Total Pass Banyak</v>
      </c>
      <c r="J5" t="str">
        <f t="shared" si="2"/>
        <v>Pass Sukses Sedikit</v>
      </c>
      <c r="K5" t="str">
        <f t="shared" si="3"/>
        <v>Pass Rate Banyak</v>
      </c>
      <c r="L5" t="str">
        <f t="shared" si="4"/>
        <v>Total Shot Sedikit</v>
      </c>
      <c r="M5" t="str">
        <f t="shared" si="5"/>
        <v>Shot on Target Banyak</v>
      </c>
    </row>
    <row r="6" spans="1:13" x14ac:dyDescent="0.25">
      <c r="A6" s="15">
        <v>7.9075030816058073E-2</v>
      </c>
      <c r="B6" s="15">
        <v>0.76284147375491329</v>
      </c>
      <c r="C6" s="15">
        <v>0.62894267848669627</v>
      </c>
      <c r="D6" s="15">
        <v>0.1240135755145472</v>
      </c>
      <c r="E6" s="15">
        <v>2.1190040937636479E-2</v>
      </c>
      <c r="F6" s="15">
        <v>7.5934293041061297E-3</v>
      </c>
      <c r="H6" t="str">
        <f t="shared" si="0"/>
        <v>Poss Sedikit</v>
      </c>
      <c r="I6" t="str">
        <f t="shared" si="1"/>
        <v>Total Pass Sedikit</v>
      </c>
      <c r="J6" t="str">
        <f t="shared" si="2"/>
        <v>Pass Sukses Banyak</v>
      </c>
      <c r="K6" t="str">
        <f t="shared" si="3"/>
        <v>Pass Rate Sedikit</v>
      </c>
      <c r="L6" t="str">
        <f t="shared" si="4"/>
        <v>Total Shot Sedikit</v>
      </c>
      <c r="M6" t="str">
        <f t="shared" si="5"/>
        <v>Shot on Target Sedikit</v>
      </c>
    </row>
    <row r="7" spans="1:13" x14ac:dyDescent="0.25">
      <c r="A7" s="7">
        <v>7.6875090945330918E-2</v>
      </c>
      <c r="B7" s="7">
        <v>0.75598567294947194</v>
      </c>
      <c r="C7" s="7">
        <v>0.63943197187138023</v>
      </c>
      <c r="D7" s="7">
        <v>0.11350298902341528</v>
      </c>
      <c r="E7" s="7">
        <v>2.1098099221619877E-2</v>
      </c>
      <c r="F7" s="7">
        <v>7.7300598828792151E-3</v>
      </c>
      <c r="H7" t="str">
        <f t="shared" si="0"/>
        <v>Poss Sedikit</v>
      </c>
      <c r="I7" t="str">
        <f t="shared" si="1"/>
        <v>Total Pass Sedikit</v>
      </c>
      <c r="J7" t="str">
        <f t="shared" si="2"/>
        <v>Pass Sukses Banyak</v>
      </c>
      <c r="K7" t="str">
        <f t="shared" si="3"/>
        <v>Pass Rate Sedikit</v>
      </c>
      <c r="L7" t="str">
        <f t="shared" si="4"/>
        <v>Total Shot Sedikit</v>
      </c>
      <c r="M7" t="str">
        <f t="shared" si="5"/>
        <v>Shot on Target Sedikit</v>
      </c>
    </row>
    <row r="8" spans="1:13" x14ac:dyDescent="0.25">
      <c r="A8" s="7">
        <v>8.1213444026327908E-2</v>
      </c>
      <c r="B8" s="7">
        <v>0.78734559827124295</v>
      </c>
      <c r="C8" s="7">
        <v>0.59348286019239627</v>
      </c>
      <c r="D8" s="7">
        <v>0.14142344087407135</v>
      </c>
      <c r="E8" s="7">
        <v>2.5788392072360122E-2</v>
      </c>
      <c r="F8" s="7">
        <v>9.2958157470135316E-3</v>
      </c>
      <c r="H8" t="str">
        <f t="shared" si="0"/>
        <v>Poss Banyak</v>
      </c>
      <c r="I8" t="str">
        <f t="shared" si="1"/>
        <v>Total Pass Banyak</v>
      </c>
      <c r="J8" t="str">
        <f t="shared" si="2"/>
        <v>Pass Sukses Sedikit</v>
      </c>
      <c r="K8" t="str">
        <f t="shared" si="3"/>
        <v>Pass Rate Banyak</v>
      </c>
      <c r="L8" t="str">
        <f t="shared" si="4"/>
        <v>Total Shot Banyak</v>
      </c>
      <c r="M8" t="str">
        <f t="shared" si="5"/>
        <v>Shot on Target Banyak</v>
      </c>
    </row>
    <row r="9" spans="1:13" x14ac:dyDescent="0.25">
      <c r="A9" s="7">
        <v>8.1376533018528138E-2</v>
      </c>
      <c r="B9" s="7">
        <v>0.78302657543503951</v>
      </c>
      <c r="C9" s="7">
        <v>0.59723253479814264</v>
      </c>
      <c r="D9" s="7">
        <v>0.14991761927969244</v>
      </c>
      <c r="E9" s="7">
        <v>2.1208169802126059E-2</v>
      </c>
      <c r="F9" s="7">
        <v>7.540682596311488E-3</v>
      </c>
      <c r="H9" t="str">
        <f t="shared" si="0"/>
        <v>Poss Banyak</v>
      </c>
      <c r="I9" t="str">
        <f t="shared" si="1"/>
        <v>Total Pass Banyak</v>
      </c>
      <c r="J9" t="str">
        <f t="shared" si="2"/>
        <v>Pass Sukses Sedikit</v>
      </c>
      <c r="K9" t="str">
        <f t="shared" si="3"/>
        <v>Pass Rate Banyak</v>
      </c>
      <c r="L9" t="str">
        <f t="shared" si="4"/>
        <v>Total Shot Sedikit</v>
      </c>
      <c r="M9" t="str">
        <f t="shared" si="5"/>
        <v>Shot on Target Sedikit</v>
      </c>
    </row>
    <row r="10" spans="1:13" x14ac:dyDescent="0.25">
      <c r="A10" s="7">
        <v>7.6916139188358795E-2</v>
      </c>
      <c r="B10" s="7">
        <v>0.76501737028582628</v>
      </c>
      <c r="C10" s="7">
        <v>0.6273738865620464</v>
      </c>
      <c r="D10" s="7">
        <v>0.12014873966606467</v>
      </c>
      <c r="E10" s="7">
        <v>2.0177899555455656E-2</v>
      </c>
      <c r="F10" s="7">
        <v>6.700147069277981E-3</v>
      </c>
      <c r="H10" t="str">
        <f t="shared" si="0"/>
        <v>Poss Sedikit</v>
      </c>
      <c r="I10" t="str">
        <f t="shared" si="1"/>
        <v>Total Pass Sedikit</v>
      </c>
      <c r="J10" t="str">
        <f t="shared" si="2"/>
        <v>Pass Sukses Banyak</v>
      </c>
      <c r="K10" t="str">
        <f t="shared" si="3"/>
        <v>Pass Rate Sedikit</v>
      </c>
      <c r="L10" t="str">
        <f t="shared" si="4"/>
        <v>Total Shot Sedikit</v>
      </c>
      <c r="M10" t="str">
        <f t="shared" si="5"/>
        <v>Shot on Target Sedikit</v>
      </c>
    </row>
    <row r="11" spans="1:13" x14ac:dyDescent="0.25">
      <c r="A11" s="7">
        <v>8.1001968779300285E-2</v>
      </c>
      <c r="B11" s="7">
        <v>0.77613754131917101</v>
      </c>
      <c r="C11" s="7">
        <v>0.6053610169991287</v>
      </c>
      <c r="D11" s="7">
        <v>0.15356146659509343</v>
      </c>
      <c r="E11" s="7">
        <v>1.975145282815623E-2</v>
      </c>
      <c r="F11" s="7">
        <v>6.6713683754676626E-3</v>
      </c>
      <c r="H11" t="str">
        <f t="shared" si="0"/>
        <v>Poss Sedikit</v>
      </c>
      <c r="I11" t="str">
        <f t="shared" si="1"/>
        <v>Total Pass Banyak</v>
      </c>
      <c r="J11" t="str">
        <f t="shared" si="2"/>
        <v>Pass Sukses Sedikit</v>
      </c>
      <c r="K11" t="str">
        <f t="shared" si="3"/>
        <v>Pass Rate Banyak</v>
      </c>
      <c r="L11" t="str">
        <f t="shared" si="4"/>
        <v>Total Shot Sedikit</v>
      </c>
      <c r="M11" t="str">
        <f t="shared" si="5"/>
        <v>Shot on Target Sedikit</v>
      </c>
    </row>
    <row r="13" spans="1:13" x14ac:dyDescent="0.25">
      <c r="H13">
        <f>COUNTIF(H2:H11,"Poss Sedikit")/COUNTA(H2:H11)*100</f>
        <v>50</v>
      </c>
      <c r="I13">
        <f>COUNTIF(I2:I11,"Total Pass Sedikit")/COUNTA(I2:I11)*100</f>
        <v>50</v>
      </c>
      <c r="J13">
        <f>COUNTIF(J2:J11,"Pass Sukses Sedikit")/COUNTA(J2:J11)*100</f>
        <v>50</v>
      </c>
      <c r="K13">
        <f>COUNTIF(K2:K11,"Pass Rate Sedikit")/COUNTA(K2:K11)*100</f>
        <v>50</v>
      </c>
      <c r="L13">
        <f>COUNTIF(L2:L11,"Total Shot Sedikit")/COUNTA(L2:L11)*100</f>
        <v>80</v>
      </c>
      <c r="M13">
        <f>COUNTIF(M2:M11,"Shot on Target Sedikit")/COUNTA(M2:M11)*100</f>
        <v>70</v>
      </c>
    </row>
    <row r="14" spans="1:13" x14ac:dyDescent="0.25">
      <c r="H14">
        <f>COUNTIF(H2:H11,"Poss bANYAK")/COUNTA(H2:H11)*100</f>
        <v>50</v>
      </c>
      <c r="I14">
        <f>COUNTIF(I2:I11,"Total Pass Banyak")/COUNTA(I2:I11)*100</f>
        <v>50</v>
      </c>
      <c r="J14">
        <v>50</v>
      </c>
      <c r="K14">
        <v>50</v>
      </c>
      <c r="L14">
        <v>20</v>
      </c>
      <c r="M14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917A-D94B-45DD-B35E-B5249582711D}">
  <dimension ref="A1:Z761"/>
  <sheetViews>
    <sheetView topLeftCell="I1" workbookViewId="0">
      <selection activeCell="Q2" sqref="Q2"/>
    </sheetView>
  </sheetViews>
  <sheetFormatPr defaultRowHeight="15" x14ac:dyDescent="0.25"/>
  <cols>
    <col min="17" max="17" width="16.42578125" bestFit="1" customWidth="1"/>
    <col min="18" max="18" width="24.140625" bestFit="1" customWidth="1"/>
    <col min="19" max="19" width="23.140625" bestFit="1" customWidth="1"/>
    <col min="20" max="20" width="24.7109375" bestFit="1" customWidth="1"/>
    <col min="21" max="21" width="21.5703125" bestFit="1" customWidth="1"/>
    <col min="22" max="22" width="21.140625" bestFit="1" customWidth="1"/>
    <col min="23" max="23" width="12.85546875" bestFit="1" customWidth="1"/>
    <col min="24" max="24" width="14.28515625" bestFit="1" customWidth="1"/>
    <col min="25" max="25" width="18.85546875" bestFit="1" customWidth="1"/>
    <col min="26" max="26" width="16.140625" bestFit="1" customWidth="1"/>
  </cols>
  <sheetData>
    <row r="1" spans="1:26" x14ac:dyDescent="0.25">
      <c r="A1" s="1" t="s">
        <v>3</v>
      </c>
      <c r="B1" s="1" t="s">
        <v>5</v>
      </c>
      <c r="C1" s="1" t="s">
        <v>7</v>
      </c>
      <c r="D1" s="1" t="s">
        <v>9</v>
      </c>
      <c r="E1" s="1" t="s">
        <v>11</v>
      </c>
      <c r="F1" s="1" t="s">
        <v>13</v>
      </c>
      <c r="G1" s="1" t="s">
        <v>15</v>
      </c>
      <c r="H1" s="1" t="s">
        <v>16</v>
      </c>
      <c r="I1" s="1" t="s">
        <v>18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27</v>
      </c>
      <c r="O1" s="1" t="s">
        <v>29</v>
      </c>
      <c r="P1">
        <f>MAX(J2:J761)</f>
        <v>37</v>
      </c>
      <c r="Q1" s="6">
        <v>1.4174999999999991</v>
      </c>
      <c r="R1" s="6">
        <v>50</v>
      </c>
      <c r="S1" s="6">
        <v>486.73026315789474</v>
      </c>
      <c r="T1" s="6">
        <v>396.24605263157895</v>
      </c>
      <c r="U1" s="6">
        <v>12.95921052631579</v>
      </c>
      <c r="V1" s="6">
        <v>4.55</v>
      </c>
      <c r="W1" s="6">
        <v>11.032894736842104</v>
      </c>
      <c r="X1" s="6">
        <v>5.1486842105263158</v>
      </c>
      <c r="Y1" s="6">
        <v>2.0249999999999999</v>
      </c>
      <c r="Z1" s="6">
        <v>6.8421052631578952E-2</v>
      </c>
    </row>
    <row r="2" spans="1:26" x14ac:dyDescent="0.25">
      <c r="A2" t="s">
        <v>33</v>
      </c>
      <c r="B2">
        <v>2.4</v>
      </c>
      <c r="C2">
        <v>55</v>
      </c>
      <c r="D2">
        <v>524</v>
      </c>
      <c r="E2">
        <v>430</v>
      </c>
      <c r="F2">
        <v>1</v>
      </c>
      <c r="G2" t="s">
        <v>35</v>
      </c>
      <c r="H2">
        <v>0</v>
      </c>
      <c r="I2" t="s">
        <v>36</v>
      </c>
      <c r="J2">
        <v>14</v>
      </c>
      <c r="K2">
        <v>5</v>
      </c>
      <c r="L2">
        <v>12</v>
      </c>
      <c r="M2">
        <v>7</v>
      </c>
      <c r="N2">
        <v>2</v>
      </c>
      <c r="O2">
        <v>0</v>
      </c>
      <c r="P2">
        <f>MIN(J2:J761)</f>
        <v>1</v>
      </c>
      <c r="Q2" t="str">
        <f>_xlfn.LET(
 _xlpm.x,B2,
 _xlpm.min,MIN($B$2:$B$761),
 _xlpm.max,MAX($B$2:$B$761),
 _xlpm.persen,(_xlpm.x-_xlpm.min)/(_xlpm.max-_xlpm.min)*100,
 IF(_xlpm.persen&lt;=25,"xG Sangat Sedikit",
   IF(_xlpm.persen&lt;=50,"xG Cukup Sedikit",
     IF(_xlpm.persen&lt;=75,"xG Cukup Banyak",
       "xG Sangat Banyak"))))</f>
        <v>xG Cukup Sedikit</v>
      </c>
      <c r="R2" t="str">
        <f>_xlfn.LET(
 _xlpm.x,C2,
 _xlpm.min,MIN($C$2:$C$761),
 _xlpm.max,MAX($C$2:$C$761),
 _xlpm.persen,(_xlpm.x-_xlpm.min)/(_xlpm.max-_xlpm.min)*100,
 IF(_xlpm.persen&lt;=25,"Possession Sangat Sedikit",
   IF(_xlpm.persen&lt;=50,"Possession Cukup Sedikit",
     IF(_xlpm.persen&lt;=75,"Possession Cukup Banyak",
       "Possession Sangat Banyak"))))</f>
        <v>Possession Cukup Banyak</v>
      </c>
      <c r="S2" t="str">
        <f>_xlfn.LET(
 _xlpm.x,D2,
 _xlpm.min,MIN($D$2:$D$761),
 _xlpm.max,MAX($D$2:$D$761),
 _xlpm.persen,(_xlpm.x-_xlpm.min)/(_xlpm.max-_xlpm.min)*100,
 IF(_xlpm.persen&lt;=25,"Total Pass Sangat Sedikit",
   IF(_xlpm.persen&lt;=50,"Total Pass Cukup Sedikit",
     IF(_xlpm.persen&lt;=75,"Total Pass Cukup Banyak",
       "Total Pass Sangat Banyak"))))</f>
        <v>Total Pass Cukup Banyak</v>
      </c>
      <c r="T2" t="str">
        <f>_xlfn.LET(
 _xlpm.x,E2,
 _xlpm.min,MIN($E$2:$E$761),
 _xlpm.max,MAX($E$2:$E$761),
 _xlpm.persen,(_xlpm.x-_xlpm.min)/(_xlpm.max-_xlpm.min)*100,
 IF(_xlpm.persen&lt;=25,"Pass Sukses Sangat Sedikit",
   IF(_xlpm.persen&lt;=50,"Pass Sukses Cukup Sedikit",
     IF(_xlpm.persen&lt;=75,"Pass Sukses Cukup Banyak",
       "Pass Sukses Sangat Banyak"))))</f>
        <v>Pass Sukses Cukup Sedikit</v>
      </c>
      <c r="U2" t="str">
        <f>_xlfn.LET(
 _xlpm.x,J2,
 _xlpm.min,MIN($J$2:$J$761),
 _xlpm.max,MAX($J$2:$J$761),
 _xlpm.persen,(_xlpm.x-_xlpm.min)/(_xlpm.max-_xlpm.min)*100,
 IF(_xlpm.persen&lt;=25,"Total Shot Sangat Sedikit",
   IF(_xlpm.persen&lt;=50,"Total Shot Cukup Sedikit",
     IF(_xlpm.persen&lt;=75,"Total Shot Cukup Banyak",
       "Total Shot Sangat Banyak"))))</f>
        <v>Total Shot Cukup Sedikit</v>
      </c>
      <c r="V2" t="str">
        <f>IF(K2&gt;$V$1,"Shot on Target Tinggi",IF(K2&gt;($V$1/5*4),"Shot on Target Normal","Shot on Target Rendah"))</f>
        <v>Shot on Target Tinggi</v>
      </c>
      <c r="W2" t="str">
        <f>IF(L2&gt;$W$1,"Fouls Tinggi",IF(L2&gt;($W$1/5*4),"Fouls Normal","Fouls Rendah"))</f>
        <v>Fouls Tinggi</v>
      </c>
      <c r="X2" t="str">
        <f>IF(M2&gt;$X$1,"Corner Tinggi",IF(M2&gt;($X$1/5*4),"Corner Normal","Corner Rendah"))</f>
        <v>Corner Tinggi</v>
      </c>
      <c r="Y2" t="str">
        <f>IF(N2&lt;$Y$1,"Yellow Card Rendah","Yellow Card Tinggi")</f>
        <v>Yellow Card Rendah</v>
      </c>
      <c r="Z2" t="str">
        <f>IF(O2&lt;$Z$1,"Red Card Rendah","Red Card Tinggi")</f>
        <v>Red Card Rendah</v>
      </c>
    </row>
    <row r="3" spans="1:26" x14ac:dyDescent="0.25">
      <c r="A3" t="s">
        <v>38</v>
      </c>
      <c r="B3">
        <v>0.5</v>
      </c>
      <c r="C3">
        <v>38</v>
      </c>
      <c r="D3">
        <v>381</v>
      </c>
      <c r="E3">
        <v>290</v>
      </c>
      <c r="F3">
        <v>0</v>
      </c>
      <c r="G3" t="s">
        <v>40</v>
      </c>
      <c r="H3">
        <v>0</v>
      </c>
      <c r="I3" t="s">
        <v>36</v>
      </c>
      <c r="J3">
        <v>7</v>
      </c>
      <c r="K3">
        <v>2</v>
      </c>
      <c r="L3">
        <v>9</v>
      </c>
      <c r="M3">
        <v>2</v>
      </c>
      <c r="N3">
        <v>3</v>
      </c>
      <c r="O3">
        <v>0</v>
      </c>
      <c r="Q3" t="str">
        <f t="shared" ref="Q3:Q66" si="0">_xlfn.LET(
 _xlpm.x,B3,
 _xlpm.min,MIN($B$2:$B$761),
 _xlpm.max,MAX($B$2:$B$761),
 _xlpm.persen,(_xlpm.x-_xlpm.min)/(_xlpm.max-_xlpm.min)*100,
 IF(_xlpm.persen&lt;=25,"xG Sangat Sedikit",
   IF(_xlpm.persen&lt;=50,"xG Cukup Sedikit",
     IF(_xlpm.persen&lt;=75,"xG Cukup Banyak",
       "xG Sangat Banyak"))))</f>
        <v>xG Sangat Sedikit</v>
      </c>
      <c r="R3" t="str">
        <f t="shared" ref="R3:R66" si="1">_xlfn.LET(
 _xlpm.x,C3,
 _xlpm.min,MIN($C$2:$C$761),
 _xlpm.max,MAX($C$2:$C$761),
 _xlpm.persen,(_xlpm.x-_xlpm.min)/(_xlpm.max-_xlpm.min)*100,
 IF(_xlpm.persen&lt;=25,"Possession Sangat Sedikit",
   IF(_xlpm.persen&lt;=50,"Possession Cukup Sedikit",
     IF(_xlpm.persen&lt;=75,"Possession Cukup Banyak",
       "Possession Sangat Banyak"))))</f>
        <v>Possession Cukup Sedikit</v>
      </c>
      <c r="S3" t="str">
        <f t="shared" ref="S3:S66" si="2">_xlfn.LET(
 _xlpm.x,D3,
 _xlpm.min,MIN($D$2:$D$761),
 _xlpm.max,MAX($D$2:$D$761),
 _xlpm.persen,(_xlpm.x-_xlpm.min)/(_xlpm.max-_xlpm.min)*100,
 IF(_xlpm.persen&lt;=25,"Total Pass Sangat Sedikit",
   IF(_xlpm.persen&lt;=50,"Total Pass Cukup Sedikit",
     IF(_xlpm.persen&lt;=75,"Total Pass Cukup Banyak",
       "Total Pass Sangat Banyak"))))</f>
        <v>Total Pass Cukup Sedikit</v>
      </c>
      <c r="T3" t="str">
        <f t="shared" ref="T3:T66" si="3">_xlfn.LET(
 _xlpm.x,E3,
 _xlpm.min,MIN($E$2:$E$761),
 _xlpm.max,MAX($E$2:$E$761),
 _xlpm.persen,(_xlpm.x-_xlpm.min)/(_xlpm.max-_xlpm.min)*100,
 IF(_xlpm.persen&lt;=25,"Pass Sukses Sangat Sedikit",
   IF(_xlpm.persen&lt;=50,"Pass Sukses Cukup Sedikit",
     IF(_xlpm.persen&lt;=75,"Pass Sukses Cukup Banyak",
       "Pass Sukses Sangat Banyak"))))</f>
        <v>Pass Sukses Cukup Sedikit</v>
      </c>
      <c r="U3" t="str">
        <f t="shared" ref="U3:U66" si="4">_xlfn.LET(
 _xlpm.x,J3,
 _xlpm.min,MIN($J$2:$J$761),
 _xlpm.max,MAX($J$2:$J$761),
 _xlpm.persen,(_xlpm.x-_xlpm.min)/(_xlpm.max-_xlpm.min)*100,
 IF(_xlpm.persen&lt;=25,"Total Shot Sangat Sedikit",
   IF(_xlpm.persen&lt;=50,"Total Shot Cukup Sedikit",
     IF(_xlpm.persen&lt;=75,"Total Shot Cukup Banyak",
       "Total Shot Sangat Banyak"))))</f>
        <v>Total Shot Sangat Sedikit</v>
      </c>
      <c r="V3" t="str">
        <f>IF(K3&gt;$V$1,"Shot on Target Tinggi",IF(K3&gt;($V$1/5*4),"Shot on Target Normal","Shot on Target Rendah"))</f>
        <v>Shot on Target Rendah</v>
      </c>
      <c r="W3" t="str">
        <f>IF(L3&gt;$W$1,"Fouls Tinggi",IF(L3&gt;($W$1/5*4),"Fouls Normal","Fouls Rendah"))</f>
        <v>Fouls Normal</v>
      </c>
      <c r="X3" t="str">
        <f>IF(M3&gt;$X$1,"Corner Tinggi",IF(M3&gt;($X$1/5*4),"Corner Normal","Corner Rendah"))</f>
        <v>Corner Rendah</v>
      </c>
      <c r="Y3" t="str">
        <f t="shared" ref="Y3:Y66" si="5">IF(N3&lt;$Y$1,"Yellow Card Rendah","Yellow Card Tinggi")</f>
        <v>Yellow Card Tinggi</v>
      </c>
      <c r="Z3" t="str">
        <f t="shared" ref="Z3:Z66" si="6">IF(O3&lt;$Z$1,"Red Card Rendah","Red Card Tinggi")</f>
        <v>Red Card Rendah</v>
      </c>
    </row>
    <row r="4" spans="1:26" x14ac:dyDescent="0.25">
      <c r="A4" t="s">
        <v>42</v>
      </c>
      <c r="B4">
        <v>1.2</v>
      </c>
      <c r="C4">
        <v>53</v>
      </c>
      <c r="D4">
        <v>458</v>
      </c>
      <c r="E4">
        <v>382</v>
      </c>
      <c r="F4">
        <v>2</v>
      </c>
      <c r="G4" t="s">
        <v>35</v>
      </c>
      <c r="H4">
        <v>1</v>
      </c>
      <c r="I4" t="s">
        <v>35</v>
      </c>
      <c r="J4">
        <v>18</v>
      </c>
      <c r="K4">
        <v>6</v>
      </c>
      <c r="L4">
        <v>17</v>
      </c>
      <c r="M4">
        <v>8</v>
      </c>
      <c r="N4">
        <v>2</v>
      </c>
      <c r="O4">
        <v>0</v>
      </c>
      <c r="Q4" t="str">
        <f t="shared" si="0"/>
        <v>xG Sangat Sedikit</v>
      </c>
      <c r="R4" t="str">
        <f t="shared" si="1"/>
        <v>Possession Cukup Banyak</v>
      </c>
      <c r="S4" t="str">
        <f t="shared" si="2"/>
        <v>Total Pass Cukup Sedikit</v>
      </c>
      <c r="T4" t="str">
        <f t="shared" si="3"/>
        <v>Pass Sukses Cukup Sedikit</v>
      </c>
      <c r="U4" t="str">
        <f t="shared" si="4"/>
        <v>Total Shot Cukup Sedikit</v>
      </c>
      <c r="V4" t="str">
        <f t="shared" ref="V4:V67" si="7">IF(K4&gt;$V$1,"Shot on Target Tinggi",IF(K4&gt;($V$1/5*4),"Shot on Target Normal","Shot on Target Rendah"))</f>
        <v>Shot on Target Tinggi</v>
      </c>
      <c r="W4" t="str">
        <f t="shared" ref="W4:W67" si="8">IF(L4&gt;$W$1,"Fouls Tinggi",IF(L4&gt;($W$1/5*4),"Fouls Normal","Fouls Rendah"))</f>
        <v>Fouls Tinggi</v>
      </c>
      <c r="X4" t="str">
        <f t="shared" ref="X4:X67" si="9">IF(M4&gt;$X$1,"Corner Tinggi",IF(M4&gt;($X$1/5*4),"Corner Normal","Corner Rendah"))</f>
        <v>Corner Tinggi</v>
      </c>
      <c r="Y4" t="str">
        <f t="shared" si="5"/>
        <v>Yellow Card Rendah</v>
      </c>
      <c r="Z4" t="str">
        <f t="shared" si="6"/>
        <v>Red Card Rendah</v>
      </c>
    </row>
    <row r="5" spans="1:26" x14ac:dyDescent="0.25">
      <c r="A5" t="s">
        <v>44</v>
      </c>
      <c r="B5">
        <v>0.5</v>
      </c>
      <c r="C5">
        <v>40</v>
      </c>
      <c r="D5">
        <v>399</v>
      </c>
      <c r="E5">
        <v>298</v>
      </c>
      <c r="F5">
        <v>0</v>
      </c>
      <c r="G5" t="s">
        <v>40</v>
      </c>
      <c r="H5">
        <v>0</v>
      </c>
      <c r="I5" t="s">
        <v>40</v>
      </c>
      <c r="J5">
        <v>9</v>
      </c>
      <c r="K5">
        <v>1</v>
      </c>
      <c r="L5">
        <v>8</v>
      </c>
      <c r="M5">
        <v>1</v>
      </c>
      <c r="N5">
        <v>1</v>
      </c>
      <c r="O5">
        <v>1</v>
      </c>
      <c r="Q5" t="str">
        <f t="shared" si="0"/>
        <v>xG Sangat Sedikit</v>
      </c>
      <c r="R5" t="str">
        <f t="shared" si="1"/>
        <v>Possession Cukup Sedikit</v>
      </c>
      <c r="S5" t="str">
        <f t="shared" si="2"/>
        <v>Total Pass Cukup Sedikit</v>
      </c>
      <c r="T5" t="str">
        <f t="shared" si="3"/>
        <v>Pass Sukses Cukup Sedikit</v>
      </c>
      <c r="U5" t="str">
        <f t="shared" si="4"/>
        <v>Total Shot Sangat Sedikit</v>
      </c>
      <c r="V5" t="str">
        <f t="shared" si="7"/>
        <v>Shot on Target Rendah</v>
      </c>
      <c r="W5" t="str">
        <f t="shared" si="8"/>
        <v>Fouls Rendah</v>
      </c>
      <c r="X5" t="str">
        <f t="shared" si="9"/>
        <v>Corner Rendah</v>
      </c>
      <c r="Y5" t="str">
        <f t="shared" si="5"/>
        <v>Yellow Card Rendah</v>
      </c>
      <c r="Z5" t="str">
        <f t="shared" si="6"/>
        <v>Red Card Tinggi</v>
      </c>
    </row>
    <row r="6" spans="1:26" x14ac:dyDescent="0.25">
      <c r="A6" t="s">
        <v>46</v>
      </c>
      <c r="B6">
        <v>0.3</v>
      </c>
      <c r="C6">
        <v>23</v>
      </c>
      <c r="D6">
        <v>207</v>
      </c>
      <c r="E6">
        <v>128</v>
      </c>
      <c r="F6">
        <v>1</v>
      </c>
      <c r="G6" t="s">
        <v>35</v>
      </c>
      <c r="H6">
        <v>1</v>
      </c>
      <c r="I6" t="s">
        <v>35</v>
      </c>
      <c r="J6">
        <v>3</v>
      </c>
      <c r="K6">
        <v>1</v>
      </c>
      <c r="L6">
        <v>15</v>
      </c>
      <c r="M6">
        <v>3</v>
      </c>
      <c r="N6">
        <v>2</v>
      </c>
      <c r="O6">
        <v>1</v>
      </c>
      <c r="Q6" t="str">
        <f t="shared" si="0"/>
        <v>xG Sangat Sedikit</v>
      </c>
      <c r="R6" t="str">
        <f t="shared" si="1"/>
        <v>Possession Sangat Sedikit</v>
      </c>
      <c r="S6" t="str">
        <f t="shared" si="2"/>
        <v>Total Pass Sangat Sedikit</v>
      </c>
      <c r="T6" t="str">
        <f t="shared" si="3"/>
        <v>Pass Sukses Sangat Sedikit</v>
      </c>
      <c r="U6" t="str">
        <f t="shared" si="4"/>
        <v>Total Shot Sangat Sedikit</v>
      </c>
      <c r="V6" t="str">
        <f t="shared" si="7"/>
        <v>Shot on Target Rendah</v>
      </c>
      <c r="W6" t="str">
        <f t="shared" si="8"/>
        <v>Fouls Tinggi</v>
      </c>
      <c r="X6" t="str">
        <f t="shared" si="9"/>
        <v>Corner Rendah</v>
      </c>
      <c r="Y6" t="str">
        <f t="shared" si="5"/>
        <v>Yellow Card Rendah</v>
      </c>
      <c r="Z6" t="str">
        <f t="shared" si="6"/>
        <v>Red Card Tinggi</v>
      </c>
    </row>
    <row r="7" spans="1:26" x14ac:dyDescent="0.25">
      <c r="A7" t="s">
        <v>48</v>
      </c>
      <c r="B7">
        <v>1.3</v>
      </c>
      <c r="C7">
        <v>53</v>
      </c>
      <c r="D7">
        <v>543</v>
      </c>
      <c r="E7">
        <v>420</v>
      </c>
      <c r="F7">
        <v>1</v>
      </c>
      <c r="G7" t="s">
        <v>36</v>
      </c>
      <c r="H7">
        <v>1</v>
      </c>
      <c r="I7" t="s">
        <v>35</v>
      </c>
      <c r="J7">
        <v>14</v>
      </c>
      <c r="K7">
        <v>8</v>
      </c>
      <c r="L7">
        <v>17</v>
      </c>
      <c r="M7">
        <v>2</v>
      </c>
      <c r="N7">
        <v>1</v>
      </c>
      <c r="O7">
        <v>0</v>
      </c>
      <c r="Q7" t="str">
        <f t="shared" si="0"/>
        <v>xG Sangat Sedikit</v>
      </c>
      <c r="R7" t="str">
        <f t="shared" si="1"/>
        <v>Possession Cukup Banyak</v>
      </c>
      <c r="S7" t="str">
        <f t="shared" si="2"/>
        <v>Total Pass Cukup Banyak</v>
      </c>
      <c r="T7" t="str">
        <f t="shared" si="3"/>
        <v>Pass Sukses Cukup Sedikit</v>
      </c>
      <c r="U7" t="str">
        <f t="shared" si="4"/>
        <v>Total Shot Cukup Sedikit</v>
      </c>
      <c r="V7" t="str">
        <f t="shared" si="7"/>
        <v>Shot on Target Tinggi</v>
      </c>
      <c r="W7" t="str">
        <f t="shared" si="8"/>
        <v>Fouls Tinggi</v>
      </c>
      <c r="X7" t="str">
        <f t="shared" si="9"/>
        <v>Corner Rendah</v>
      </c>
      <c r="Y7" t="str">
        <f t="shared" si="5"/>
        <v>Yellow Card Rendah</v>
      </c>
      <c r="Z7" t="str">
        <f t="shared" si="6"/>
        <v>Red Card Rendah</v>
      </c>
    </row>
    <row r="8" spans="1:26" x14ac:dyDescent="0.25">
      <c r="A8" t="s">
        <v>51</v>
      </c>
      <c r="B8">
        <v>2.2999999999999998</v>
      </c>
      <c r="C8">
        <v>52</v>
      </c>
      <c r="D8">
        <v>464</v>
      </c>
      <c r="E8">
        <v>377</v>
      </c>
      <c r="F8">
        <v>1</v>
      </c>
      <c r="G8" t="s">
        <v>40</v>
      </c>
      <c r="H8">
        <v>1</v>
      </c>
      <c r="I8" t="s">
        <v>36</v>
      </c>
      <c r="J8">
        <v>14</v>
      </c>
      <c r="K8">
        <v>3</v>
      </c>
      <c r="L8">
        <v>18</v>
      </c>
      <c r="M8">
        <v>5</v>
      </c>
      <c r="N8">
        <v>1</v>
      </c>
      <c r="O8">
        <v>0</v>
      </c>
      <c r="Q8" t="str">
        <f t="shared" si="0"/>
        <v>xG Cukup Sedikit</v>
      </c>
      <c r="R8" t="str">
        <f t="shared" si="1"/>
        <v>Possession Cukup Banyak</v>
      </c>
      <c r="S8" t="str">
        <f t="shared" si="2"/>
        <v>Total Pass Cukup Sedikit</v>
      </c>
      <c r="T8" t="str">
        <f t="shared" si="3"/>
        <v>Pass Sukses Cukup Sedikit</v>
      </c>
      <c r="U8" t="str">
        <f t="shared" si="4"/>
        <v>Total Shot Cukup Sedikit</v>
      </c>
      <c r="V8" t="str">
        <f t="shared" si="7"/>
        <v>Shot on Target Rendah</v>
      </c>
      <c r="W8" t="str">
        <f t="shared" si="8"/>
        <v>Fouls Tinggi</v>
      </c>
      <c r="X8" t="str">
        <f t="shared" si="9"/>
        <v>Corner Normal</v>
      </c>
      <c r="Y8" t="str">
        <f t="shared" si="5"/>
        <v>Yellow Card Rendah</v>
      </c>
      <c r="Z8" t="str">
        <f t="shared" si="6"/>
        <v>Red Card Rendah</v>
      </c>
    </row>
    <row r="9" spans="1:26" x14ac:dyDescent="0.25">
      <c r="A9" t="s">
        <v>54</v>
      </c>
      <c r="B9">
        <v>1.6</v>
      </c>
      <c r="C9">
        <v>46</v>
      </c>
      <c r="D9">
        <v>440</v>
      </c>
      <c r="E9">
        <v>331</v>
      </c>
      <c r="F9">
        <v>2</v>
      </c>
      <c r="G9" t="s">
        <v>35</v>
      </c>
      <c r="H9">
        <v>1</v>
      </c>
      <c r="I9" t="s">
        <v>35</v>
      </c>
      <c r="J9">
        <v>9</v>
      </c>
      <c r="K9">
        <v>5</v>
      </c>
      <c r="L9">
        <v>6</v>
      </c>
      <c r="M9">
        <v>4</v>
      </c>
      <c r="N9">
        <v>1</v>
      </c>
      <c r="O9">
        <v>0</v>
      </c>
      <c r="Q9" t="str">
        <f t="shared" si="0"/>
        <v>xG Cukup Sedikit</v>
      </c>
      <c r="R9" t="str">
        <f t="shared" si="1"/>
        <v>Possession Cukup Sedikit</v>
      </c>
      <c r="S9" t="str">
        <f t="shared" si="2"/>
        <v>Total Pass Cukup Sedikit</v>
      </c>
      <c r="T9" t="str">
        <f t="shared" si="3"/>
        <v>Pass Sukses Cukup Sedikit</v>
      </c>
      <c r="U9" t="str">
        <f t="shared" si="4"/>
        <v>Total Shot Sangat Sedikit</v>
      </c>
      <c r="V9" t="str">
        <f t="shared" si="7"/>
        <v>Shot on Target Tinggi</v>
      </c>
      <c r="W9" t="str">
        <f t="shared" si="8"/>
        <v>Fouls Rendah</v>
      </c>
      <c r="X9" t="str">
        <f t="shared" si="9"/>
        <v>Corner Rendah</v>
      </c>
      <c r="Y9" t="str">
        <f t="shared" si="5"/>
        <v>Yellow Card Rendah</v>
      </c>
      <c r="Z9" t="str">
        <f t="shared" si="6"/>
        <v>Red Card Rendah</v>
      </c>
    </row>
    <row r="10" spans="1:26" x14ac:dyDescent="0.25">
      <c r="A10" t="s">
        <v>57</v>
      </c>
      <c r="B10">
        <v>1</v>
      </c>
      <c r="C10">
        <v>48</v>
      </c>
      <c r="D10">
        <v>531</v>
      </c>
      <c r="E10">
        <v>461</v>
      </c>
      <c r="F10">
        <v>0</v>
      </c>
      <c r="G10" t="s">
        <v>40</v>
      </c>
      <c r="H10">
        <v>0</v>
      </c>
      <c r="I10" t="s">
        <v>40</v>
      </c>
      <c r="J10">
        <v>10</v>
      </c>
      <c r="K10">
        <v>3</v>
      </c>
      <c r="L10">
        <v>12</v>
      </c>
      <c r="M10">
        <v>4</v>
      </c>
      <c r="N10">
        <v>1</v>
      </c>
      <c r="O10">
        <v>0</v>
      </c>
      <c r="Q10" t="str">
        <f t="shared" si="0"/>
        <v>xG Sangat Sedikit</v>
      </c>
      <c r="R10" t="str">
        <f t="shared" si="1"/>
        <v>Possession Cukup Sedikit</v>
      </c>
      <c r="S10" t="str">
        <f t="shared" si="2"/>
        <v>Total Pass Cukup Banyak</v>
      </c>
      <c r="T10" t="str">
        <f t="shared" si="3"/>
        <v>Pass Sukses Cukup Banyak</v>
      </c>
      <c r="U10" t="str">
        <f t="shared" si="4"/>
        <v>Total Shot Sangat Sedikit</v>
      </c>
      <c r="V10" t="str">
        <f t="shared" si="7"/>
        <v>Shot on Target Rendah</v>
      </c>
      <c r="W10" t="str">
        <f t="shared" si="8"/>
        <v>Fouls Tinggi</v>
      </c>
      <c r="X10" t="str">
        <f t="shared" si="9"/>
        <v>Corner Rendah</v>
      </c>
      <c r="Y10" t="str">
        <f t="shared" si="5"/>
        <v>Yellow Card Rendah</v>
      </c>
      <c r="Z10" t="str">
        <f t="shared" si="6"/>
        <v>Red Card Rendah</v>
      </c>
    </row>
    <row r="11" spans="1:26" x14ac:dyDescent="0.25">
      <c r="A11" t="s">
        <v>59</v>
      </c>
      <c r="B11">
        <v>1</v>
      </c>
      <c r="C11">
        <v>30</v>
      </c>
      <c r="D11">
        <v>313</v>
      </c>
      <c r="E11">
        <v>237</v>
      </c>
      <c r="F11">
        <v>1</v>
      </c>
      <c r="G11" t="s">
        <v>36</v>
      </c>
      <c r="H11">
        <v>0</v>
      </c>
      <c r="I11" t="s">
        <v>40</v>
      </c>
      <c r="J11">
        <v>7</v>
      </c>
      <c r="K11">
        <v>3</v>
      </c>
      <c r="L11">
        <v>11</v>
      </c>
      <c r="M11">
        <v>2</v>
      </c>
      <c r="N11">
        <v>1</v>
      </c>
      <c r="O11">
        <v>0</v>
      </c>
      <c r="Q11" t="str">
        <f t="shared" si="0"/>
        <v>xG Sangat Sedikit</v>
      </c>
      <c r="R11" t="str">
        <f t="shared" si="1"/>
        <v>Possession Sangat Sedikit</v>
      </c>
      <c r="S11" t="str">
        <f t="shared" si="2"/>
        <v>Total Pass Sangat Sedikit</v>
      </c>
      <c r="T11" t="str">
        <f t="shared" si="3"/>
        <v>Pass Sukses Sangat Sedikit</v>
      </c>
      <c r="U11" t="str">
        <f t="shared" si="4"/>
        <v>Total Shot Sangat Sedikit</v>
      </c>
      <c r="V11" t="str">
        <f t="shared" si="7"/>
        <v>Shot on Target Rendah</v>
      </c>
      <c r="W11" t="str">
        <f t="shared" si="8"/>
        <v>Fouls Normal</v>
      </c>
      <c r="X11" t="str">
        <f t="shared" si="9"/>
        <v>Corner Rendah</v>
      </c>
      <c r="Y11" t="str">
        <f t="shared" si="5"/>
        <v>Yellow Card Rendah</v>
      </c>
      <c r="Z11" t="str">
        <f t="shared" si="6"/>
        <v>Red Card Rendah</v>
      </c>
    </row>
    <row r="12" spans="1:26" x14ac:dyDescent="0.25">
      <c r="A12" t="s">
        <v>45</v>
      </c>
      <c r="B12">
        <v>2.1</v>
      </c>
      <c r="C12">
        <v>48</v>
      </c>
      <c r="D12">
        <v>514</v>
      </c>
      <c r="E12">
        <v>435</v>
      </c>
      <c r="F12">
        <v>2</v>
      </c>
      <c r="G12" t="s">
        <v>35</v>
      </c>
      <c r="H12">
        <v>1</v>
      </c>
      <c r="I12" t="s">
        <v>35</v>
      </c>
      <c r="J12">
        <v>14</v>
      </c>
      <c r="K12">
        <v>5</v>
      </c>
      <c r="L12">
        <v>9</v>
      </c>
      <c r="M12">
        <v>4</v>
      </c>
      <c r="N12">
        <v>1</v>
      </c>
      <c r="O12">
        <v>0</v>
      </c>
      <c r="Q12" t="str">
        <f t="shared" si="0"/>
        <v>xG Cukup Sedikit</v>
      </c>
      <c r="R12" t="str">
        <f t="shared" si="1"/>
        <v>Possession Cukup Sedikit</v>
      </c>
      <c r="S12" t="str">
        <f t="shared" si="2"/>
        <v>Total Pass Cukup Banyak</v>
      </c>
      <c r="T12" t="str">
        <f t="shared" si="3"/>
        <v>Pass Sukses Cukup Sedikit</v>
      </c>
      <c r="U12" t="str">
        <f t="shared" si="4"/>
        <v>Total Shot Cukup Sedikit</v>
      </c>
      <c r="V12" t="str">
        <f t="shared" si="7"/>
        <v>Shot on Target Tinggi</v>
      </c>
      <c r="W12" t="str">
        <f t="shared" si="8"/>
        <v>Fouls Normal</v>
      </c>
      <c r="X12" t="str">
        <f t="shared" si="9"/>
        <v>Corner Rendah</v>
      </c>
      <c r="Y12" t="str">
        <f t="shared" si="5"/>
        <v>Yellow Card Rendah</v>
      </c>
      <c r="Z12" t="str">
        <f t="shared" si="6"/>
        <v>Red Card Rendah</v>
      </c>
    </row>
    <row r="13" spans="1:26" x14ac:dyDescent="0.25">
      <c r="A13" t="s">
        <v>55</v>
      </c>
      <c r="B13">
        <v>1.3</v>
      </c>
      <c r="C13">
        <v>58</v>
      </c>
      <c r="D13">
        <v>596</v>
      </c>
      <c r="E13">
        <v>478</v>
      </c>
      <c r="F13">
        <v>0</v>
      </c>
      <c r="G13" t="s">
        <v>40</v>
      </c>
      <c r="H13">
        <v>0</v>
      </c>
      <c r="I13" t="s">
        <v>36</v>
      </c>
      <c r="J13">
        <v>14</v>
      </c>
      <c r="K13">
        <v>2</v>
      </c>
      <c r="L13">
        <v>9</v>
      </c>
      <c r="M13">
        <v>3</v>
      </c>
      <c r="N13">
        <v>1</v>
      </c>
      <c r="O13">
        <v>0</v>
      </c>
      <c r="Q13" t="str">
        <f t="shared" si="0"/>
        <v>xG Sangat Sedikit</v>
      </c>
      <c r="R13" t="str">
        <f t="shared" si="1"/>
        <v>Possession Cukup Banyak</v>
      </c>
      <c r="S13" t="str">
        <f t="shared" si="2"/>
        <v>Total Pass Cukup Banyak</v>
      </c>
      <c r="T13" t="str">
        <f t="shared" si="3"/>
        <v>Pass Sukses Cukup Banyak</v>
      </c>
      <c r="U13" t="str">
        <f t="shared" si="4"/>
        <v>Total Shot Cukup Sedikit</v>
      </c>
      <c r="V13" t="str">
        <f t="shared" si="7"/>
        <v>Shot on Target Rendah</v>
      </c>
      <c r="W13" t="str">
        <f t="shared" si="8"/>
        <v>Fouls Normal</v>
      </c>
      <c r="X13" t="str">
        <f t="shared" si="9"/>
        <v>Corner Rendah</v>
      </c>
      <c r="Y13" t="str">
        <f t="shared" si="5"/>
        <v>Yellow Card Rendah</v>
      </c>
      <c r="Z13" t="str">
        <f t="shared" si="6"/>
        <v>Red Card Rendah</v>
      </c>
    </row>
    <row r="14" spans="1:26" x14ac:dyDescent="0.25">
      <c r="A14" t="s">
        <v>34</v>
      </c>
      <c r="B14">
        <v>1.8</v>
      </c>
      <c r="C14">
        <v>54</v>
      </c>
      <c r="D14">
        <v>582</v>
      </c>
      <c r="E14">
        <v>489</v>
      </c>
      <c r="F14">
        <v>2</v>
      </c>
      <c r="G14" t="s">
        <v>35</v>
      </c>
      <c r="H14">
        <v>1</v>
      </c>
      <c r="I14" t="s">
        <v>36</v>
      </c>
      <c r="J14">
        <v>18</v>
      </c>
      <c r="K14">
        <v>6</v>
      </c>
      <c r="L14">
        <v>14</v>
      </c>
      <c r="M14">
        <v>7</v>
      </c>
      <c r="N14">
        <v>2</v>
      </c>
      <c r="O14">
        <v>0</v>
      </c>
      <c r="Q14" t="str">
        <f t="shared" si="0"/>
        <v>xG Cukup Sedikit</v>
      </c>
      <c r="R14" t="str">
        <f t="shared" si="1"/>
        <v>Possession Cukup Banyak</v>
      </c>
      <c r="S14" t="str">
        <f t="shared" si="2"/>
        <v>Total Pass Cukup Banyak</v>
      </c>
      <c r="T14" t="str">
        <f t="shared" si="3"/>
        <v>Pass Sukses Cukup Banyak</v>
      </c>
      <c r="U14" t="str">
        <f t="shared" si="4"/>
        <v>Total Shot Cukup Sedikit</v>
      </c>
      <c r="V14" t="str">
        <f t="shared" si="7"/>
        <v>Shot on Target Tinggi</v>
      </c>
      <c r="W14" t="str">
        <f t="shared" si="8"/>
        <v>Fouls Tinggi</v>
      </c>
      <c r="X14" t="str">
        <f t="shared" si="9"/>
        <v>Corner Tinggi</v>
      </c>
      <c r="Y14" t="str">
        <f t="shared" si="5"/>
        <v>Yellow Card Rendah</v>
      </c>
      <c r="Z14" t="str">
        <f t="shared" si="6"/>
        <v>Red Card Rendah</v>
      </c>
    </row>
    <row r="15" spans="1:26" x14ac:dyDescent="0.25">
      <c r="A15" t="s">
        <v>58</v>
      </c>
      <c r="B15">
        <v>3.3</v>
      </c>
      <c r="C15">
        <v>75</v>
      </c>
      <c r="D15">
        <v>796</v>
      </c>
      <c r="E15">
        <v>726</v>
      </c>
      <c r="F15">
        <v>4</v>
      </c>
      <c r="G15" t="s">
        <v>35</v>
      </c>
      <c r="H15">
        <v>3</v>
      </c>
      <c r="I15" t="s">
        <v>35</v>
      </c>
      <c r="J15">
        <v>14</v>
      </c>
      <c r="K15">
        <v>5</v>
      </c>
      <c r="L15">
        <v>4</v>
      </c>
      <c r="M15">
        <v>10</v>
      </c>
      <c r="N15">
        <v>2</v>
      </c>
      <c r="O15">
        <v>0</v>
      </c>
      <c r="Q15" t="str">
        <f t="shared" si="0"/>
        <v>xG Cukup Banyak</v>
      </c>
      <c r="R15" t="str">
        <f t="shared" si="1"/>
        <v>Possession Sangat Banyak</v>
      </c>
      <c r="S15" t="str">
        <f t="shared" si="2"/>
        <v>Total Pass Sangat Banyak</v>
      </c>
      <c r="T15" t="str">
        <f t="shared" si="3"/>
        <v>Pass Sukses Sangat Banyak</v>
      </c>
      <c r="U15" t="str">
        <f t="shared" si="4"/>
        <v>Total Shot Cukup Sedikit</v>
      </c>
      <c r="V15" t="str">
        <f t="shared" si="7"/>
        <v>Shot on Target Tinggi</v>
      </c>
      <c r="W15" t="str">
        <f t="shared" si="8"/>
        <v>Fouls Rendah</v>
      </c>
      <c r="X15" t="str">
        <f t="shared" si="9"/>
        <v>Corner Tinggi</v>
      </c>
      <c r="Y15" t="str">
        <f t="shared" si="5"/>
        <v>Yellow Card Rendah</v>
      </c>
      <c r="Z15" t="str">
        <f t="shared" si="6"/>
        <v>Red Card Rendah</v>
      </c>
    </row>
    <row r="16" spans="1:26" x14ac:dyDescent="0.25">
      <c r="A16" t="s">
        <v>47</v>
      </c>
      <c r="B16">
        <v>0.1</v>
      </c>
      <c r="C16">
        <v>64</v>
      </c>
      <c r="D16">
        <v>691</v>
      </c>
      <c r="E16">
        <v>618</v>
      </c>
      <c r="F16">
        <v>0</v>
      </c>
      <c r="G16" t="s">
        <v>40</v>
      </c>
      <c r="H16">
        <v>0</v>
      </c>
      <c r="I16" t="s">
        <v>36</v>
      </c>
      <c r="J16">
        <v>5</v>
      </c>
      <c r="K16">
        <v>1</v>
      </c>
      <c r="L16">
        <v>14</v>
      </c>
      <c r="M16">
        <v>4</v>
      </c>
      <c r="N16">
        <v>3</v>
      </c>
      <c r="O16">
        <v>0</v>
      </c>
      <c r="Q16" t="str">
        <f t="shared" si="0"/>
        <v>xG Sangat Sedikit</v>
      </c>
      <c r="R16" t="str">
        <f t="shared" si="1"/>
        <v>Possession Sangat Banyak</v>
      </c>
      <c r="S16" t="str">
        <f t="shared" si="2"/>
        <v>Total Pass Sangat Banyak</v>
      </c>
      <c r="T16" t="str">
        <f t="shared" si="3"/>
        <v>Pass Sukses Sangat Banyak</v>
      </c>
      <c r="U16" t="str">
        <f t="shared" si="4"/>
        <v>Total Shot Sangat Sedikit</v>
      </c>
      <c r="V16" t="str">
        <f t="shared" si="7"/>
        <v>Shot on Target Rendah</v>
      </c>
      <c r="W16" t="str">
        <f t="shared" si="8"/>
        <v>Fouls Tinggi</v>
      </c>
      <c r="X16" t="str">
        <f t="shared" si="9"/>
        <v>Corner Rendah</v>
      </c>
      <c r="Y16" t="str">
        <f t="shared" si="5"/>
        <v>Yellow Card Tinggi</v>
      </c>
      <c r="Z16" t="str">
        <f t="shared" si="6"/>
        <v>Red Card Rendah</v>
      </c>
    </row>
    <row r="17" spans="1:26" x14ac:dyDescent="0.25">
      <c r="A17" t="s">
        <v>60</v>
      </c>
      <c r="B17">
        <v>2.4</v>
      </c>
      <c r="C17">
        <v>70</v>
      </c>
      <c r="D17">
        <v>658</v>
      </c>
      <c r="E17">
        <v>574</v>
      </c>
      <c r="F17">
        <v>4</v>
      </c>
      <c r="G17" t="s">
        <v>35</v>
      </c>
      <c r="H17">
        <v>2</v>
      </c>
      <c r="I17" t="s">
        <v>35</v>
      </c>
      <c r="J17">
        <v>13</v>
      </c>
      <c r="K17">
        <v>7</v>
      </c>
      <c r="L17">
        <v>11</v>
      </c>
      <c r="M17">
        <v>12</v>
      </c>
      <c r="N17">
        <v>0</v>
      </c>
      <c r="O17">
        <v>0</v>
      </c>
      <c r="Q17" t="str">
        <f t="shared" si="0"/>
        <v>xG Cukup Sedikit</v>
      </c>
      <c r="R17" t="str">
        <f t="shared" si="1"/>
        <v>Possession Sangat Banyak</v>
      </c>
      <c r="S17" t="str">
        <f t="shared" si="2"/>
        <v>Total Pass Cukup Banyak</v>
      </c>
      <c r="T17" t="str">
        <f t="shared" si="3"/>
        <v>Pass Sukses Cukup Banyak</v>
      </c>
      <c r="U17" t="str">
        <f t="shared" si="4"/>
        <v>Total Shot Cukup Sedikit</v>
      </c>
      <c r="V17" t="str">
        <f t="shared" si="7"/>
        <v>Shot on Target Tinggi</v>
      </c>
      <c r="W17" t="str">
        <f t="shared" si="8"/>
        <v>Fouls Normal</v>
      </c>
      <c r="X17" t="str">
        <f t="shared" si="9"/>
        <v>Corner Tinggi</v>
      </c>
      <c r="Y17" t="str">
        <f t="shared" si="5"/>
        <v>Yellow Card Rendah</v>
      </c>
      <c r="Z17" t="str">
        <f t="shared" si="6"/>
        <v>Red Card Rendah</v>
      </c>
    </row>
    <row r="18" spans="1:26" x14ac:dyDescent="0.25">
      <c r="A18" t="s">
        <v>52</v>
      </c>
      <c r="B18">
        <v>1.2</v>
      </c>
      <c r="C18">
        <v>40</v>
      </c>
      <c r="D18">
        <v>358</v>
      </c>
      <c r="E18">
        <v>287</v>
      </c>
      <c r="F18">
        <v>0</v>
      </c>
      <c r="G18" t="s">
        <v>40</v>
      </c>
      <c r="H18">
        <v>0</v>
      </c>
      <c r="I18" t="s">
        <v>36</v>
      </c>
      <c r="J18">
        <v>11</v>
      </c>
      <c r="K18">
        <v>3</v>
      </c>
      <c r="L18">
        <v>8</v>
      </c>
      <c r="M18">
        <v>4</v>
      </c>
      <c r="N18">
        <v>1</v>
      </c>
      <c r="O18">
        <v>0</v>
      </c>
      <c r="Q18" t="str">
        <f t="shared" si="0"/>
        <v>xG Sangat Sedikit</v>
      </c>
      <c r="R18" t="str">
        <f t="shared" si="1"/>
        <v>Possession Cukup Sedikit</v>
      </c>
      <c r="S18" t="str">
        <f t="shared" si="2"/>
        <v>Total Pass Cukup Sedikit</v>
      </c>
      <c r="T18" t="str">
        <f t="shared" si="3"/>
        <v>Pass Sukses Cukup Sedikit</v>
      </c>
      <c r="U18" t="str">
        <f t="shared" si="4"/>
        <v>Total Shot Cukup Sedikit</v>
      </c>
      <c r="V18" t="str">
        <f t="shared" si="7"/>
        <v>Shot on Target Rendah</v>
      </c>
      <c r="W18" t="str">
        <f t="shared" si="8"/>
        <v>Fouls Rendah</v>
      </c>
      <c r="X18" t="str">
        <f t="shared" si="9"/>
        <v>Corner Rendah</v>
      </c>
      <c r="Y18" t="str">
        <f t="shared" si="5"/>
        <v>Yellow Card Rendah</v>
      </c>
      <c r="Z18" t="str">
        <f t="shared" si="6"/>
        <v>Red Card Rendah</v>
      </c>
    </row>
    <row r="19" spans="1:26" x14ac:dyDescent="0.25">
      <c r="A19" t="s">
        <v>49</v>
      </c>
      <c r="B19">
        <v>2.2000000000000002</v>
      </c>
      <c r="C19">
        <v>39</v>
      </c>
      <c r="D19">
        <v>359</v>
      </c>
      <c r="E19">
        <v>263</v>
      </c>
      <c r="F19">
        <v>1</v>
      </c>
      <c r="G19" t="s">
        <v>36</v>
      </c>
      <c r="H19">
        <v>1</v>
      </c>
      <c r="I19" t="s">
        <v>35</v>
      </c>
      <c r="J19">
        <v>16</v>
      </c>
      <c r="K19">
        <v>4</v>
      </c>
      <c r="L19">
        <v>19</v>
      </c>
      <c r="M19">
        <v>8</v>
      </c>
      <c r="N19">
        <v>2</v>
      </c>
      <c r="O19">
        <v>0</v>
      </c>
      <c r="Q19" t="str">
        <f t="shared" si="0"/>
        <v>xG Cukup Sedikit</v>
      </c>
      <c r="R19" t="str">
        <f t="shared" si="1"/>
        <v>Possession Cukup Sedikit</v>
      </c>
      <c r="S19" t="str">
        <f t="shared" si="2"/>
        <v>Total Pass Cukup Sedikit</v>
      </c>
      <c r="T19" t="str">
        <f t="shared" si="3"/>
        <v>Pass Sukses Sangat Sedikit</v>
      </c>
      <c r="U19" t="str">
        <f t="shared" si="4"/>
        <v>Total Shot Cukup Sedikit</v>
      </c>
      <c r="V19" t="str">
        <f t="shared" si="7"/>
        <v>Shot on Target Normal</v>
      </c>
      <c r="W19" t="str">
        <f t="shared" si="8"/>
        <v>Fouls Tinggi</v>
      </c>
      <c r="X19" t="str">
        <f t="shared" si="9"/>
        <v>Corner Tinggi</v>
      </c>
      <c r="Y19" t="str">
        <f t="shared" si="5"/>
        <v>Yellow Card Rendah</v>
      </c>
      <c r="Z19" t="str">
        <f t="shared" si="6"/>
        <v>Red Card Rendah</v>
      </c>
    </row>
    <row r="20" spans="1:26" x14ac:dyDescent="0.25">
      <c r="A20" t="s">
        <v>43</v>
      </c>
      <c r="B20">
        <v>1.9</v>
      </c>
      <c r="C20">
        <v>40</v>
      </c>
      <c r="D20">
        <v>357</v>
      </c>
      <c r="E20">
        <v>272</v>
      </c>
      <c r="F20">
        <v>2</v>
      </c>
      <c r="G20" t="s">
        <v>40</v>
      </c>
      <c r="H20">
        <v>2</v>
      </c>
      <c r="I20" t="s">
        <v>36</v>
      </c>
      <c r="J20">
        <v>12</v>
      </c>
      <c r="K20">
        <v>4</v>
      </c>
      <c r="L20">
        <v>13</v>
      </c>
      <c r="M20">
        <v>5</v>
      </c>
      <c r="N20">
        <v>2</v>
      </c>
      <c r="O20">
        <v>0</v>
      </c>
      <c r="Q20" t="str">
        <f t="shared" si="0"/>
        <v>xG Cukup Sedikit</v>
      </c>
      <c r="R20" t="str">
        <f t="shared" si="1"/>
        <v>Possession Cukup Sedikit</v>
      </c>
      <c r="S20" t="str">
        <f t="shared" si="2"/>
        <v>Total Pass Sangat Sedikit</v>
      </c>
      <c r="T20" t="str">
        <f t="shared" si="3"/>
        <v>Pass Sukses Sangat Sedikit</v>
      </c>
      <c r="U20" t="str">
        <f t="shared" si="4"/>
        <v>Total Shot Cukup Sedikit</v>
      </c>
      <c r="V20" t="str">
        <f t="shared" si="7"/>
        <v>Shot on Target Normal</v>
      </c>
      <c r="W20" t="str">
        <f t="shared" si="8"/>
        <v>Fouls Tinggi</v>
      </c>
      <c r="X20" t="str">
        <f t="shared" si="9"/>
        <v>Corner Normal</v>
      </c>
      <c r="Y20" t="str">
        <f t="shared" si="5"/>
        <v>Yellow Card Rendah</v>
      </c>
      <c r="Z20" t="str">
        <f t="shared" si="6"/>
        <v>Red Card Rendah</v>
      </c>
    </row>
    <row r="21" spans="1:26" x14ac:dyDescent="0.25">
      <c r="A21" t="s">
        <v>39</v>
      </c>
      <c r="B21">
        <v>2.5</v>
      </c>
      <c r="C21">
        <v>62</v>
      </c>
      <c r="D21">
        <v>638</v>
      </c>
      <c r="E21">
        <v>571</v>
      </c>
      <c r="F21">
        <v>2</v>
      </c>
      <c r="G21" t="s">
        <v>35</v>
      </c>
      <c r="H21">
        <v>1</v>
      </c>
      <c r="I21" t="s">
        <v>35</v>
      </c>
      <c r="J21">
        <v>19</v>
      </c>
      <c r="K21">
        <v>8</v>
      </c>
      <c r="L21">
        <v>10</v>
      </c>
      <c r="M21">
        <v>9</v>
      </c>
      <c r="N21">
        <v>2</v>
      </c>
      <c r="O21">
        <v>0</v>
      </c>
      <c r="Q21" t="str">
        <f t="shared" si="0"/>
        <v>xG Cukup Sedikit</v>
      </c>
      <c r="R21" t="str">
        <f t="shared" si="1"/>
        <v>Possession Cukup Banyak</v>
      </c>
      <c r="S21" t="str">
        <f t="shared" si="2"/>
        <v>Total Pass Cukup Banyak</v>
      </c>
      <c r="T21" t="str">
        <f t="shared" si="3"/>
        <v>Pass Sukses Cukup Banyak</v>
      </c>
      <c r="U21" t="str">
        <f t="shared" si="4"/>
        <v>Total Shot Cukup Sedikit</v>
      </c>
      <c r="V21" t="str">
        <f t="shared" si="7"/>
        <v>Shot on Target Tinggi</v>
      </c>
      <c r="W21" t="str">
        <f t="shared" si="8"/>
        <v>Fouls Normal</v>
      </c>
      <c r="X21" t="str">
        <f t="shared" si="9"/>
        <v>Corner Tinggi</v>
      </c>
      <c r="Y21" t="str">
        <f t="shared" si="5"/>
        <v>Yellow Card Rendah</v>
      </c>
      <c r="Z21" t="str">
        <f t="shared" si="6"/>
        <v>Red Card Rendah</v>
      </c>
    </row>
    <row r="22" spans="1:26" x14ac:dyDescent="0.25">
      <c r="A22" t="s">
        <v>42</v>
      </c>
      <c r="B22">
        <v>2.1</v>
      </c>
      <c r="C22">
        <v>36</v>
      </c>
      <c r="D22">
        <v>296</v>
      </c>
      <c r="E22">
        <v>215</v>
      </c>
      <c r="F22">
        <v>1</v>
      </c>
      <c r="G22" t="s">
        <v>36</v>
      </c>
      <c r="H22">
        <v>1</v>
      </c>
      <c r="I22" t="s">
        <v>35</v>
      </c>
      <c r="J22">
        <v>11</v>
      </c>
      <c r="K22">
        <v>7</v>
      </c>
      <c r="L22">
        <v>12</v>
      </c>
      <c r="M22">
        <v>3</v>
      </c>
      <c r="N22">
        <v>3</v>
      </c>
      <c r="O22">
        <v>1</v>
      </c>
      <c r="Q22" t="str">
        <f t="shared" si="0"/>
        <v>xG Cukup Sedikit</v>
      </c>
      <c r="R22" t="str">
        <f t="shared" si="1"/>
        <v>Possession Sangat Sedikit</v>
      </c>
      <c r="S22" t="str">
        <f t="shared" si="2"/>
        <v>Total Pass Sangat Sedikit</v>
      </c>
      <c r="T22" t="str">
        <f t="shared" si="3"/>
        <v>Pass Sukses Sangat Sedikit</v>
      </c>
      <c r="U22" t="str">
        <f t="shared" si="4"/>
        <v>Total Shot Cukup Sedikit</v>
      </c>
      <c r="V22" t="str">
        <f t="shared" si="7"/>
        <v>Shot on Target Tinggi</v>
      </c>
      <c r="W22" t="str">
        <f t="shared" si="8"/>
        <v>Fouls Tinggi</v>
      </c>
      <c r="X22" t="str">
        <f t="shared" si="9"/>
        <v>Corner Rendah</v>
      </c>
      <c r="Y22" t="str">
        <f t="shared" si="5"/>
        <v>Yellow Card Tinggi</v>
      </c>
      <c r="Z22" t="str">
        <f t="shared" si="6"/>
        <v>Red Card Tinggi</v>
      </c>
    </row>
    <row r="23" spans="1:26" x14ac:dyDescent="0.25">
      <c r="A23" t="s">
        <v>54</v>
      </c>
      <c r="B23">
        <v>2.8</v>
      </c>
      <c r="C23">
        <v>37</v>
      </c>
      <c r="D23">
        <v>398</v>
      </c>
      <c r="E23">
        <v>331</v>
      </c>
      <c r="F23">
        <v>3</v>
      </c>
      <c r="G23" t="s">
        <v>35</v>
      </c>
      <c r="H23">
        <v>1</v>
      </c>
      <c r="I23" t="s">
        <v>35</v>
      </c>
      <c r="J23">
        <v>20</v>
      </c>
      <c r="K23">
        <v>7</v>
      </c>
      <c r="L23">
        <v>10</v>
      </c>
      <c r="M23">
        <v>2</v>
      </c>
      <c r="N23">
        <v>2</v>
      </c>
      <c r="O23">
        <v>0</v>
      </c>
      <c r="Q23" t="str">
        <f t="shared" si="0"/>
        <v>xG Cukup Sedikit</v>
      </c>
      <c r="R23" t="str">
        <f t="shared" si="1"/>
        <v>Possession Cukup Sedikit</v>
      </c>
      <c r="S23" t="str">
        <f t="shared" si="2"/>
        <v>Total Pass Cukup Sedikit</v>
      </c>
      <c r="T23" t="str">
        <f t="shared" si="3"/>
        <v>Pass Sukses Cukup Sedikit</v>
      </c>
      <c r="U23" t="str">
        <f t="shared" si="4"/>
        <v>Total Shot Cukup Banyak</v>
      </c>
      <c r="V23" t="str">
        <f t="shared" si="7"/>
        <v>Shot on Target Tinggi</v>
      </c>
      <c r="W23" t="str">
        <f t="shared" si="8"/>
        <v>Fouls Normal</v>
      </c>
      <c r="X23" t="str">
        <f t="shared" si="9"/>
        <v>Corner Rendah</v>
      </c>
      <c r="Y23" t="str">
        <f t="shared" si="5"/>
        <v>Yellow Card Rendah</v>
      </c>
      <c r="Z23" t="str">
        <f t="shared" si="6"/>
        <v>Red Card Rendah</v>
      </c>
    </row>
    <row r="24" spans="1:26" x14ac:dyDescent="0.25">
      <c r="A24" t="s">
        <v>44</v>
      </c>
      <c r="B24">
        <v>1.8</v>
      </c>
      <c r="C24">
        <v>47</v>
      </c>
      <c r="D24">
        <v>393</v>
      </c>
      <c r="E24">
        <v>280</v>
      </c>
      <c r="F24">
        <v>2</v>
      </c>
      <c r="G24" t="s">
        <v>40</v>
      </c>
      <c r="H24">
        <v>0</v>
      </c>
      <c r="I24" t="s">
        <v>36</v>
      </c>
      <c r="J24">
        <v>18</v>
      </c>
      <c r="K24">
        <v>8</v>
      </c>
      <c r="L24">
        <v>6</v>
      </c>
      <c r="M24">
        <v>8</v>
      </c>
      <c r="N24">
        <v>2</v>
      </c>
      <c r="O24">
        <v>0</v>
      </c>
      <c r="Q24" t="str">
        <f t="shared" si="0"/>
        <v>xG Cukup Sedikit</v>
      </c>
      <c r="R24" t="str">
        <f t="shared" si="1"/>
        <v>Possession Cukup Sedikit</v>
      </c>
      <c r="S24" t="str">
        <f t="shared" si="2"/>
        <v>Total Pass Cukup Sedikit</v>
      </c>
      <c r="T24" t="str">
        <f t="shared" si="3"/>
        <v>Pass Sukses Sangat Sedikit</v>
      </c>
      <c r="U24" t="str">
        <f t="shared" si="4"/>
        <v>Total Shot Cukup Sedikit</v>
      </c>
      <c r="V24" t="str">
        <f t="shared" si="7"/>
        <v>Shot on Target Tinggi</v>
      </c>
      <c r="W24" t="str">
        <f t="shared" si="8"/>
        <v>Fouls Rendah</v>
      </c>
      <c r="X24" t="str">
        <f t="shared" si="9"/>
        <v>Corner Tinggi</v>
      </c>
      <c r="Y24" t="str">
        <f t="shared" si="5"/>
        <v>Yellow Card Rendah</v>
      </c>
      <c r="Z24" t="str">
        <f t="shared" si="6"/>
        <v>Red Card Rendah</v>
      </c>
    </row>
    <row r="25" spans="1:26" x14ac:dyDescent="0.25">
      <c r="A25" t="s">
        <v>38</v>
      </c>
      <c r="B25">
        <v>0.4</v>
      </c>
      <c r="C25">
        <v>48</v>
      </c>
      <c r="D25">
        <v>434</v>
      </c>
      <c r="E25">
        <v>360</v>
      </c>
      <c r="F25">
        <v>1</v>
      </c>
      <c r="G25" t="s">
        <v>36</v>
      </c>
      <c r="H25">
        <v>1</v>
      </c>
      <c r="I25" t="s">
        <v>36</v>
      </c>
      <c r="J25">
        <v>11</v>
      </c>
      <c r="K25">
        <v>4</v>
      </c>
      <c r="L25">
        <v>15</v>
      </c>
      <c r="M25">
        <v>8</v>
      </c>
      <c r="N25">
        <v>2</v>
      </c>
      <c r="O25">
        <v>0</v>
      </c>
      <c r="Q25" t="str">
        <f t="shared" si="0"/>
        <v>xG Sangat Sedikit</v>
      </c>
      <c r="R25" t="str">
        <f t="shared" si="1"/>
        <v>Possession Cukup Sedikit</v>
      </c>
      <c r="S25" t="str">
        <f t="shared" si="2"/>
        <v>Total Pass Cukup Sedikit</v>
      </c>
      <c r="T25" t="str">
        <f t="shared" si="3"/>
        <v>Pass Sukses Cukup Sedikit</v>
      </c>
      <c r="U25" t="str">
        <f t="shared" si="4"/>
        <v>Total Shot Cukup Sedikit</v>
      </c>
      <c r="V25" t="str">
        <f t="shared" si="7"/>
        <v>Shot on Target Normal</v>
      </c>
      <c r="W25" t="str">
        <f t="shared" si="8"/>
        <v>Fouls Tinggi</v>
      </c>
      <c r="X25" t="str">
        <f t="shared" si="9"/>
        <v>Corner Tinggi</v>
      </c>
      <c r="Y25" t="str">
        <f t="shared" si="5"/>
        <v>Yellow Card Rendah</v>
      </c>
      <c r="Z25" t="str">
        <f t="shared" si="6"/>
        <v>Red Card Rendah</v>
      </c>
    </row>
    <row r="26" spans="1:26" x14ac:dyDescent="0.25">
      <c r="A26" t="s">
        <v>59</v>
      </c>
      <c r="B26">
        <v>0.4</v>
      </c>
      <c r="C26">
        <v>57</v>
      </c>
      <c r="D26">
        <v>545</v>
      </c>
      <c r="E26">
        <v>471</v>
      </c>
      <c r="F26">
        <v>1</v>
      </c>
      <c r="G26" t="s">
        <v>40</v>
      </c>
      <c r="H26">
        <v>0</v>
      </c>
      <c r="I26" t="s">
        <v>40</v>
      </c>
      <c r="J26">
        <v>9</v>
      </c>
      <c r="K26">
        <v>3</v>
      </c>
      <c r="L26">
        <v>13</v>
      </c>
      <c r="M26">
        <v>1</v>
      </c>
      <c r="N26">
        <v>4</v>
      </c>
      <c r="O26">
        <v>0</v>
      </c>
      <c r="Q26" t="str">
        <f t="shared" si="0"/>
        <v>xG Sangat Sedikit</v>
      </c>
      <c r="R26" t="str">
        <f t="shared" si="1"/>
        <v>Possession Cukup Banyak</v>
      </c>
      <c r="S26" t="str">
        <f t="shared" si="2"/>
        <v>Total Pass Cukup Banyak</v>
      </c>
      <c r="T26" t="str">
        <f t="shared" si="3"/>
        <v>Pass Sukses Cukup Banyak</v>
      </c>
      <c r="U26" t="str">
        <f t="shared" si="4"/>
        <v>Total Shot Sangat Sedikit</v>
      </c>
      <c r="V26" t="str">
        <f t="shared" si="7"/>
        <v>Shot on Target Rendah</v>
      </c>
      <c r="W26" t="str">
        <f t="shared" si="8"/>
        <v>Fouls Tinggi</v>
      </c>
      <c r="X26" t="str">
        <f t="shared" si="9"/>
        <v>Corner Rendah</v>
      </c>
      <c r="Y26" t="str">
        <f t="shared" si="5"/>
        <v>Yellow Card Tinggi</v>
      </c>
      <c r="Z26" t="str">
        <f t="shared" si="6"/>
        <v>Red Card Rendah</v>
      </c>
    </row>
    <row r="27" spans="1:26" x14ac:dyDescent="0.25">
      <c r="A27" t="s">
        <v>48</v>
      </c>
      <c r="B27">
        <v>1</v>
      </c>
      <c r="C27">
        <v>52</v>
      </c>
      <c r="D27">
        <v>412</v>
      </c>
      <c r="E27">
        <v>312</v>
      </c>
      <c r="F27">
        <v>1</v>
      </c>
      <c r="G27" t="s">
        <v>36</v>
      </c>
      <c r="H27">
        <v>1</v>
      </c>
      <c r="I27" t="s">
        <v>36</v>
      </c>
      <c r="J27">
        <v>16</v>
      </c>
      <c r="K27">
        <v>5</v>
      </c>
      <c r="L27">
        <v>15</v>
      </c>
      <c r="M27">
        <v>7</v>
      </c>
      <c r="N27">
        <v>3</v>
      </c>
      <c r="O27">
        <v>0</v>
      </c>
      <c r="Q27" t="str">
        <f t="shared" si="0"/>
        <v>xG Sangat Sedikit</v>
      </c>
      <c r="R27" t="str">
        <f t="shared" si="1"/>
        <v>Possession Cukup Banyak</v>
      </c>
      <c r="S27" t="str">
        <f t="shared" si="2"/>
        <v>Total Pass Cukup Sedikit</v>
      </c>
      <c r="T27" t="str">
        <f t="shared" si="3"/>
        <v>Pass Sukses Cukup Sedikit</v>
      </c>
      <c r="U27" t="str">
        <f t="shared" si="4"/>
        <v>Total Shot Cukup Sedikit</v>
      </c>
      <c r="V27" t="str">
        <f t="shared" si="7"/>
        <v>Shot on Target Tinggi</v>
      </c>
      <c r="W27" t="str">
        <f t="shared" si="8"/>
        <v>Fouls Tinggi</v>
      </c>
      <c r="X27" t="str">
        <f t="shared" si="9"/>
        <v>Corner Tinggi</v>
      </c>
      <c r="Y27" t="str">
        <f t="shared" si="5"/>
        <v>Yellow Card Tinggi</v>
      </c>
      <c r="Z27" t="str">
        <f t="shared" si="6"/>
        <v>Red Card Rendah</v>
      </c>
    </row>
    <row r="28" spans="1:26" x14ac:dyDescent="0.25">
      <c r="A28" t="s">
        <v>51</v>
      </c>
      <c r="B28">
        <v>0.7</v>
      </c>
      <c r="C28">
        <v>33</v>
      </c>
      <c r="D28">
        <v>379</v>
      </c>
      <c r="E28">
        <v>310</v>
      </c>
      <c r="F28">
        <v>1</v>
      </c>
      <c r="G28" t="s">
        <v>40</v>
      </c>
      <c r="H28">
        <v>1</v>
      </c>
      <c r="I28" t="s">
        <v>40</v>
      </c>
      <c r="J28">
        <v>10</v>
      </c>
      <c r="K28">
        <v>2</v>
      </c>
      <c r="L28">
        <v>10</v>
      </c>
      <c r="M28">
        <v>3</v>
      </c>
      <c r="N28">
        <v>3</v>
      </c>
      <c r="O28">
        <v>0</v>
      </c>
      <c r="Q28" t="str">
        <f t="shared" si="0"/>
        <v>xG Sangat Sedikit</v>
      </c>
      <c r="R28" t="str">
        <f t="shared" si="1"/>
        <v>Possession Sangat Sedikit</v>
      </c>
      <c r="S28" t="str">
        <f t="shared" si="2"/>
        <v>Total Pass Cukup Sedikit</v>
      </c>
      <c r="T28" t="str">
        <f t="shared" si="3"/>
        <v>Pass Sukses Cukup Sedikit</v>
      </c>
      <c r="U28" t="str">
        <f t="shared" si="4"/>
        <v>Total Shot Sangat Sedikit</v>
      </c>
      <c r="V28" t="str">
        <f t="shared" si="7"/>
        <v>Shot on Target Rendah</v>
      </c>
      <c r="W28" t="str">
        <f t="shared" si="8"/>
        <v>Fouls Normal</v>
      </c>
      <c r="X28" t="str">
        <f t="shared" si="9"/>
        <v>Corner Rendah</v>
      </c>
      <c r="Y28" t="str">
        <f t="shared" si="5"/>
        <v>Yellow Card Tinggi</v>
      </c>
      <c r="Z28" t="str">
        <f t="shared" si="6"/>
        <v>Red Card Rendah</v>
      </c>
    </row>
    <row r="29" spans="1:26" x14ac:dyDescent="0.25">
      <c r="A29" t="s">
        <v>57</v>
      </c>
      <c r="B29">
        <v>2.4</v>
      </c>
      <c r="C29">
        <v>62</v>
      </c>
      <c r="D29">
        <v>628</v>
      </c>
      <c r="E29">
        <v>553</v>
      </c>
      <c r="F29">
        <v>1</v>
      </c>
      <c r="G29" t="s">
        <v>36</v>
      </c>
      <c r="H29">
        <v>1</v>
      </c>
      <c r="I29" t="s">
        <v>35</v>
      </c>
      <c r="J29">
        <v>13</v>
      </c>
      <c r="K29">
        <v>7</v>
      </c>
      <c r="L29">
        <v>9</v>
      </c>
      <c r="M29">
        <v>4</v>
      </c>
      <c r="N29">
        <v>4</v>
      </c>
      <c r="O29">
        <v>0</v>
      </c>
      <c r="Q29" t="str">
        <f t="shared" si="0"/>
        <v>xG Cukup Sedikit</v>
      </c>
      <c r="R29" t="str">
        <f t="shared" si="1"/>
        <v>Possession Cukup Banyak</v>
      </c>
      <c r="S29" t="str">
        <f t="shared" si="2"/>
        <v>Total Pass Cukup Banyak</v>
      </c>
      <c r="T29" t="str">
        <f t="shared" si="3"/>
        <v>Pass Sukses Cukup Banyak</v>
      </c>
      <c r="U29" t="str">
        <f t="shared" si="4"/>
        <v>Total Shot Cukup Sedikit</v>
      </c>
      <c r="V29" t="str">
        <f t="shared" si="7"/>
        <v>Shot on Target Tinggi</v>
      </c>
      <c r="W29" t="str">
        <f t="shared" si="8"/>
        <v>Fouls Normal</v>
      </c>
      <c r="X29" t="str">
        <f t="shared" si="9"/>
        <v>Corner Rendah</v>
      </c>
      <c r="Y29" t="str">
        <f t="shared" si="5"/>
        <v>Yellow Card Tinggi</v>
      </c>
      <c r="Z29" t="str">
        <f t="shared" si="6"/>
        <v>Red Card Rendah</v>
      </c>
    </row>
    <row r="30" spans="1:26" x14ac:dyDescent="0.25">
      <c r="A30" t="s">
        <v>46</v>
      </c>
      <c r="B30">
        <v>1.8</v>
      </c>
      <c r="C30">
        <v>35</v>
      </c>
      <c r="D30">
        <v>296</v>
      </c>
      <c r="E30">
        <v>207</v>
      </c>
      <c r="F30">
        <v>2</v>
      </c>
      <c r="G30" t="s">
        <v>35</v>
      </c>
      <c r="H30">
        <v>1</v>
      </c>
      <c r="I30" t="s">
        <v>35</v>
      </c>
      <c r="J30">
        <v>9</v>
      </c>
      <c r="K30">
        <v>3</v>
      </c>
      <c r="L30">
        <v>16</v>
      </c>
      <c r="M30">
        <v>7</v>
      </c>
      <c r="N30">
        <v>4</v>
      </c>
      <c r="O30">
        <v>0</v>
      </c>
      <c r="Q30" t="str">
        <f t="shared" si="0"/>
        <v>xG Cukup Sedikit</v>
      </c>
      <c r="R30" t="str">
        <f t="shared" si="1"/>
        <v>Possession Sangat Sedikit</v>
      </c>
      <c r="S30" t="str">
        <f t="shared" si="2"/>
        <v>Total Pass Sangat Sedikit</v>
      </c>
      <c r="T30" t="str">
        <f t="shared" si="3"/>
        <v>Pass Sukses Sangat Sedikit</v>
      </c>
      <c r="U30" t="str">
        <f t="shared" si="4"/>
        <v>Total Shot Sangat Sedikit</v>
      </c>
      <c r="V30" t="str">
        <f t="shared" si="7"/>
        <v>Shot on Target Rendah</v>
      </c>
      <c r="W30" t="str">
        <f t="shared" si="8"/>
        <v>Fouls Tinggi</v>
      </c>
      <c r="X30" t="str">
        <f t="shared" si="9"/>
        <v>Corner Tinggi</v>
      </c>
      <c r="Y30" t="str">
        <f t="shared" si="5"/>
        <v>Yellow Card Tinggi</v>
      </c>
      <c r="Z30" t="str">
        <f t="shared" si="6"/>
        <v>Red Card Rendah</v>
      </c>
    </row>
    <row r="31" spans="1:26" x14ac:dyDescent="0.25">
      <c r="A31" t="s">
        <v>33</v>
      </c>
      <c r="B31">
        <v>1.4</v>
      </c>
      <c r="C31">
        <v>53</v>
      </c>
      <c r="D31">
        <v>556</v>
      </c>
      <c r="E31">
        <v>453</v>
      </c>
      <c r="F31">
        <v>0</v>
      </c>
      <c r="G31" t="s">
        <v>40</v>
      </c>
      <c r="H31">
        <v>0</v>
      </c>
      <c r="I31" t="s">
        <v>40</v>
      </c>
      <c r="J31">
        <v>8</v>
      </c>
      <c r="K31">
        <v>3</v>
      </c>
      <c r="L31">
        <v>7</v>
      </c>
      <c r="M31">
        <v>5</v>
      </c>
      <c r="N31">
        <v>4</v>
      </c>
      <c r="O31">
        <v>0</v>
      </c>
      <c r="Q31" t="str">
        <f t="shared" si="0"/>
        <v>xG Sangat Sedikit</v>
      </c>
      <c r="R31" t="str">
        <f t="shared" si="1"/>
        <v>Possession Cukup Banyak</v>
      </c>
      <c r="S31" t="str">
        <f t="shared" si="2"/>
        <v>Total Pass Cukup Banyak</v>
      </c>
      <c r="T31" t="str">
        <f t="shared" si="3"/>
        <v>Pass Sukses Cukup Banyak</v>
      </c>
      <c r="U31" t="str">
        <f t="shared" si="4"/>
        <v>Total Shot Sangat Sedikit</v>
      </c>
      <c r="V31" t="str">
        <f t="shared" si="7"/>
        <v>Shot on Target Rendah</v>
      </c>
      <c r="W31" t="str">
        <f t="shared" si="8"/>
        <v>Fouls Rendah</v>
      </c>
      <c r="X31" t="str">
        <f t="shared" si="9"/>
        <v>Corner Normal</v>
      </c>
      <c r="Y31" t="str">
        <f t="shared" si="5"/>
        <v>Yellow Card Tinggi</v>
      </c>
      <c r="Z31" t="str">
        <f t="shared" si="6"/>
        <v>Red Card Rendah</v>
      </c>
    </row>
    <row r="32" spans="1:26" x14ac:dyDescent="0.25">
      <c r="A32" t="s">
        <v>47</v>
      </c>
      <c r="B32">
        <v>1.1000000000000001</v>
      </c>
      <c r="C32">
        <v>44</v>
      </c>
      <c r="D32">
        <v>505</v>
      </c>
      <c r="E32">
        <v>439</v>
      </c>
      <c r="F32">
        <v>0</v>
      </c>
      <c r="G32" t="s">
        <v>40</v>
      </c>
      <c r="H32">
        <v>0</v>
      </c>
      <c r="I32" t="s">
        <v>40</v>
      </c>
      <c r="J32">
        <v>6</v>
      </c>
      <c r="K32">
        <v>4</v>
      </c>
      <c r="L32">
        <v>11</v>
      </c>
      <c r="M32">
        <v>0</v>
      </c>
      <c r="N32">
        <v>1</v>
      </c>
      <c r="O32">
        <v>1</v>
      </c>
      <c r="Q32" t="str">
        <f t="shared" si="0"/>
        <v>xG Sangat Sedikit</v>
      </c>
      <c r="R32" t="str">
        <f t="shared" si="1"/>
        <v>Possession Cukup Sedikit</v>
      </c>
      <c r="S32" t="str">
        <f t="shared" si="2"/>
        <v>Total Pass Cukup Sedikit</v>
      </c>
      <c r="T32" t="str">
        <f t="shared" si="3"/>
        <v>Pass Sukses Cukup Banyak</v>
      </c>
      <c r="U32" t="str">
        <f t="shared" si="4"/>
        <v>Total Shot Sangat Sedikit</v>
      </c>
      <c r="V32" t="str">
        <f t="shared" si="7"/>
        <v>Shot on Target Normal</v>
      </c>
      <c r="W32" t="str">
        <f t="shared" si="8"/>
        <v>Fouls Normal</v>
      </c>
      <c r="X32" t="str">
        <f t="shared" si="9"/>
        <v>Corner Rendah</v>
      </c>
      <c r="Y32" t="str">
        <f t="shared" si="5"/>
        <v>Yellow Card Rendah</v>
      </c>
      <c r="Z32" t="str">
        <f t="shared" si="6"/>
        <v>Red Card Tinggi</v>
      </c>
    </row>
    <row r="33" spans="1:26" x14ac:dyDescent="0.25">
      <c r="A33" t="s">
        <v>45</v>
      </c>
      <c r="B33">
        <v>1.6</v>
      </c>
      <c r="C33">
        <v>68</v>
      </c>
      <c r="D33">
        <v>617</v>
      </c>
      <c r="E33">
        <v>512</v>
      </c>
      <c r="F33">
        <v>0</v>
      </c>
      <c r="G33" t="s">
        <v>36</v>
      </c>
      <c r="H33">
        <v>0</v>
      </c>
      <c r="I33" t="s">
        <v>36</v>
      </c>
      <c r="J33">
        <v>21</v>
      </c>
      <c r="K33">
        <v>6</v>
      </c>
      <c r="L33">
        <v>14</v>
      </c>
      <c r="M33">
        <v>9</v>
      </c>
      <c r="N33">
        <v>4</v>
      </c>
      <c r="O33">
        <v>0</v>
      </c>
      <c r="Q33" t="str">
        <f t="shared" si="0"/>
        <v>xG Cukup Sedikit</v>
      </c>
      <c r="R33" t="str">
        <f t="shared" si="1"/>
        <v>Possession Sangat Banyak</v>
      </c>
      <c r="S33" t="str">
        <f t="shared" si="2"/>
        <v>Total Pass Cukup Banyak</v>
      </c>
      <c r="T33" t="str">
        <f t="shared" si="3"/>
        <v>Pass Sukses Cukup Banyak</v>
      </c>
      <c r="U33" t="str">
        <f t="shared" si="4"/>
        <v>Total Shot Cukup Banyak</v>
      </c>
      <c r="V33" t="str">
        <f t="shared" si="7"/>
        <v>Shot on Target Tinggi</v>
      </c>
      <c r="W33" t="str">
        <f t="shared" si="8"/>
        <v>Fouls Tinggi</v>
      </c>
      <c r="X33" t="str">
        <f t="shared" si="9"/>
        <v>Corner Tinggi</v>
      </c>
      <c r="Y33" t="str">
        <f t="shared" si="5"/>
        <v>Yellow Card Tinggi</v>
      </c>
      <c r="Z33" t="str">
        <f t="shared" si="6"/>
        <v>Red Card Rendah</v>
      </c>
    </row>
    <row r="34" spans="1:26" x14ac:dyDescent="0.25">
      <c r="A34" t="s">
        <v>55</v>
      </c>
      <c r="B34">
        <v>2.5</v>
      </c>
      <c r="C34">
        <v>66</v>
      </c>
      <c r="D34">
        <v>652</v>
      </c>
      <c r="E34">
        <v>533</v>
      </c>
      <c r="F34">
        <v>2</v>
      </c>
      <c r="G34" t="s">
        <v>36</v>
      </c>
      <c r="H34">
        <v>0</v>
      </c>
      <c r="I34" t="s">
        <v>40</v>
      </c>
      <c r="J34">
        <v>20</v>
      </c>
      <c r="K34">
        <v>4</v>
      </c>
      <c r="L34">
        <v>11</v>
      </c>
      <c r="M34">
        <v>5</v>
      </c>
      <c r="N34">
        <v>0</v>
      </c>
      <c r="O34">
        <v>0</v>
      </c>
      <c r="Q34" t="str">
        <f t="shared" si="0"/>
        <v>xG Cukup Sedikit</v>
      </c>
      <c r="R34" t="str">
        <f t="shared" si="1"/>
        <v>Possession Sangat Banyak</v>
      </c>
      <c r="S34" t="str">
        <f t="shared" si="2"/>
        <v>Total Pass Cukup Banyak</v>
      </c>
      <c r="T34" t="str">
        <f t="shared" si="3"/>
        <v>Pass Sukses Cukup Banyak</v>
      </c>
      <c r="U34" t="str">
        <f t="shared" si="4"/>
        <v>Total Shot Cukup Banyak</v>
      </c>
      <c r="V34" t="str">
        <f t="shared" si="7"/>
        <v>Shot on Target Normal</v>
      </c>
      <c r="W34" t="str">
        <f t="shared" si="8"/>
        <v>Fouls Normal</v>
      </c>
      <c r="X34" t="str">
        <f t="shared" si="9"/>
        <v>Corner Normal</v>
      </c>
      <c r="Y34" t="str">
        <f t="shared" si="5"/>
        <v>Yellow Card Rendah</v>
      </c>
      <c r="Z34" t="str">
        <f t="shared" si="6"/>
        <v>Red Card Rendah</v>
      </c>
    </row>
    <row r="35" spans="1:26" x14ac:dyDescent="0.25">
      <c r="A35" t="s">
        <v>34</v>
      </c>
      <c r="B35">
        <v>1.5</v>
      </c>
      <c r="C35">
        <v>54</v>
      </c>
      <c r="D35">
        <v>451</v>
      </c>
      <c r="E35">
        <v>351</v>
      </c>
      <c r="F35">
        <v>1</v>
      </c>
      <c r="G35" t="s">
        <v>36</v>
      </c>
      <c r="H35">
        <v>1</v>
      </c>
      <c r="I35" t="s">
        <v>35</v>
      </c>
      <c r="J35">
        <v>21</v>
      </c>
      <c r="K35">
        <v>5</v>
      </c>
      <c r="L35">
        <v>15</v>
      </c>
      <c r="M35">
        <v>3</v>
      </c>
      <c r="N35">
        <v>2</v>
      </c>
      <c r="O35">
        <v>0</v>
      </c>
      <c r="Q35" t="str">
        <f t="shared" si="0"/>
        <v>xG Cukup Sedikit</v>
      </c>
      <c r="R35" t="str">
        <f t="shared" si="1"/>
        <v>Possession Cukup Banyak</v>
      </c>
      <c r="S35" t="str">
        <f t="shared" si="2"/>
        <v>Total Pass Cukup Sedikit</v>
      </c>
      <c r="T35" t="str">
        <f t="shared" si="3"/>
        <v>Pass Sukses Cukup Sedikit</v>
      </c>
      <c r="U35" t="str">
        <f t="shared" si="4"/>
        <v>Total Shot Cukup Banyak</v>
      </c>
      <c r="V35" t="str">
        <f t="shared" si="7"/>
        <v>Shot on Target Tinggi</v>
      </c>
      <c r="W35" t="str">
        <f t="shared" si="8"/>
        <v>Fouls Tinggi</v>
      </c>
      <c r="X35" t="str">
        <f t="shared" si="9"/>
        <v>Corner Rendah</v>
      </c>
      <c r="Y35" t="str">
        <f t="shared" si="5"/>
        <v>Yellow Card Rendah</v>
      </c>
      <c r="Z35" t="str">
        <f t="shared" si="6"/>
        <v>Red Card Rendah</v>
      </c>
    </row>
    <row r="36" spans="1:26" x14ac:dyDescent="0.25">
      <c r="A36" t="s">
        <v>39</v>
      </c>
      <c r="B36">
        <v>0.9</v>
      </c>
      <c r="C36">
        <v>68</v>
      </c>
      <c r="D36">
        <v>654</v>
      </c>
      <c r="E36">
        <v>542</v>
      </c>
      <c r="F36">
        <v>0</v>
      </c>
      <c r="G36" t="s">
        <v>40</v>
      </c>
      <c r="H36">
        <v>0</v>
      </c>
      <c r="I36" t="s">
        <v>36</v>
      </c>
      <c r="J36">
        <v>14</v>
      </c>
      <c r="K36">
        <v>5</v>
      </c>
      <c r="L36">
        <v>15</v>
      </c>
      <c r="M36">
        <v>7</v>
      </c>
      <c r="N36">
        <v>4</v>
      </c>
      <c r="O36">
        <v>0</v>
      </c>
      <c r="Q36" t="str">
        <f t="shared" si="0"/>
        <v>xG Sangat Sedikit</v>
      </c>
      <c r="R36" t="str">
        <f t="shared" si="1"/>
        <v>Possession Sangat Banyak</v>
      </c>
      <c r="S36" t="str">
        <f t="shared" si="2"/>
        <v>Total Pass Cukup Banyak</v>
      </c>
      <c r="T36" t="str">
        <f t="shared" si="3"/>
        <v>Pass Sukses Cukup Banyak</v>
      </c>
      <c r="U36" t="str">
        <f t="shared" si="4"/>
        <v>Total Shot Cukup Sedikit</v>
      </c>
      <c r="V36" t="str">
        <f t="shared" si="7"/>
        <v>Shot on Target Tinggi</v>
      </c>
      <c r="W36" t="str">
        <f t="shared" si="8"/>
        <v>Fouls Tinggi</v>
      </c>
      <c r="X36" t="str">
        <f t="shared" si="9"/>
        <v>Corner Tinggi</v>
      </c>
      <c r="Y36" t="str">
        <f t="shared" si="5"/>
        <v>Yellow Card Tinggi</v>
      </c>
      <c r="Z36" t="str">
        <f t="shared" si="6"/>
        <v>Red Card Rendah</v>
      </c>
    </row>
    <row r="37" spans="1:26" x14ac:dyDescent="0.25">
      <c r="A37" t="s">
        <v>58</v>
      </c>
      <c r="B37">
        <v>2.1</v>
      </c>
      <c r="C37">
        <v>54</v>
      </c>
      <c r="D37">
        <v>581</v>
      </c>
      <c r="E37">
        <v>507</v>
      </c>
      <c r="F37">
        <v>2</v>
      </c>
      <c r="G37" t="s">
        <v>35</v>
      </c>
      <c r="H37">
        <v>2</v>
      </c>
      <c r="I37" t="s">
        <v>35</v>
      </c>
      <c r="J37">
        <v>18</v>
      </c>
      <c r="K37">
        <v>7</v>
      </c>
      <c r="L37">
        <v>9</v>
      </c>
      <c r="M37">
        <v>12</v>
      </c>
      <c r="N37">
        <v>3</v>
      </c>
      <c r="O37">
        <v>0</v>
      </c>
      <c r="Q37" t="str">
        <f t="shared" si="0"/>
        <v>xG Cukup Sedikit</v>
      </c>
      <c r="R37" t="str">
        <f t="shared" si="1"/>
        <v>Possession Cukup Banyak</v>
      </c>
      <c r="S37" t="str">
        <f t="shared" si="2"/>
        <v>Total Pass Cukup Banyak</v>
      </c>
      <c r="T37" t="str">
        <f t="shared" si="3"/>
        <v>Pass Sukses Cukup Banyak</v>
      </c>
      <c r="U37" t="str">
        <f t="shared" si="4"/>
        <v>Total Shot Cukup Sedikit</v>
      </c>
      <c r="V37" t="str">
        <f t="shared" si="7"/>
        <v>Shot on Target Tinggi</v>
      </c>
      <c r="W37" t="str">
        <f t="shared" si="8"/>
        <v>Fouls Normal</v>
      </c>
      <c r="X37" t="str">
        <f t="shared" si="9"/>
        <v>Corner Tinggi</v>
      </c>
      <c r="Y37" t="str">
        <f t="shared" si="5"/>
        <v>Yellow Card Tinggi</v>
      </c>
      <c r="Z37" t="str">
        <f t="shared" si="6"/>
        <v>Red Card Rendah</v>
      </c>
    </row>
    <row r="38" spans="1:26" x14ac:dyDescent="0.25">
      <c r="A38" t="s">
        <v>52</v>
      </c>
      <c r="B38">
        <v>2.1</v>
      </c>
      <c r="C38">
        <v>72</v>
      </c>
      <c r="D38">
        <v>709</v>
      </c>
      <c r="E38">
        <v>628</v>
      </c>
      <c r="F38">
        <v>3</v>
      </c>
      <c r="G38" t="s">
        <v>35</v>
      </c>
      <c r="H38">
        <v>1</v>
      </c>
      <c r="I38" t="s">
        <v>40</v>
      </c>
      <c r="J38">
        <v>17</v>
      </c>
      <c r="K38">
        <v>8</v>
      </c>
      <c r="L38">
        <v>10</v>
      </c>
      <c r="M38">
        <v>6</v>
      </c>
      <c r="N38">
        <v>1</v>
      </c>
      <c r="O38">
        <v>0</v>
      </c>
      <c r="Q38" t="str">
        <f t="shared" si="0"/>
        <v>xG Cukup Sedikit</v>
      </c>
      <c r="R38" t="str">
        <f t="shared" si="1"/>
        <v>Possession Sangat Banyak</v>
      </c>
      <c r="S38" t="str">
        <f t="shared" si="2"/>
        <v>Total Pass Sangat Banyak</v>
      </c>
      <c r="T38" t="str">
        <f t="shared" si="3"/>
        <v>Pass Sukses Sangat Banyak</v>
      </c>
      <c r="U38" t="str">
        <f t="shared" si="4"/>
        <v>Total Shot Cukup Sedikit</v>
      </c>
      <c r="V38" t="str">
        <f t="shared" si="7"/>
        <v>Shot on Target Tinggi</v>
      </c>
      <c r="W38" t="str">
        <f t="shared" si="8"/>
        <v>Fouls Normal</v>
      </c>
      <c r="X38" t="str">
        <f t="shared" si="9"/>
        <v>Corner Tinggi</v>
      </c>
      <c r="Y38" t="str">
        <f t="shared" si="5"/>
        <v>Yellow Card Rendah</v>
      </c>
      <c r="Z38" t="str">
        <f t="shared" si="6"/>
        <v>Red Card Rendah</v>
      </c>
    </row>
    <row r="39" spans="1:26" x14ac:dyDescent="0.25">
      <c r="A39" t="s">
        <v>49</v>
      </c>
      <c r="B39">
        <v>1.7</v>
      </c>
      <c r="C39">
        <v>34</v>
      </c>
      <c r="D39">
        <v>317</v>
      </c>
      <c r="E39">
        <v>214</v>
      </c>
      <c r="F39">
        <v>0</v>
      </c>
      <c r="G39" t="s">
        <v>40</v>
      </c>
      <c r="H39">
        <v>0</v>
      </c>
      <c r="I39" t="s">
        <v>36</v>
      </c>
      <c r="J39">
        <v>19</v>
      </c>
      <c r="K39">
        <v>7</v>
      </c>
      <c r="L39">
        <v>16</v>
      </c>
      <c r="M39">
        <v>6</v>
      </c>
      <c r="N39">
        <v>6</v>
      </c>
      <c r="O39">
        <v>0</v>
      </c>
      <c r="Q39" t="str">
        <f t="shared" si="0"/>
        <v>xG Cukup Sedikit</v>
      </c>
      <c r="R39" t="str">
        <f t="shared" si="1"/>
        <v>Possession Sangat Sedikit</v>
      </c>
      <c r="S39" t="str">
        <f t="shared" si="2"/>
        <v>Total Pass Sangat Sedikit</v>
      </c>
      <c r="T39" t="str">
        <f t="shared" si="3"/>
        <v>Pass Sukses Sangat Sedikit</v>
      </c>
      <c r="U39" t="str">
        <f t="shared" si="4"/>
        <v>Total Shot Cukup Sedikit</v>
      </c>
      <c r="V39" t="str">
        <f t="shared" si="7"/>
        <v>Shot on Target Tinggi</v>
      </c>
      <c r="W39" t="str">
        <f t="shared" si="8"/>
        <v>Fouls Tinggi</v>
      </c>
      <c r="X39" t="str">
        <f t="shared" si="9"/>
        <v>Corner Tinggi</v>
      </c>
      <c r="Y39" t="str">
        <f t="shared" si="5"/>
        <v>Yellow Card Tinggi</v>
      </c>
      <c r="Z39" t="str">
        <f t="shared" si="6"/>
        <v>Red Card Rendah</v>
      </c>
    </row>
    <row r="40" spans="1:26" x14ac:dyDescent="0.25">
      <c r="A40" t="s">
        <v>60</v>
      </c>
      <c r="B40">
        <v>0.7</v>
      </c>
      <c r="C40">
        <v>63</v>
      </c>
      <c r="D40">
        <v>553</v>
      </c>
      <c r="E40">
        <v>470</v>
      </c>
      <c r="F40">
        <v>0</v>
      </c>
      <c r="G40" t="s">
        <v>40</v>
      </c>
      <c r="H40">
        <v>0</v>
      </c>
      <c r="I40" t="s">
        <v>36</v>
      </c>
      <c r="J40">
        <v>15</v>
      </c>
      <c r="K40">
        <v>5</v>
      </c>
      <c r="L40">
        <v>13</v>
      </c>
      <c r="M40">
        <v>7</v>
      </c>
      <c r="N40">
        <v>5</v>
      </c>
      <c r="O40">
        <v>0</v>
      </c>
      <c r="Q40" t="str">
        <f t="shared" si="0"/>
        <v>xG Sangat Sedikit</v>
      </c>
      <c r="R40" t="str">
        <f t="shared" si="1"/>
        <v>Possession Cukup Banyak</v>
      </c>
      <c r="S40" t="str">
        <f t="shared" si="2"/>
        <v>Total Pass Cukup Banyak</v>
      </c>
      <c r="T40" t="str">
        <f t="shared" si="3"/>
        <v>Pass Sukses Cukup Banyak</v>
      </c>
      <c r="U40" t="str">
        <f t="shared" si="4"/>
        <v>Total Shot Cukup Sedikit</v>
      </c>
      <c r="V40" t="str">
        <f t="shared" si="7"/>
        <v>Shot on Target Tinggi</v>
      </c>
      <c r="W40" t="str">
        <f t="shared" si="8"/>
        <v>Fouls Tinggi</v>
      </c>
      <c r="X40" t="str">
        <f t="shared" si="9"/>
        <v>Corner Tinggi</v>
      </c>
      <c r="Y40" t="str">
        <f t="shared" si="5"/>
        <v>Yellow Card Tinggi</v>
      </c>
      <c r="Z40" t="str">
        <f t="shared" si="6"/>
        <v>Red Card Rendah</v>
      </c>
    </row>
    <row r="41" spans="1:26" x14ac:dyDescent="0.25">
      <c r="A41" t="s">
        <v>43</v>
      </c>
      <c r="B41">
        <v>1.2</v>
      </c>
      <c r="C41">
        <v>49</v>
      </c>
      <c r="D41">
        <v>483</v>
      </c>
      <c r="E41">
        <v>389</v>
      </c>
      <c r="F41">
        <v>1</v>
      </c>
      <c r="G41" t="s">
        <v>40</v>
      </c>
      <c r="H41">
        <v>1</v>
      </c>
      <c r="I41" t="s">
        <v>35</v>
      </c>
      <c r="J41">
        <v>12</v>
      </c>
      <c r="K41">
        <v>5</v>
      </c>
      <c r="L41">
        <v>17</v>
      </c>
      <c r="M41">
        <v>4</v>
      </c>
      <c r="N41">
        <v>3</v>
      </c>
      <c r="O41">
        <v>0</v>
      </c>
      <c r="Q41" t="str">
        <f t="shared" si="0"/>
        <v>xG Sangat Sedikit</v>
      </c>
      <c r="R41" t="str">
        <f t="shared" si="1"/>
        <v>Possession Cukup Sedikit</v>
      </c>
      <c r="S41" t="str">
        <f t="shared" si="2"/>
        <v>Total Pass Cukup Sedikit</v>
      </c>
      <c r="T41" t="str">
        <f t="shared" si="3"/>
        <v>Pass Sukses Cukup Sedikit</v>
      </c>
      <c r="U41" t="str">
        <f t="shared" si="4"/>
        <v>Total Shot Cukup Sedikit</v>
      </c>
      <c r="V41" t="str">
        <f t="shared" si="7"/>
        <v>Shot on Target Tinggi</v>
      </c>
      <c r="W41" t="str">
        <f t="shared" si="8"/>
        <v>Fouls Tinggi</v>
      </c>
      <c r="X41" t="str">
        <f t="shared" si="9"/>
        <v>Corner Rendah</v>
      </c>
      <c r="Y41" t="str">
        <f t="shared" si="5"/>
        <v>Yellow Card Tinggi</v>
      </c>
      <c r="Z41" t="str">
        <f t="shared" si="6"/>
        <v>Red Card Rendah</v>
      </c>
    </row>
    <row r="42" spans="1:26" x14ac:dyDescent="0.25">
      <c r="A42" t="s">
        <v>51</v>
      </c>
      <c r="B42">
        <v>0.9</v>
      </c>
      <c r="C42">
        <v>53</v>
      </c>
      <c r="D42">
        <v>542</v>
      </c>
      <c r="E42">
        <v>463</v>
      </c>
      <c r="F42">
        <v>0</v>
      </c>
      <c r="G42" t="s">
        <v>40</v>
      </c>
      <c r="H42">
        <v>0</v>
      </c>
      <c r="I42" t="s">
        <v>40</v>
      </c>
      <c r="J42">
        <v>15</v>
      </c>
      <c r="K42">
        <v>7</v>
      </c>
      <c r="L42">
        <v>17</v>
      </c>
      <c r="M42">
        <v>6</v>
      </c>
      <c r="N42">
        <v>5</v>
      </c>
      <c r="O42">
        <v>0</v>
      </c>
      <c r="Q42" t="str">
        <f t="shared" si="0"/>
        <v>xG Sangat Sedikit</v>
      </c>
      <c r="R42" t="str">
        <f t="shared" si="1"/>
        <v>Possession Cukup Banyak</v>
      </c>
      <c r="S42" t="str">
        <f t="shared" si="2"/>
        <v>Total Pass Cukup Banyak</v>
      </c>
      <c r="T42" t="str">
        <f t="shared" si="3"/>
        <v>Pass Sukses Cukup Banyak</v>
      </c>
      <c r="U42" t="str">
        <f t="shared" si="4"/>
        <v>Total Shot Cukup Sedikit</v>
      </c>
      <c r="V42" t="str">
        <f t="shared" si="7"/>
        <v>Shot on Target Tinggi</v>
      </c>
      <c r="W42" t="str">
        <f t="shared" si="8"/>
        <v>Fouls Tinggi</v>
      </c>
      <c r="X42" t="str">
        <f t="shared" si="9"/>
        <v>Corner Tinggi</v>
      </c>
      <c r="Y42" t="str">
        <f t="shared" si="5"/>
        <v>Yellow Card Tinggi</v>
      </c>
      <c r="Z42" t="str">
        <f t="shared" si="6"/>
        <v>Red Card Rendah</v>
      </c>
    </row>
    <row r="43" spans="1:26" x14ac:dyDescent="0.25">
      <c r="A43" t="s">
        <v>52</v>
      </c>
      <c r="B43">
        <v>1.7</v>
      </c>
      <c r="C43">
        <v>53</v>
      </c>
      <c r="D43">
        <v>480</v>
      </c>
      <c r="E43">
        <v>412</v>
      </c>
      <c r="F43">
        <v>3</v>
      </c>
      <c r="G43" t="s">
        <v>35</v>
      </c>
      <c r="H43">
        <v>0</v>
      </c>
      <c r="I43" t="s">
        <v>40</v>
      </c>
      <c r="J43">
        <v>9</v>
      </c>
      <c r="K43">
        <v>4</v>
      </c>
      <c r="L43">
        <v>11</v>
      </c>
      <c r="M43">
        <v>6</v>
      </c>
      <c r="N43">
        <v>3</v>
      </c>
      <c r="O43">
        <v>0</v>
      </c>
      <c r="Q43" t="str">
        <f t="shared" si="0"/>
        <v>xG Cukup Sedikit</v>
      </c>
      <c r="R43" t="str">
        <f t="shared" si="1"/>
        <v>Possession Cukup Banyak</v>
      </c>
      <c r="S43" t="str">
        <f t="shared" si="2"/>
        <v>Total Pass Cukup Sedikit</v>
      </c>
      <c r="T43" t="str">
        <f t="shared" si="3"/>
        <v>Pass Sukses Cukup Sedikit</v>
      </c>
      <c r="U43" t="str">
        <f t="shared" si="4"/>
        <v>Total Shot Sangat Sedikit</v>
      </c>
      <c r="V43" t="str">
        <f t="shared" si="7"/>
        <v>Shot on Target Normal</v>
      </c>
      <c r="W43" t="str">
        <f t="shared" si="8"/>
        <v>Fouls Normal</v>
      </c>
      <c r="X43" t="str">
        <f t="shared" si="9"/>
        <v>Corner Tinggi</v>
      </c>
      <c r="Y43" t="str">
        <f t="shared" si="5"/>
        <v>Yellow Card Tinggi</v>
      </c>
      <c r="Z43" t="str">
        <f t="shared" si="6"/>
        <v>Red Card Rendah</v>
      </c>
    </row>
    <row r="44" spans="1:26" x14ac:dyDescent="0.25">
      <c r="A44" t="s">
        <v>34</v>
      </c>
      <c r="B44">
        <v>2.2000000000000002</v>
      </c>
      <c r="C44">
        <v>39</v>
      </c>
      <c r="D44">
        <v>379</v>
      </c>
      <c r="E44">
        <v>305</v>
      </c>
      <c r="F44">
        <v>3</v>
      </c>
      <c r="G44" t="s">
        <v>35</v>
      </c>
      <c r="H44">
        <v>2</v>
      </c>
      <c r="I44" t="s">
        <v>35</v>
      </c>
      <c r="J44">
        <v>22</v>
      </c>
      <c r="K44">
        <v>11</v>
      </c>
      <c r="L44">
        <v>16</v>
      </c>
      <c r="M44">
        <v>6</v>
      </c>
      <c r="N44">
        <v>6</v>
      </c>
      <c r="O44">
        <v>0</v>
      </c>
      <c r="Q44" t="str">
        <f t="shared" si="0"/>
        <v>xG Cukup Sedikit</v>
      </c>
      <c r="R44" t="str">
        <f t="shared" si="1"/>
        <v>Possession Cukup Sedikit</v>
      </c>
      <c r="S44" t="str">
        <f t="shared" si="2"/>
        <v>Total Pass Cukup Sedikit</v>
      </c>
      <c r="T44" t="str">
        <f t="shared" si="3"/>
        <v>Pass Sukses Cukup Sedikit</v>
      </c>
      <c r="U44" t="str">
        <f t="shared" si="4"/>
        <v>Total Shot Cukup Banyak</v>
      </c>
      <c r="V44" t="str">
        <f t="shared" si="7"/>
        <v>Shot on Target Tinggi</v>
      </c>
      <c r="W44" t="str">
        <f t="shared" si="8"/>
        <v>Fouls Tinggi</v>
      </c>
      <c r="X44" t="str">
        <f t="shared" si="9"/>
        <v>Corner Tinggi</v>
      </c>
      <c r="Y44" t="str">
        <f t="shared" si="5"/>
        <v>Yellow Card Tinggi</v>
      </c>
      <c r="Z44" t="str">
        <f t="shared" si="6"/>
        <v>Red Card Rendah</v>
      </c>
    </row>
    <row r="45" spans="1:26" x14ac:dyDescent="0.25">
      <c r="A45" t="s">
        <v>59</v>
      </c>
      <c r="B45">
        <v>0.7</v>
      </c>
      <c r="C45">
        <v>58</v>
      </c>
      <c r="D45">
        <v>522</v>
      </c>
      <c r="E45">
        <v>426</v>
      </c>
      <c r="F45">
        <v>1</v>
      </c>
      <c r="G45" t="s">
        <v>36</v>
      </c>
      <c r="H45">
        <v>0</v>
      </c>
      <c r="I45" t="s">
        <v>40</v>
      </c>
      <c r="J45">
        <v>12</v>
      </c>
      <c r="K45">
        <v>2</v>
      </c>
      <c r="L45">
        <v>11</v>
      </c>
      <c r="M45">
        <v>6</v>
      </c>
      <c r="N45">
        <v>1</v>
      </c>
      <c r="O45">
        <v>0</v>
      </c>
      <c r="Q45" t="str">
        <f t="shared" si="0"/>
        <v>xG Sangat Sedikit</v>
      </c>
      <c r="R45" t="str">
        <f t="shared" si="1"/>
        <v>Possession Cukup Banyak</v>
      </c>
      <c r="S45" t="str">
        <f t="shared" si="2"/>
        <v>Total Pass Cukup Banyak</v>
      </c>
      <c r="T45" t="str">
        <f t="shared" si="3"/>
        <v>Pass Sukses Cukup Sedikit</v>
      </c>
      <c r="U45" t="str">
        <f t="shared" si="4"/>
        <v>Total Shot Cukup Sedikit</v>
      </c>
      <c r="V45" t="str">
        <f t="shared" si="7"/>
        <v>Shot on Target Rendah</v>
      </c>
      <c r="W45" t="str">
        <f t="shared" si="8"/>
        <v>Fouls Normal</v>
      </c>
      <c r="X45" t="str">
        <f t="shared" si="9"/>
        <v>Corner Tinggi</v>
      </c>
      <c r="Y45" t="str">
        <f t="shared" si="5"/>
        <v>Yellow Card Rendah</v>
      </c>
      <c r="Z45" t="str">
        <f t="shared" si="6"/>
        <v>Red Card Rendah</v>
      </c>
    </row>
    <row r="46" spans="1:26" x14ac:dyDescent="0.25">
      <c r="A46" t="s">
        <v>39</v>
      </c>
      <c r="B46">
        <v>2</v>
      </c>
      <c r="C46">
        <v>58</v>
      </c>
      <c r="D46">
        <v>619</v>
      </c>
      <c r="E46">
        <v>546</v>
      </c>
      <c r="F46">
        <v>3</v>
      </c>
      <c r="G46" t="s">
        <v>35</v>
      </c>
      <c r="H46">
        <v>3</v>
      </c>
      <c r="I46" t="s">
        <v>35</v>
      </c>
      <c r="J46">
        <v>19</v>
      </c>
      <c r="K46">
        <v>13</v>
      </c>
      <c r="L46">
        <v>10</v>
      </c>
      <c r="M46">
        <v>3</v>
      </c>
      <c r="N46">
        <v>1</v>
      </c>
      <c r="O46">
        <v>0</v>
      </c>
      <c r="Q46" t="str">
        <f t="shared" si="0"/>
        <v>xG Cukup Sedikit</v>
      </c>
      <c r="R46" t="str">
        <f t="shared" si="1"/>
        <v>Possession Cukup Banyak</v>
      </c>
      <c r="S46" t="str">
        <f t="shared" si="2"/>
        <v>Total Pass Cukup Banyak</v>
      </c>
      <c r="T46" t="str">
        <f t="shared" si="3"/>
        <v>Pass Sukses Cukup Banyak</v>
      </c>
      <c r="U46" t="str">
        <f t="shared" si="4"/>
        <v>Total Shot Cukup Sedikit</v>
      </c>
      <c r="V46" t="str">
        <f t="shared" si="7"/>
        <v>Shot on Target Tinggi</v>
      </c>
      <c r="W46" t="str">
        <f t="shared" si="8"/>
        <v>Fouls Normal</v>
      </c>
      <c r="X46" t="str">
        <f t="shared" si="9"/>
        <v>Corner Rendah</v>
      </c>
      <c r="Y46" t="str">
        <f t="shared" si="5"/>
        <v>Yellow Card Rendah</v>
      </c>
      <c r="Z46" t="str">
        <f t="shared" si="6"/>
        <v>Red Card Rendah</v>
      </c>
    </row>
    <row r="47" spans="1:26" x14ac:dyDescent="0.25">
      <c r="A47" t="s">
        <v>47</v>
      </c>
      <c r="B47">
        <v>2.4</v>
      </c>
      <c r="C47">
        <v>53</v>
      </c>
      <c r="D47">
        <v>517</v>
      </c>
      <c r="E47">
        <v>439</v>
      </c>
      <c r="F47">
        <v>1</v>
      </c>
      <c r="G47" t="s">
        <v>36</v>
      </c>
      <c r="H47">
        <v>1</v>
      </c>
      <c r="I47" t="s">
        <v>35</v>
      </c>
      <c r="J47">
        <v>11</v>
      </c>
      <c r="K47">
        <v>3</v>
      </c>
      <c r="L47">
        <v>16</v>
      </c>
      <c r="M47">
        <v>2</v>
      </c>
      <c r="N47">
        <v>4</v>
      </c>
      <c r="O47">
        <v>0</v>
      </c>
      <c r="Q47" t="str">
        <f t="shared" si="0"/>
        <v>xG Cukup Sedikit</v>
      </c>
      <c r="R47" t="str">
        <f t="shared" si="1"/>
        <v>Possession Cukup Banyak</v>
      </c>
      <c r="S47" t="str">
        <f t="shared" si="2"/>
        <v>Total Pass Cukup Banyak</v>
      </c>
      <c r="T47" t="str">
        <f t="shared" si="3"/>
        <v>Pass Sukses Cukup Banyak</v>
      </c>
      <c r="U47" t="str">
        <f t="shared" si="4"/>
        <v>Total Shot Cukup Sedikit</v>
      </c>
      <c r="V47" t="str">
        <f t="shared" si="7"/>
        <v>Shot on Target Rendah</v>
      </c>
      <c r="W47" t="str">
        <f t="shared" si="8"/>
        <v>Fouls Tinggi</v>
      </c>
      <c r="X47" t="str">
        <f t="shared" si="9"/>
        <v>Corner Rendah</v>
      </c>
      <c r="Y47" t="str">
        <f t="shared" si="5"/>
        <v>Yellow Card Tinggi</v>
      </c>
      <c r="Z47" t="str">
        <f t="shared" si="6"/>
        <v>Red Card Rendah</v>
      </c>
    </row>
    <row r="48" spans="1:26" x14ac:dyDescent="0.25">
      <c r="A48" t="s">
        <v>60</v>
      </c>
      <c r="B48">
        <v>3.5</v>
      </c>
      <c r="C48">
        <v>48</v>
      </c>
      <c r="D48">
        <v>485</v>
      </c>
      <c r="E48">
        <v>381</v>
      </c>
      <c r="F48">
        <v>3</v>
      </c>
      <c r="G48" t="s">
        <v>35</v>
      </c>
      <c r="H48">
        <v>2</v>
      </c>
      <c r="I48" t="s">
        <v>35</v>
      </c>
      <c r="J48">
        <v>23</v>
      </c>
      <c r="K48">
        <v>10</v>
      </c>
      <c r="L48">
        <v>11</v>
      </c>
      <c r="M48">
        <v>9</v>
      </c>
      <c r="N48">
        <v>3</v>
      </c>
      <c r="O48">
        <v>0</v>
      </c>
      <c r="Q48" t="str">
        <f t="shared" si="0"/>
        <v>xG Cukup Banyak</v>
      </c>
      <c r="R48" t="str">
        <f t="shared" si="1"/>
        <v>Possession Cukup Sedikit</v>
      </c>
      <c r="S48" t="str">
        <f t="shared" si="2"/>
        <v>Total Pass Cukup Sedikit</v>
      </c>
      <c r="T48" t="str">
        <f t="shared" si="3"/>
        <v>Pass Sukses Cukup Sedikit</v>
      </c>
      <c r="U48" t="str">
        <f t="shared" si="4"/>
        <v>Total Shot Cukup Banyak</v>
      </c>
      <c r="V48" t="str">
        <f t="shared" si="7"/>
        <v>Shot on Target Tinggi</v>
      </c>
      <c r="W48" t="str">
        <f t="shared" si="8"/>
        <v>Fouls Normal</v>
      </c>
      <c r="X48" t="str">
        <f t="shared" si="9"/>
        <v>Corner Tinggi</v>
      </c>
      <c r="Y48" t="str">
        <f t="shared" si="5"/>
        <v>Yellow Card Tinggi</v>
      </c>
      <c r="Z48" t="str">
        <f t="shared" si="6"/>
        <v>Red Card Rendah</v>
      </c>
    </row>
    <row r="49" spans="1:26" x14ac:dyDescent="0.25">
      <c r="A49" t="s">
        <v>55</v>
      </c>
      <c r="B49">
        <v>1</v>
      </c>
      <c r="C49">
        <v>33</v>
      </c>
      <c r="D49">
        <v>342</v>
      </c>
      <c r="E49">
        <v>239</v>
      </c>
      <c r="F49">
        <v>0</v>
      </c>
      <c r="G49" t="s">
        <v>36</v>
      </c>
      <c r="H49">
        <v>0</v>
      </c>
      <c r="I49" t="s">
        <v>36</v>
      </c>
      <c r="J49">
        <v>9</v>
      </c>
      <c r="K49">
        <v>4</v>
      </c>
      <c r="L49">
        <v>7</v>
      </c>
      <c r="M49">
        <v>4</v>
      </c>
      <c r="N49">
        <v>3</v>
      </c>
      <c r="O49">
        <v>0</v>
      </c>
      <c r="Q49" t="str">
        <f t="shared" si="0"/>
        <v>xG Sangat Sedikit</v>
      </c>
      <c r="R49" t="str">
        <f t="shared" si="1"/>
        <v>Possession Sangat Sedikit</v>
      </c>
      <c r="S49" t="str">
        <f t="shared" si="2"/>
        <v>Total Pass Sangat Sedikit</v>
      </c>
      <c r="T49" t="str">
        <f t="shared" si="3"/>
        <v>Pass Sukses Sangat Sedikit</v>
      </c>
      <c r="U49" t="str">
        <f t="shared" si="4"/>
        <v>Total Shot Sangat Sedikit</v>
      </c>
      <c r="V49" t="str">
        <f t="shared" si="7"/>
        <v>Shot on Target Normal</v>
      </c>
      <c r="W49" t="str">
        <f t="shared" si="8"/>
        <v>Fouls Rendah</v>
      </c>
      <c r="X49" t="str">
        <f t="shared" si="9"/>
        <v>Corner Rendah</v>
      </c>
      <c r="Y49" t="str">
        <f t="shared" si="5"/>
        <v>Yellow Card Tinggi</v>
      </c>
      <c r="Z49" t="str">
        <f t="shared" si="6"/>
        <v>Red Card Rendah</v>
      </c>
    </row>
    <row r="50" spans="1:26" x14ac:dyDescent="0.25">
      <c r="A50" t="s">
        <v>45</v>
      </c>
      <c r="B50">
        <v>1</v>
      </c>
      <c r="C50">
        <v>70</v>
      </c>
      <c r="D50">
        <v>619</v>
      </c>
      <c r="E50">
        <v>510</v>
      </c>
      <c r="F50">
        <v>2</v>
      </c>
      <c r="G50" t="s">
        <v>36</v>
      </c>
      <c r="H50">
        <v>2</v>
      </c>
      <c r="I50" t="s">
        <v>35</v>
      </c>
      <c r="J50">
        <v>14</v>
      </c>
      <c r="K50">
        <v>3</v>
      </c>
      <c r="L50">
        <v>12</v>
      </c>
      <c r="M50">
        <v>9</v>
      </c>
      <c r="N50">
        <v>3</v>
      </c>
      <c r="O50">
        <v>0</v>
      </c>
      <c r="Q50" t="str">
        <f t="shared" si="0"/>
        <v>xG Sangat Sedikit</v>
      </c>
      <c r="R50" t="str">
        <f t="shared" si="1"/>
        <v>Possession Sangat Banyak</v>
      </c>
      <c r="S50" t="str">
        <f t="shared" si="2"/>
        <v>Total Pass Cukup Banyak</v>
      </c>
      <c r="T50" t="str">
        <f t="shared" si="3"/>
        <v>Pass Sukses Cukup Banyak</v>
      </c>
      <c r="U50" t="str">
        <f t="shared" si="4"/>
        <v>Total Shot Cukup Sedikit</v>
      </c>
      <c r="V50" t="str">
        <f t="shared" si="7"/>
        <v>Shot on Target Rendah</v>
      </c>
      <c r="W50" t="str">
        <f t="shared" si="8"/>
        <v>Fouls Tinggi</v>
      </c>
      <c r="X50" t="str">
        <f t="shared" si="9"/>
        <v>Corner Tinggi</v>
      </c>
      <c r="Y50" t="str">
        <f t="shared" si="5"/>
        <v>Yellow Card Tinggi</v>
      </c>
      <c r="Z50" t="str">
        <f t="shared" si="6"/>
        <v>Red Card Rendah</v>
      </c>
    </row>
    <row r="51" spans="1:26" x14ac:dyDescent="0.25">
      <c r="A51" t="s">
        <v>58</v>
      </c>
      <c r="B51">
        <v>2.1</v>
      </c>
      <c r="C51">
        <v>77</v>
      </c>
      <c r="D51">
        <v>749</v>
      </c>
      <c r="E51">
        <v>669</v>
      </c>
      <c r="F51">
        <v>2</v>
      </c>
      <c r="G51" t="s">
        <v>36</v>
      </c>
      <c r="H51">
        <v>1</v>
      </c>
      <c r="I51" t="s">
        <v>40</v>
      </c>
      <c r="J51">
        <v>33</v>
      </c>
      <c r="K51">
        <v>11</v>
      </c>
      <c r="L51">
        <v>7</v>
      </c>
      <c r="M51">
        <v>8</v>
      </c>
      <c r="N51">
        <v>3</v>
      </c>
      <c r="O51">
        <v>0</v>
      </c>
      <c r="Q51" t="str">
        <f t="shared" si="0"/>
        <v>xG Cukup Sedikit</v>
      </c>
      <c r="R51" t="str">
        <f t="shared" si="1"/>
        <v>Possession Sangat Banyak</v>
      </c>
      <c r="S51" t="str">
        <f t="shared" si="2"/>
        <v>Total Pass Sangat Banyak</v>
      </c>
      <c r="T51" t="str">
        <f t="shared" si="3"/>
        <v>Pass Sukses Sangat Banyak</v>
      </c>
      <c r="U51" t="str">
        <f t="shared" si="4"/>
        <v>Total Shot Sangat Banyak</v>
      </c>
      <c r="V51" t="str">
        <f t="shared" si="7"/>
        <v>Shot on Target Tinggi</v>
      </c>
      <c r="W51" t="str">
        <f t="shared" si="8"/>
        <v>Fouls Rendah</v>
      </c>
      <c r="X51" t="str">
        <f t="shared" si="9"/>
        <v>Corner Tinggi</v>
      </c>
      <c r="Y51" t="str">
        <f t="shared" si="5"/>
        <v>Yellow Card Tinggi</v>
      </c>
      <c r="Z51" t="str">
        <f t="shared" si="6"/>
        <v>Red Card Rendah</v>
      </c>
    </row>
    <row r="52" spans="1:26" x14ac:dyDescent="0.25">
      <c r="A52" t="s">
        <v>46</v>
      </c>
      <c r="B52">
        <v>1.6</v>
      </c>
      <c r="C52">
        <v>38</v>
      </c>
      <c r="D52">
        <v>368</v>
      </c>
      <c r="E52">
        <v>285</v>
      </c>
      <c r="F52">
        <v>1</v>
      </c>
      <c r="G52" t="s">
        <v>36</v>
      </c>
      <c r="H52">
        <v>0</v>
      </c>
      <c r="I52" t="s">
        <v>40</v>
      </c>
      <c r="J52">
        <v>11</v>
      </c>
      <c r="K52">
        <v>4</v>
      </c>
      <c r="L52">
        <v>14</v>
      </c>
      <c r="M52">
        <v>5</v>
      </c>
      <c r="N52">
        <v>4</v>
      </c>
      <c r="O52">
        <v>0</v>
      </c>
      <c r="Q52" t="str">
        <f t="shared" si="0"/>
        <v>xG Cukup Sedikit</v>
      </c>
      <c r="R52" t="str">
        <f t="shared" si="1"/>
        <v>Possession Cukup Sedikit</v>
      </c>
      <c r="S52" t="str">
        <f t="shared" si="2"/>
        <v>Total Pass Cukup Sedikit</v>
      </c>
      <c r="T52" t="str">
        <f t="shared" si="3"/>
        <v>Pass Sukses Cukup Sedikit</v>
      </c>
      <c r="U52" t="str">
        <f t="shared" si="4"/>
        <v>Total Shot Cukup Sedikit</v>
      </c>
      <c r="V52" t="str">
        <f t="shared" si="7"/>
        <v>Shot on Target Normal</v>
      </c>
      <c r="W52" t="str">
        <f t="shared" si="8"/>
        <v>Fouls Tinggi</v>
      </c>
      <c r="X52" t="str">
        <f t="shared" si="9"/>
        <v>Corner Normal</v>
      </c>
      <c r="Y52" t="str">
        <f t="shared" si="5"/>
        <v>Yellow Card Tinggi</v>
      </c>
      <c r="Z52" t="str">
        <f t="shared" si="6"/>
        <v>Red Card Rendah</v>
      </c>
    </row>
    <row r="53" spans="1:26" x14ac:dyDescent="0.25">
      <c r="A53" t="s">
        <v>42</v>
      </c>
      <c r="B53">
        <v>4.4000000000000004</v>
      </c>
      <c r="C53">
        <v>74</v>
      </c>
      <c r="D53">
        <v>723</v>
      </c>
      <c r="E53">
        <v>620</v>
      </c>
      <c r="F53">
        <v>4</v>
      </c>
      <c r="G53" t="s">
        <v>35</v>
      </c>
      <c r="H53">
        <v>2</v>
      </c>
      <c r="I53" t="s">
        <v>35</v>
      </c>
      <c r="J53">
        <v>36</v>
      </c>
      <c r="K53">
        <v>16</v>
      </c>
      <c r="L53">
        <v>11</v>
      </c>
      <c r="M53">
        <v>17</v>
      </c>
      <c r="N53">
        <v>2</v>
      </c>
      <c r="O53">
        <v>0</v>
      </c>
      <c r="Q53" t="str">
        <f t="shared" si="0"/>
        <v>xG Sangat Banyak</v>
      </c>
      <c r="R53" t="str">
        <f t="shared" si="1"/>
        <v>Possession Sangat Banyak</v>
      </c>
      <c r="S53" t="str">
        <f t="shared" si="2"/>
        <v>Total Pass Sangat Banyak</v>
      </c>
      <c r="T53" t="str">
        <f t="shared" si="3"/>
        <v>Pass Sukses Sangat Banyak</v>
      </c>
      <c r="U53" t="str">
        <f t="shared" si="4"/>
        <v>Total Shot Sangat Banyak</v>
      </c>
      <c r="V53" t="str">
        <f t="shared" si="7"/>
        <v>Shot on Target Tinggi</v>
      </c>
      <c r="W53" t="str">
        <f t="shared" si="8"/>
        <v>Fouls Normal</v>
      </c>
      <c r="X53" t="str">
        <f t="shared" si="9"/>
        <v>Corner Tinggi</v>
      </c>
      <c r="Y53" t="str">
        <f t="shared" si="5"/>
        <v>Yellow Card Rendah</v>
      </c>
      <c r="Z53" t="str">
        <f t="shared" si="6"/>
        <v>Red Card Rendah</v>
      </c>
    </row>
    <row r="54" spans="1:26" x14ac:dyDescent="0.25">
      <c r="A54" t="s">
        <v>54</v>
      </c>
      <c r="B54">
        <v>0.4</v>
      </c>
      <c r="C54">
        <v>57</v>
      </c>
      <c r="D54">
        <v>578</v>
      </c>
      <c r="E54">
        <v>448</v>
      </c>
      <c r="F54">
        <v>1</v>
      </c>
      <c r="G54" t="s">
        <v>36</v>
      </c>
      <c r="H54">
        <v>1</v>
      </c>
      <c r="I54" t="s">
        <v>35</v>
      </c>
      <c r="J54">
        <v>8</v>
      </c>
      <c r="K54">
        <v>3</v>
      </c>
      <c r="L54">
        <v>2</v>
      </c>
      <c r="M54">
        <v>7</v>
      </c>
      <c r="N54">
        <v>2</v>
      </c>
      <c r="O54">
        <v>0</v>
      </c>
      <c r="Q54" t="str">
        <f t="shared" si="0"/>
        <v>xG Sangat Sedikit</v>
      </c>
      <c r="R54" t="str">
        <f t="shared" si="1"/>
        <v>Possession Cukup Banyak</v>
      </c>
      <c r="S54" t="str">
        <f t="shared" si="2"/>
        <v>Total Pass Cukup Banyak</v>
      </c>
      <c r="T54" t="str">
        <f t="shared" si="3"/>
        <v>Pass Sukses Cukup Banyak</v>
      </c>
      <c r="U54" t="str">
        <f t="shared" si="4"/>
        <v>Total Shot Sangat Sedikit</v>
      </c>
      <c r="V54" t="str">
        <f t="shared" si="7"/>
        <v>Shot on Target Rendah</v>
      </c>
      <c r="W54" t="str">
        <f t="shared" si="8"/>
        <v>Fouls Rendah</v>
      </c>
      <c r="X54" t="str">
        <f t="shared" si="9"/>
        <v>Corner Tinggi</v>
      </c>
      <c r="Y54" t="str">
        <f t="shared" si="5"/>
        <v>Yellow Card Rendah</v>
      </c>
      <c r="Z54" t="str">
        <f t="shared" si="6"/>
        <v>Red Card Rendah</v>
      </c>
    </row>
    <row r="55" spans="1:26" x14ac:dyDescent="0.25">
      <c r="A55" t="s">
        <v>57</v>
      </c>
      <c r="B55">
        <v>4.2</v>
      </c>
      <c r="C55">
        <v>41</v>
      </c>
      <c r="D55">
        <v>414</v>
      </c>
      <c r="E55">
        <v>312</v>
      </c>
      <c r="F55">
        <v>4</v>
      </c>
      <c r="G55" t="s">
        <v>35</v>
      </c>
      <c r="H55">
        <v>4</v>
      </c>
      <c r="I55" t="s">
        <v>35</v>
      </c>
      <c r="J55">
        <v>15</v>
      </c>
      <c r="K55">
        <v>7</v>
      </c>
      <c r="L55">
        <v>11</v>
      </c>
      <c r="M55">
        <v>8</v>
      </c>
      <c r="N55">
        <v>3</v>
      </c>
      <c r="O55">
        <v>0</v>
      </c>
      <c r="Q55" t="str">
        <f t="shared" si="0"/>
        <v>xG Cukup Banyak</v>
      </c>
      <c r="R55" t="str">
        <f t="shared" si="1"/>
        <v>Possession Cukup Sedikit</v>
      </c>
      <c r="S55" t="str">
        <f t="shared" si="2"/>
        <v>Total Pass Cukup Sedikit</v>
      </c>
      <c r="T55" t="str">
        <f t="shared" si="3"/>
        <v>Pass Sukses Cukup Sedikit</v>
      </c>
      <c r="U55" t="str">
        <f t="shared" si="4"/>
        <v>Total Shot Cukup Sedikit</v>
      </c>
      <c r="V55" t="str">
        <f t="shared" si="7"/>
        <v>Shot on Target Tinggi</v>
      </c>
      <c r="W55" t="str">
        <f t="shared" si="8"/>
        <v>Fouls Normal</v>
      </c>
      <c r="X55" t="str">
        <f t="shared" si="9"/>
        <v>Corner Tinggi</v>
      </c>
      <c r="Y55" t="str">
        <f t="shared" si="5"/>
        <v>Yellow Card Tinggi</v>
      </c>
      <c r="Z55" t="str">
        <f t="shared" si="6"/>
        <v>Red Card Rendah</v>
      </c>
    </row>
    <row r="56" spans="1:26" x14ac:dyDescent="0.25">
      <c r="A56" t="s">
        <v>44</v>
      </c>
      <c r="B56">
        <v>0.9</v>
      </c>
      <c r="C56">
        <v>41</v>
      </c>
      <c r="D56">
        <v>399</v>
      </c>
      <c r="E56">
        <v>287</v>
      </c>
      <c r="F56">
        <v>2</v>
      </c>
      <c r="G56" t="s">
        <v>35</v>
      </c>
      <c r="H56">
        <v>0</v>
      </c>
      <c r="I56" t="s">
        <v>40</v>
      </c>
      <c r="J56">
        <v>8</v>
      </c>
      <c r="K56">
        <v>2</v>
      </c>
      <c r="L56">
        <v>13</v>
      </c>
      <c r="M56">
        <v>5</v>
      </c>
      <c r="N56">
        <v>2</v>
      </c>
      <c r="O56">
        <v>0</v>
      </c>
      <c r="Q56" t="str">
        <f t="shared" si="0"/>
        <v>xG Sangat Sedikit</v>
      </c>
      <c r="R56" t="str">
        <f t="shared" si="1"/>
        <v>Possession Cukup Sedikit</v>
      </c>
      <c r="S56" t="str">
        <f t="shared" si="2"/>
        <v>Total Pass Cukup Sedikit</v>
      </c>
      <c r="T56" t="str">
        <f t="shared" si="3"/>
        <v>Pass Sukses Cukup Sedikit</v>
      </c>
      <c r="U56" t="str">
        <f t="shared" si="4"/>
        <v>Total Shot Sangat Sedikit</v>
      </c>
      <c r="V56" t="str">
        <f t="shared" si="7"/>
        <v>Shot on Target Rendah</v>
      </c>
      <c r="W56" t="str">
        <f t="shared" si="8"/>
        <v>Fouls Tinggi</v>
      </c>
      <c r="X56" t="str">
        <f t="shared" si="9"/>
        <v>Corner Normal</v>
      </c>
      <c r="Y56" t="str">
        <f t="shared" si="5"/>
        <v>Yellow Card Rendah</v>
      </c>
      <c r="Z56" t="str">
        <f t="shared" si="6"/>
        <v>Red Card Rendah</v>
      </c>
    </row>
    <row r="57" spans="1:26" x14ac:dyDescent="0.25">
      <c r="A57" t="s">
        <v>48</v>
      </c>
      <c r="B57">
        <v>0.8</v>
      </c>
      <c r="C57">
        <v>41</v>
      </c>
      <c r="D57">
        <v>398</v>
      </c>
      <c r="E57">
        <v>291</v>
      </c>
      <c r="F57">
        <v>0</v>
      </c>
      <c r="G57" t="s">
        <v>40</v>
      </c>
      <c r="H57">
        <v>0</v>
      </c>
      <c r="I57" t="s">
        <v>36</v>
      </c>
      <c r="J57">
        <v>11</v>
      </c>
      <c r="K57">
        <v>1</v>
      </c>
      <c r="L57">
        <v>11</v>
      </c>
      <c r="M57">
        <v>6</v>
      </c>
      <c r="N57">
        <v>2</v>
      </c>
      <c r="O57">
        <v>0</v>
      </c>
      <c r="Q57" t="str">
        <f t="shared" si="0"/>
        <v>xG Sangat Sedikit</v>
      </c>
      <c r="R57" t="str">
        <f t="shared" si="1"/>
        <v>Possession Cukup Sedikit</v>
      </c>
      <c r="S57" t="str">
        <f t="shared" si="2"/>
        <v>Total Pass Cukup Sedikit</v>
      </c>
      <c r="T57" t="str">
        <f t="shared" si="3"/>
        <v>Pass Sukses Cukup Sedikit</v>
      </c>
      <c r="U57" t="str">
        <f t="shared" si="4"/>
        <v>Total Shot Cukup Sedikit</v>
      </c>
      <c r="V57" t="str">
        <f t="shared" si="7"/>
        <v>Shot on Target Rendah</v>
      </c>
      <c r="W57" t="str">
        <f t="shared" si="8"/>
        <v>Fouls Normal</v>
      </c>
      <c r="X57" t="str">
        <f t="shared" si="9"/>
        <v>Corner Tinggi</v>
      </c>
      <c r="Y57" t="str">
        <f t="shared" si="5"/>
        <v>Yellow Card Rendah</v>
      </c>
      <c r="Z57" t="str">
        <f t="shared" si="6"/>
        <v>Red Card Rendah</v>
      </c>
    </row>
    <row r="58" spans="1:26" x14ac:dyDescent="0.25">
      <c r="A58" t="s">
        <v>43</v>
      </c>
      <c r="B58">
        <v>0.6</v>
      </c>
      <c r="C58">
        <v>45</v>
      </c>
      <c r="D58">
        <v>465</v>
      </c>
      <c r="E58">
        <v>382</v>
      </c>
      <c r="F58">
        <v>1</v>
      </c>
      <c r="G58" t="s">
        <v>40</v>
      </c>
      <c r="H58">
        <v>0</v>
      </c>
      <c r="I58" t="s">
        <v>40</v>
      </c>
      <c r="J58">
        <v>8</v>
      </c>
      <c r="K58">
        <v>3</v>
      </c>
      <c r="L58">
        <v>16</v>
      </c>
      <c r="M58">
        <v>2</v>
      </c>
      <c r="N58">
        <v>2</v>
      </c>
      <c r="O58">
        <v>0</v>
      </c>
      <c r="Q58" t="str">
        <f t="shared" si="0"/>
        <v>xG Sangat Sedikit</v>
      </c>
      <c r="R58" t="str">
        <f t="shared" si="1"/>
        <v>Possession Cukup Sedikit</v>
      </c>
      <c r="S58" t="str">
        <f t="shared" si="2"/>
        <v>Total Pass Cukup Sedikit</v>
      </c>
      <c r="T58" t="str">
        <f t="shared" si="3"/>
        <v>Pass Sukses Cukup Sedikit</v>
      </c>
      <c r="U58" t="str">
        <f t="shared" si="4"/>
        <v>Total Shot Sangat Sedikit</v>
      </c>
      <c r="V58" t="str">
        <f t="shared" si="7"/>
        <v>Shot on Target Rendah</v>
      </c>
      <c r="W58" t="str">
        <f t="shared" si="8"/>
        <v>Fouls Tinggi</v>
      </c>
      <c r="X58" t="str">
        <f t="shared" si="9"/>
        <v>Corner Rendah</v>
      </c>
      <c r="Y58" t="str">
        <f t="shared" si="5"/>
        <v>Yellow Card Rendah</v>
      </c>
      <c r="Z58" t="str">
        <f t="shared" si="6"/>
        <v>Red Card Rendah</v>
      </c>
    </row>
    <row r="59" spans="1:26" x14ac:dyDescent="0.25">
      <c r="A59" t="s">
        <v>38</v>
      </c>
      <c r="B59">
        <v>1.2</v>
      </c>
      <c r="C59">
        <v>44</v>
      </c>
      <c r="D59">
        <v>441</v>
      </c>
      <c r="E59">
        <v>361</v>
      </c>
      <c r="F59">
        <v>2</v>
      </c>
      <c r="G59" t="s">
        <v>36</v>
      </c>
      <c r="H59">
        <v>1</v>
      </c>
      <c r="I59" t="s">
        <v>40</v>
      </c>
      <c r="J59">
        <v>15</v>
      </c>
      <c r="K59">
        <v>5</v>
      </c>
      <c r="L59">
        <v>10</v>
      </c>
      <c r="M59">
        <v>10</v>
      </c>
      <c r="N59">
        <v>4</v>
      </c>
      <c r="O59">
        <v>0</v>
      </c>
      <c r="Q59" t="str">
        <f t="shared" si="0"/>
        <v>xG Sangat Sedikit</v>
      </c>
      <c r="R59" t="str">
        <f t="shared" si="1"/>
        <v>Possession Cukup Sedikit</v>
      </c>
      <c r="S59" t="str">
        <f t="shared" si="2"/>
        <v>Total Pass Cukup Sedikit</v>
      </c>
      <c r="T59" t="str">
        <f t="shared" si="3"/>
        <v>Pass Sukses Cukup Sedikit</v>
      </c>
      <c r="U59" t="str">
        <f t="shared" si="4"/>
        <v>Total Shot Cukup Sedikit</v>
      </c>
      <c r="V59" t="str">
        <f t="shared" si="7"/>
        <v>Shot on Target Tinggi</v>
      </c>
      <c r="W59" t="str">
        <f t="shared" si="8"/>
        <v>Fouls Normal</v>
      </c>
      <c r="X59" t="str">
        <f t="shared" si="9"/>
        <v>Corner Tinggi</v>
      </c>
      <c r="Y59" t="str">
        <f t="shared" si="5"/>
        <v>Yellow Card Tinggi</v>
      </c>
      <c r="Z59" t="str">
        <f t="shared" si="6"/>
        <v>Red Card Rendah</v>
      </c>
    </row>
    <row r="60" spans="1:26" x14ac:dyDescent="0.25">
      <c r="A60" t="s">
        <v>33</v>
      </c>
      <c r="B60">
        <v>1</v>
      </c>
      <c r="C60">
        <v>39</v>
      </c>
      <c r="D60">
        <v>436</v>
      </c>
      <c r="E60">
        <v>336</v>
      </c>
      <c r="F60">
        <v>0</v>
      </c>
      <c r="G60" t="s">
        <v>40</v>
      </c>
      <c r="H60">
        <v>0</v>
      </c>
      <c r="I60" t="s">
        <v>40</v>
      </c>
      <c r="J60">
        <v>11</v>
      </c>
      <c r="K60">
        <v>2</v>
      </c>
      <c r="L60">
        <v>16</v>
      </c>
      <c r="M60">
        <v>5</v>
      </c>
      <c r="N60">
        <v>5</v>
      </c>
      <c r="O60">
        <v>1</v>
      </c>
      <c r="Q60" t="str">
        <f t="shared" si="0"/>
        <v>xG Sangat Sedikit</v>
      </c>
      <c r="R60" t="str">
        <f t="shared" si="1"/>
        <v>Possession Cukup Sedikit</v>
      </c>
      <c r="S60" t="str">
        <f t="shared" si="2"/>
        <v>Total Pass Cukup Sedikit</v>
      </c>
      <c r="T60" t="str">
        <f t="shared" si="3"/>
        <v>Pass Sukses Cukup Sedikit</v>
      </c>
      <c r="U60" t="str">
        <f t="shared" si="4"/>
        <v>Total Shot Cukup Sedikit</v>
      </c>
      <c r="V60" t="str">
        <f t="shared" si="7"/>
        <v>Shot on Target Rendah</v>
      </c>
      <c r="W60" t="str">
        <f t="shared" si="8"/>
        <v>Fouls Tinggi</v>
      </c>
      <c r="X60" t="str">
        <f t="shared" si="9"/>
        <v>Corner Normal</v>
      </c>
      <c r="Y60" t="str">
        <f t="shared" si="5"/>
        <v>Yellow Card Tinggi</v>
      </c>
      <c r="Z60" t="str">
        <f t="shared" si="6"/>
        <v>Red Card Tinggi</v>
      </c>
    </row>
    <row r="61" spans="1:26" x14ac:dyDescent="0.25">
      <c r="A61" t="s">
        <v>49</v>
      </c>
      <c r="B61">
        <v>1.3</v>
      </c>
      <c r="C61">
        <v>40</v>
      </c>
      <c r="D61">
        <v>420</v>
      </c>
      <c r="E61">
        <v>321</v>
      </c>
      <c r="F61">
        <v>3</v>
      </c>
      <c r="G61" t="s">
        <v>35</v>
      </c>
      <c r="H61">
        <v>3</v>
      </c>
      <c r="I61" t="s">
        <v>35</v>
      </c>
      <c r="J61">
        <v>14</v>
      </c>
      <c r="K61">
        <v>6</v>
      </c>
      <c r="L61">
        <v>19</v>
      </c>
      <c r="M61">
        <v>7</v>
      </c>
      <c r="N61">
        <v>2</v>
      </c>
      <c r="O61">
        <v>0</v>
      </c>
      <c r="Q61" t="str">
        <f t="shared" si="0"/>
        <v>xG Sangat Sedikit</v>
      </c>
      <c r="R61" t="str">
        <f t="shared" si="1"/>
        <v>Possession Cukup Sedikit</v>
      </c>
      <c r="S61" t="str">
        <f t="shared" si="2"/>
        <v>Total Pass Cukup Sedikit</v>
      </c>
      <c r="T61" t="str">
        <f t="shared" si="3"/>
        <v>Pass Sukses Cukup Sedikit</v>
      </c>
      <c r="U61" t="str">
        <f t="shared" si="4"/>
        <v>Total Shot Cukup Sedikit</v>
      </c>
      <c r="V61" t="str">
        <f t="shared" si="7"/>
        <v>Shot on Target Tinggi</v>
      </c>
      <c r="W61" t="str">
        <f t="shared" si="8"/>
        <v>Fouls Tinggi</v>
      </c>
      <c r="X61" t="str">
        <f t="shared" si="9"/>
        <v>Corner Tinggi</v>
      </c>
      <c r="Y61" t="str">
        <f t="shared" si="5"/>
        <v>Yellow Card Rendah</v>
      </c>
      <c r="Z61" t="str">
        <f t="shared" si="6"/>
        <v>Red Card Rendah</v>
      </c>
    </row>
    <row r="62" spans="1:26" x14ac:dyDescent="0.25">
      <c r="A62" t="s">
        <v>55</v>
      </c>
      <c r="B62">
        <v>0.6</v>
      </c>
      <c r="C62">
        <v>32</v>
      </c>
      <c r="D62">
        <v>325</v>
      </c>
      <c r="E62">
        <v>221</v>
      </c>
      <c r="F62">
        <v>0</v>
      </c>
      <c r="G62" t="s">
        <v>40</v>
      </c>
      <c r="H62">
        <v>0</v>
      </c>
      <c r="I62" t="s">
        <v>40</v>
      </c>
      <c r="J62">
        <v>9</v>
      </c>
      <c r="K62">
        <v>5</v>
      </c>
      <c r="L62">
        <v>7</v>
      </c>
      <c r="M62">
        <v>3</v>
      </c>
      <c r="N62">
        <v>4</v>
      </c>
      <c r="O62">
        <v>0</v>
      </c>
      <c r="Q62" t="str">
        <f t="shared" si="0"/>
        <v>xG Sangat Sedikit</v>
      </c>
      <c r="R62" t="str">
        <f t="shared" si="1"/>
        <v>Possession Sangat Sedikit</v>
      </c>
      <c r="S62" t="str">
        <f t="shared" si="2"/>
        <v>Total Pass Sangat Sedikit</v>
      </c>
      <c r="T62" t="str">
        <f t="shared" si="3"/>
        <v>Pass Sukses Sangat Sedikit</v>
      </c>
      <c r="U62" t="str">
        <f t="shared" si="4"/>
        <v>Total Shot Sangat Sedikit</v>
      </c>
      <c r="V62" t="str">
        <f t="shared" si="7"/>
        <v>Shot on Target Tinggi</v>
      </c>
      <c r="W62" t="str">
        <f t="shared" si="8"/>
        <v>Fouls Rendah</v>
      </c>
      <c r="X62" t="str">
        <f t="shared" si="9"/>
        <v>Corner Rendah</v>
      </c>
      <c r="Y62" t="str">
        <f t="shared" si="5"/>
        <v>Yellow Card Tinggi</v>
      </c>
      <c r="Z62" t="str">
        <f t="shared" si="6"/>
        <v>Red Card Rendah</v>
      </c>
    </row>
    <row r="63" spans="1:26" x14ac:dyDescent="0.25">
      <c r="A63" t="s">
        <v>42</v>
      </c>
      <c r="B63">
        <v>2.8</v>
      </c>
      <c r="C63">
        <v>59</v>
      </c>
      <c r="D63">
        <v>590</v>
      </c>
      <c r="E63">
        <v>505</v>
      </c>
      <c r="F63">
        <v>3</v>
      </c>
      <c r="G63" t="s">
        <v>35</v>
      </c>
      <c r="H63">
        <v>0</v>
      </c>
      <c r="I63" t="s">
        <v>36</v>
      </c>
      <c r="J63">
        <v>29</v>
      </c>
      <c r="K63">
        <v>6</v>
      </c>
      <c r="L63">
        <v>10</v>
      </c>
      <c r="M63">
        <v>13</v>
      </c>
      <c r="N63">
        <v>0</v>
      </c>
      <c r="O63">
        <v>0</v>
      </c>
      <c r="Q63" t="str">
        <f t="shared" si="0"/>
        <v>xG Cukup Sedikit</v>
      </c>
      <c r="R63" t="str">
        <f t="shared" si="1"/>
        <v>Possession Cukup Banyak</v>
      </c>
      <c r="S63" t="str">
        <f t="shared" si="2"/>
        <v>Total Pass Cukup Banyak</v>
      </c>
      <c r="T63" t="str">
        <f t="shared" si="3"/>
        <v>Pass Sukses Cukup Banyak</v>
      </c>
      <c r="U63" t="str">
        <f t="shared" si="4"/>
        <v>Total Shot Sangat Banyak</v>
      </c>
      <c r="V63" t="str">
        <f t="shared" si="7"/>
        <v>Shot on Target Tinggi</v>
      </c>
      <c r="W63" t="str">
        <f t="shared" si="8"/>
        <v>Fouls Normal</v>
      </c>
      <c r="X63" t="str">
        <f t="shared" si="9"/>
        <v>Corner Tinggi</v>
      </c>
      <c r="Y63" t="str">
        <f t="shared" si="5"/>
        <v>Yellow Card Rendah</v>
      </c>
      <c r="Z63" t="str">
        <f t="shared" si="6"/>
        <v>Red Card Rendah</v>
      </c>
    </row>
    <row r="64" spans="1:26" x14ac:dyDescent="0.25">
      <c r="A64" t="s">
        <v>54</v>
      </c>
      <c r="B64">
        <v>4.2</v>
      </c>
      <c r="C64">
        <v>44</v>
      </c>
      <c r="D64">
        <v>410</v>
      </c>
      <c r="E64">
        <v>308</v>
      </c>
      <c r="F64">
        <v>5</v>
      </c>
      <c r="G64" t="s">
        <v>35</v>
      </c>
      <c r="H64">
        <v>4</v>
      </c>
      <c r="I64" t="s">
        <v>35</v>
      </c>
      <c r="J64">
        <v>19</v>
      </c>
      <c r="K64">
        <v>12</v>
      </c>
      <c r="L64">
        <v>9</v>
      </c>
      <c r="M64">
        <v>10</v>
      </c>
      <c r="N64">
        <v>2</v>
      </c>
      <c r="O64">
        <v>0</v>
      </c>
      <c r="Q64" t="str">
        <f t="shared" si="0"/>
        <v>xG Cukup Banyak</v>
      </c>
      <c r="R64" t="str">
        <f t="shared" si="1"/>
        <v>Possession Cukup Sedikit</v>
      </c>
      <c r="S64" t="str">
        <f t="shared" si="2"/>
        <v>Total Pass Cukup Sedikit</v>
      </c>
      <c r="T64" t="str">
        <f t="shared" si="3"/>
        <v>Pass Sukses Cukup Sedikit</v>
      </c>
      <c r="U64" t="str">
        <f t="shared" si="4"/>
        <v>Total Shot Cukup Sedikit</v>
      </c>
      <c r="V64" t="str">
        <f t="shared" si="7"/>
        <v>Shot on Target Tinggi</v>
      </c>
      <c r="W64" t="str">
        <f t="shared" si="8"/>
        <v>Fouls Normal</v>
      </c>
      <c r="X64" t="str">
        <f t="shared" si="9"/>
        <v>Corner Tinggi</v>
      </c>
      <c r="Y64" t="str">
        <f t="shared" si="5"/>
        <v>Yellow Card Rendah</v>
      </c>
      <c r="Z64" t="str">
        <f t="shared" si="6"/>
        <v>Red Card Rendah</v>
      </c>
    </row>
    <row r="65" spans="1:26" x14ac:dyDescent="0.25">
      <c r="A65" t="s">
        <v>59</v>
      </c>
      <c r="B65">
        <v>0.8</v>
      </c>
      <c r="C65">
        <v>45</v>
      </c>
      <c r="D65">
        <v>404</v>
      </c>
      <c r="E65">
        <v>306</v>
      </c>
      <c r="F65">
        <v>1</v>
      </c>
      <c r="G65" t="s">
        <v>35</v>
      </c>
      <c r="H65">
        <v>1</v>
      </c>
      <c r="I65" t="s">
        <v>35</v>
      </c>
      <c r="J65">
        <v>6</v>
      </c>
      <c r="K65">
        <v>2</v>
      </c>
      <c r="L65">
        <v>12</v>
      </c>
      <c r="M65">
        <v>0</v>
      </c>
      <c r="N65">
        <v>4</v>
      </c>
      <c r="O65">
        <v>0</v>
      </c>
      <c r="Q65" t="str">
        <f t="shared" si="0"/>
        <v>xG Sangat Sedikit</v>
      </c>
      <c r="R65" t="str">
        <f t="shared" si="1"/>
        <v>Possession Cukup Sedikit</v>
      </c>
      <c r="S65" t="str">
        <f t="shared" si="2"/>
        <v>Total Pass Cukup Sedikit</v>
      </c>
      <c r="T65" t="str">
        <f t="shared" si="3"/>
        <v>Pass Sukses Cukup Sedikit</v>
      </c>
      <c r="U65" t="str">
        <f t="shared" si="4"/>
        <v>Total Shot Sangat Sedikit</v>
      </c>
      <c r="V65" t="str">
        <f t="shared" si="7"/>
        <v>Shot on Target Rendah</v>
      </c>
      <c r="W65" t="str">
        <f t="shared" si="8"/>
        <v>Fouls Tinggi</v>
      </c>
      <c r="X65" t="str">
        <f t="shared" si="9"/>
        <v>Corner Rendah</v>
      </c>
      <c r="Y65" t="str">
        <f t="shared" si="5"/>
        <v>Yellow Card Tinggi</v>
      </c>
      <c r="Z65" t="str">
        <f t="shared" si="6"/>
        <v>Red Card Rendah</v>
      </c>
    </row>
    <row r="66" spans="1:26" x14ac:dyDescent="0.25">
      <c r="A66" t="s">
        <v>58</v>
      </c>
      <c r="B66">
        <v>1.6</v>
      </c>
      <c r="C66">
        <v>58</v>
      </c>
      <c r="D66">
        <v>663</v>
      </c>
      <c r="E66">
        <v>592</v>
      </c>
      <c r="F66">
        <v>3</v>
      </c>
      <c r="G66" t="s">
        <v>35</v>
      </c>
      <c r="H66">
        <v>1</v>
      </c>
      <c r="I66" t="s">
        <v>36</v>
      </c>
      <c r="J66">
        <v>20</v>
      </c>
      <c r="K66">
        <v>7</v>
      </c>
      <c r="L66">
        <v>4</v>
      </c>
      <c r="M66">
        <v>8</v>
      </c>
      <c r="N66">
        <v>2</v>
      </c>
      <c r="O66">
        <v>0</v>
      </c>
      <c r="Q66" t="str">
        <f t="shared" si="0"/>
        <v>xG Cukup Sedikit</v>
      </c>
      <c r="R66" t="str">
        <f t="shared" si="1"/>
        <v>Possession Cukup Banyak</v>
      </c>
      <c r="S66" t="str">
        <f t="shared" si="2"/>
        <v>Total Pass Sangat Banyak</v>
      </c>
      <c r="T66" t="str">
        <f t="shared" si="3"/>
        <v>Pass Sukses Cukup Banyak</v>
      </c>
      <c r="U66" t="str">
        <f t="shared" si="4"/>
        <v>Total Shot Cukup Banyak</v>
      </c>
      <c r="V66" t="str">
        <f t="shared" si="7"/>
        <v>Shot on Target Tinggi</v>
      </c>
      <c r="W66" t="str">
        <f t="shared" si="8"/>
        <v>Fouls Rendah</v>
      </c>
      <c r="X66" t="str">
        <f t="shared" si="9"/>
        <v>Corner Tinggi</v>
      </c>
      <c r="Y66" t="str">
        <f t="shared" si="5"/>
        <v>Yellow Card Rendah</v>
      </c>
      <c r="Z66" t="str">
        <f t="shared" si="6"/>
        <v>Red Card Rendah</v>
      </c>
    </row>
    <row r="67" spans="1:26" x14ac:dyDescent="0.25">
      <c r="A67" t="s">
        <v>51</v>
      </c>
      <c r="B67">
        <v>3.6</v>
      </c>
      <c r="C67">
        <v>52</v>
      </c>
      <c r="D67">
        <v>528</v>
      </c>
      <c r="E67">
        <v>452</v>
      </c>
      <c r="F67">
        <v>4</v>
      </c>
      <c r="G67" t="s">
        <v>35</v>
      </c>
      <c r="H67">
        <v>2</v>
      </c>
      <c r="I67" t="s">
        <v>35</v>
      </c>
      <c r="J67">
        <v>23</v>
      </c>
      <c r="K67">
        <v>13</v>
      </c>
      <c r="L67">
        <v>12</v>
      </c>
      <c r="M67">
        <v>5</v>
      </c>
      <c r="N67">
        <v>0</v>
      </c>
      <c r="O67">
        <v>0</v>
      </c>
      <c r="Q67" t="str">
        <f t="shared" ref="Q67:Q130" si="10">_xlfn.LET(
 _xlpm.x,B67,
 _xlpm.min,MIN($B$2:$B$761),
 _xlpm.max,MAX($B$2:$B$761),
 _xlpm.persen,(_xlpm.x-_xlpm.min)/(_xlpm.max-_xlpm.min)*100,
 IF(_xlpm.persen&lt;=25,"xG Sangat Sedikit",
   IF(_xlpm.persen&lt;=50,"xG Cukup Sedikit",
     IF(_xlpm.persen&lt;=75,"xG Cukup Banyak",
       "xG Sangat Banyak"))))</f>
        <v>xG Cukup Banyak</v>
      </c>
      <c r="R67" t="str">
        <f t="shared" ref="R67:R130" si="11">_xlfn.LET(
 _xlpm.x,C67,
 _xlpm.min,MIN($C$2:$C$761),
 _xlpm.max,MAX($C$2:$C$761),
 _xlpm.persen,(_xlpm.x-_xlpm.min)/(_xlpm.max-_xlpm.min)*100,
 IF(_xlpm.persen&lt;=25,"Possession Sangat Sedikit",
   IF(_xlpm.persen&lt;=50,"Possession Cukup Sedikit",
     IF(_xlpm.persen&lt;=75,"Possession Cukup Banyak",
       "Possession Sangat Banyak"))))</f>
        <v>Possession Cukup Banyak</v>
      </c>
      <c r="S67" t="str">
        <f t="shared" ref="S67:S130" si="12">_xlfn.LET(
 _xlpm.x,D67,
 _xlpm.min,MIN($D$2:$D$761),
 _xlpm.max,MAX($D$2:$D$761),
 _xlpm.persen,(_xlpm.x-_xlpm.min)/(_xlpm.max-_xlpm.min)*100,
 IF(_xlpm.persen&lt;=25,"Total Pass Sangat Sedikit",
   IF(_xlpm.persen&lt;=50,"Total Pass Cukup Sedikit",
     IF(_xlpm.persen&lt;=75,"Total Pass Cukup Banyak",
       "Total Pass Sangat Banyak"))))</f>
        <v>Total Pass Cukup Banyak</v>
      </c>
      <c r="T67" t="str">
        <f t="shared" ref="T67:T130" si="13">_xlfn.LET(
 _xlpm.x,E67,
 _xlpm.min,MIN($E$2:$E$761),
 _xlpm.max,MAX($E$2:$E$761),
 _xlpm.persen,(_xlpm.x-_xlpm.min)/(_xlpm.max-_xlpm.min)*100,
 IF(_xlpm.persen&lt;=25,"Pass Sukses Sangat Sedikit",
   IF(_xlpm.persen&lt;=50,"Pass Sukses Cukup Sedikit",
     IF(_xlpm.persen&lt;=75,"Pass Sukses Cukup Banyak",
       "Pass Sukses Sangat Banyak"))))</f>
        <v>Pass Sukses Cukup Banyak</v>
      </c>
      <c r="U67" t="str">
        <f t="shared" ref="U67:U130" si="14">_xlfn.LET(
 _xlpm.x,J67,
 _xlpm.min,MIN($J$2:$J$761),
 _xlpm.max,MAX($J$2:$J$761),
 _xlpm.persen,(_xlpm.x-_xlpm.min)/(_xlpm.max-_xlpm.min)*100,
 IF(_xlpm.persen&lt;=25,"Total Shot Sangat Sedikit",
   IF(_xlpm.persen&lt;=50,"Total Shot Cukup Sedikit",
     IF(_xlpm.persen&lt;=75,"Total Shot Cukup Banyak",
       "Total Shot Sangat Banyak"))))</f>
        <v>Total Shot Cukup Banyak</v>
      </c>
      <c r="V67" t="str">
        <f t="shared" si="7"/>
        <v>Shot on Target Tinggi</v>
      </c>
      <c r="W67" t="str">
        <f t="shared" si="8"/>
        <v>Fouls Tinggi</v>
      </c>
      <c r="X67" t="str">
        <f t="shared" si="9"/>
        <v>Corner Normal</v>
      </c>
      <c r="Y67" t="str">
        <f t="shared" ref="Y67:Y130" si="15">IF(N67&lt;$Y$1,"Yellow Card Rendah","Yellow Card Tinggi")</f>
        <v>Yellow Card Rendah</v>
      </c>
      <c r="Z67" t="str">
        <f t="shared" ref="Z67:Z130" si="16">IF(O67&lt;$Z$1,"Red Card Rendah","Red Card Tinggi")</f>
        <v>Red Card Rendah</v>
      </c>
    </row>
    <row r="68" spans="1:26" x14ac:dyDescent="0.25">
      <c r="A68" t="s">
        <v>44</v>
      </c>
      <c r="B68">
        <v>0.7</v>
      </c>
      <c r="C68">
        <v>33</v>
      </c>
      <c r="D68">
        <v>340</v>
      </c>
      <c r="E68">
        <v>246</v>
      </c>
      <c r="F68">
        <v>0</v>
      </c>
      <c r="G68" t="s">
        <v>36</v>
      </c>
      <c r="H68">
        <v>0</v>
      </c>
      <c r="I68" t="s">
        <v>36</v>
      </c>
      <c r="J68">
        <v>8</v>
      </c>
      <c r="K68">
        <v>2</v>
      </c>
      <c r="L68">
        <v>12</v>
      </c>
      <c r="M68">
        <v>0</v>
      </c>
      <c r="N68">
        <v>1</v>
      </c>
      <c r="O68">
        <v>0</v>
      </c>
      <c r="Q68" t="str">
        <f t="shared" si="10"/>
        <v>xG Sangat Sedikit</v>
      </c>
      <c r="R68" t="str">
        <f t="shared" si="11"/>
        <v>Possession Sangat Sedikit</v>
      </c>
      <c r="S68" t="str">
        <f t="shared" si="12"/>
        <v>Total Pass Sangat Sedikit</v>
      </c>
      <c r="T68" t="str">
        <f t="shared" si="13"/>
        <v>Pass Sukses Sangat Sedikit</v>
      </c>
      <c r="U68" t="str">
        <f t="shared" si="14"/>
        <v>Total Shot Sangat Sedikit</v>
      </c>
      <c r="V68" t="str">
        <f t="shared" ref="V68:V131" si="17">IF(K68&gt;$V$1,"Shot on Target Tinggi",IF(K68&gt;($V$1/5*4),"Shot on Target Normal","Shot on Target Rendah"))</f>
        <v>Shot on Target Rendah</v>
      </c>
      <c r="W68" t="str">
        <f t="shared" ref="W68:W131" si="18">IF(L68&gt;$W$1,"Fouls Tinggi",IF(L68&gt;($W$1/5*4),"Fouls Normal","Fouls Rendah"))</f>
        <v>Fouls Tinggi</v>
      </c>
      <c r="X68" t="str">
        <f t="shared" ref="X68:X131" si="19">IF(M68&gt;$X$1,"Corner Tinggi",IF(M68&gt;($X$1/5*4),"Corner Normal","Corner Rendah"))</f>
        <v>Corner Rendah</v>
      </c>
      <c r="Y68" t="str">
        <f t="shared" si="15"/>
        <v>Yellow Card Rendah</v>
      </c>
      <c r="Z68" t="str">
        <f t="shared" si="16"/>
        <v>Red Card Rendah</v>
      </c>
    </row>
    <row r="69" spans="1:26" x14ac:dyDescent="0.25">
      <c r="A69" t="s">
        <v>52</v>
      </c>
      <c r="B69">
        <v>0.5</v>
      </c>
      <c r="C69">
        <v>53</v>
      </c>
      <c r="D69">
        <v>454</v>
      </c>
      <c r="E69">
        <v>359</v>
      </c>
      <c r="F69">
        <v>0</v>
      </c>
      <c r="G69" t="s">
        <v>36</v>
      </c>
      <c r="H69">
        <v>0</v>
      </c>
      <c r="I69" t="s">
        <v>36</v>
      </c>
      <c r="J69">
        <v>11</v>
      </c>
      <c r="K69">
        <v>1</v>
      </c>
      <c r="L69">
        <v>12</v>
      </c>
      <c r="M69">
        <v>6</v>
      </c>
      <c r="N69">
        <v>1</v>
      </c>
      <c r="O69">
        <v>0</v>
      </c>
      <c r="Q69" t="str">
        <f t="shared" si="10"/>
        <v>xG Sangat Sedikit</v>
      </c>
      <c r="R69" t="str">
        <f t="shared" si="11"/>
        <v>Possession Cukup Banyak</v>
      </c>
      <c r="S69" t="str">
        <f t="shared" si="12"/>
        <v>Total Pass Cukup Sedikit</v>
      </c>
      <c r="T69" t="str">
        <f t="shared" si="13"/>
        <v>Pass Sukses Cukup Sedikit</v>
      </c>
      <c r="U69" t="str">
        <f t="shared" si="14"/>
        <v>Total Shot Cukup Sedikit</v>
      </c>
      <c r="V69" t="str">
        <f t="shared" si="17"/>
        <v>Shot on Target Rendah</v>
      </c>
      <c r="W69" t="str">
        <f t="shared" si="18"/>
        <v>Fouls Tinggi</v>
      </c>
      <c r="X69" t="str">
        <f t="shared" si="19"/>
        <v>Corner Tinggi</v>
      </c>
      <c r="Y69" t="str">
        <f t="shared" si="15"/>
        <v>Yellow Card Rendah</v>
      </c>
      <c r="Z69" t="str">
        <f t="shared" si="16"/>
        <v>Red Card Rendah</v>
      </c>
    </row>
    <row r="70" spans="1:26" x14ac:dyDescent="0.25">
      <c r="A70" t="s">
        <v>57</v>
      </c>
      <c r="B70">
        <v>2.2999999999999998</v>
      </c>
      <c r="C70">
        <v>65</v>
      </c>
      <c r="D70">
        <v>641</v>
      </c>
      <c r="E70">
        <v>543</v>
      </c>
      <c r="F70">
        <v>1</v>
      </c>
      <c r="G70" t="s">
        <v>36</v>
      </c>
      <c r="H70">
        <v>0</v>
      </c>
      <c r="I70" t="s">
        <v>36</v>
      </c>
      <c r="J70">
        <v>22</v>
      </c>
      <c r="K70">
        <v>8</v>
      </c>
      <c r="L70">
        <v>12</v>
      </c>
      <c r="M70">
        <v>11</v>
      </c>
      <c r="N70">
        <v>6</v>
      </c>
      <c r="O70">
        <v>0</v>
      </c>
      <c r="Q70" t="str">
        <f t="shared" si="10"/>
        <v>xG Cukup Sedikit</v>
      </c>
      <c r="R70" t="str">
        <f t="shared" si="11"/>
        <v>Possession Sangat Banyak</v>
      </c>
      <c r="S70" t="str">
        <f t="shared" si="12"/>
        <v>Total Pass Cukup Banyak</v>
      </c>
      <c r="T70" t="str">
        <f t="shared" si="13"/>
        <v>Pass Sukses Cukup Banyak</v>
      </c>
      <c r="U70" t="str">
        <f t="shared" si="14"/>
        <v>Total Shot Cukup Banyak</v>
      </c>
      <c r="V70" t="str">
        <f t="shared" si="17"/>
        <v>Shot on Target Tinggi</v>
      </c>
      <c r="W70" t="str">
        <f t="shared" si="18"/>
        <v>Fouls Tinggi</v>
      </c>
      <c r="X70" t="str">
        <f t="shared" si="19"/>
        <v>Corner Tinggi</v>
      </c>
      <c r="Y70" t="str">
        <f t="shared" si="15"/>
        <v>Yellow Card Tinggi</v>
      </c>
      <c r="Z70" t="str">
        <f t="shared" si="16"/>
        <v>Red Card Rendah</v>
      </c>
    </row>
    <row r="71" spans="1:26" x14ac:dyDescent="0.25">
      <c r="A71" t="s">
        <v>45</v>
      </c>
      <c r="B71">
        <v>1.8</v>
      </c>
      <c r="C71">
        <v>41</v>
      </c>
      <c r="D71">
        <v>397</v>
      </c>
      <c r="E71">
        <v>319</v>
      </c>
      <c r="F71">
        <v>3</v>
      </c>
      <c r="G71" t="s">
        <v>35</v>
      </c>
      <c r="H71">
        <v>0</v>
      </c>
      <c r="I71" t="s">
        <v>40</v>
      </c>
      <c r="J71">
        <v>11</v>
      </c>
      <c r="K71">
        <v>4</v>
      </c>
      <c r="L71">
        <v>14</v>
      </c>
      <c r="M71">
        <v>4</v>
      </c>
      <c r="N71">
        <v>2</v>
      </c>
      <c r="O71">
        <v>0</v>
      </c>
      <c r="Q71" t="str">
        <f t="shared" si="10"/>
        <v>xG Cukup Sedikit</v>
      </c>
      <c r="R71" t="str">
        <f t="shared" si="11"/>
        <v>Possession Cukup Sedikit</v>
      </c>
      <c r="S71" t="str">
        <f t="shared" si="12"/>
        <v>Total Pass Cukup Sedikit</v>
      </c>
      <c r="T71" t="str">
        <f t="shared" si="13"/>
        <v>Pass Sukses Cukup Sedikit</v>
      </c>
      <c r="U71" t="str">
        <f t="shared" si="14"/>
        <v>Total Shot Cukup Sedikit</v>
      </c>
      <c r="V71" t="str">
        <f t="shared" si="17"/>
        <v>Shot on Target Normal</v>
      </c>
      <c r="W71" t="str">
        <f t="shared" si="18"/>
        <v>Fouls Tinggi</v>
      </c>
      <c r="X71" t="str">
        <f t="shared" si="19"/>
        <v>Corner Rendah</v>
      </c>
      <c r="Y71" t="str">
        <f t="shared" si="15"/>
        <v>Yellow Card Rendah</v>
      </c>
      <c r="Z71" t="str">
        <f t="shared" si="16"/>
        <v>Red Card Rendah</v>
      </c>
    </row>
    <row r="72" spans="1:26" x14ac:dyDescent="0.25">
      <c r="A72" t="s">
        <v>60</v>
      </c>
      <c r="B72">
        <v>1.9</v>
      </c>
      <c r="C72">
        <v>57</v>
      </c>
      <c r="D72">
        <v>527</v>
      </c>
      <c r="E72">
        <v>443</v>
      </c>
      <c r="F72">
        <v>4</v>
      </c>
      <c r="G72" t="s">
        <v>35</v>
      </c>
      <c r="H72">
        <v>1</v>
      </c>
      <c r="I72" t="s">
        <v>36</v>
      </c>
      <c r="J72">
        <v>22</v>
      </c>
      <c r="K72">
        <v>7</v>
      </c>
      <c r="L72">
        <v>10</v>
      </c>
      <c r="M72">
        <v>13</v>
      </c>
      <c r="N72">
        <v>1</v>
      </c>
      <c r="O72">
        <v>0</v>
      </c>
      <c r="Q72" t="str">
        <f t="shared" si="10"/>
        <v>xG Cukup Sedikit</v>
      </c>
      <c r="R72" t="str">
        <f t="shared" si="11"/>
        <v>Possession Cukup Banyak</v>
      </c>
      <c r="S72" t="str">
        <f t="shared" si="12"/>
        <v>Total Pass Cukup Banyak</v>
      </c>
      <c r="T72" t="str">
        <f t="shared" si="13"/>
        <v>Pass Sukses Cukup Banyak</v>
      </c>
      <c r="U72" t="str">
        <f t="shared" si="14"/>
        <v>Total Shot Cukup Banyak</v>
      </c>
      <c r="V72" t="str">
        <f t="shared" si="17"/>
        <v>Shot on Target Tinggi</v>
      </c>
      <c r="W72" t="str">
        <f t="shared" si="18"/>
        <v>Fouls Normal</v>
      </c>
      <c r="X72" t="str">
        <f t="shared" si="19"/>
        <v>Corner Tinggi</v>
      </c>
      <c r="Y72" t="str">
        <f t="shared" si="15"/>
        <v>Yellow Card Rendah</v>
      </c>
      <c r="Z72" t="str">
        <f t="shared" si="16"/>
        <v>Red Card Rendah</v>
      </c>
    </row>
    <row r="73" spans="1:26" x14ac:dyDescent="0.25">
      <c r="A73" t="s">
        <v>34</v>
      </c>
      <c r="B73">
        <v>1.8</v>
      </c>
      <c r="C73">
        <v>52</v>
      </c>
      <c r="D73">
        <v>483</v>
      </c>
      <c r="E73">
        <v>398</v>
      </c>
      <c r="F73">
        <v>1</v>
      </c>
      <c r="G73" t="s">
        <v>40</v>
      </c>
      <c r="H73">
        <v>1</v>
      </c>
      <c r="I73" t="s">
        <v>36</v>
      </c>
      <c r="J73">
        <v>10</v>
      </c>
      <c r="K73">
        <v>4</v>
      </c>
      <c r="L73">
        <v>8</v>
      </c>
      <c r="M73">
        <v>6</v>
      </c>
      <c r="N73">
        <v>3</v>
      </c>
      <c r="O73">
        <v>1</v>
      </c>
      <c r="Q73" t="str">
        <f t="shared" si="10"/>
        <v>xG Cukup Sedikit</v>
      </c>
      <c r="R73" t="str">
        <f t="shared" si="11"/>
        <v>Possession Cukup Banyak</v>
      </c>
      <c r="S73" t="str">
        <f t="shared" si="12"/>
        <v>Total Pass Cukup Sedikit</v>
      </c>
      <c r="T73" t="str">
        <f t="shared" si="13"/>
        <v>Pass Sukses Cukup Sedikit</v>
      </c>
      <c r="U73" t="str">
        <f t="shared" si="14"/>
        <v>Total Shot Sangat Sedikit</v>
      </c>
      <c r="V73" t="str">
        <f t="shared" si="17"/>
        <v>Shot on Target Normal</v>
      </c>
      <c r="W73" t="str">
        <f t="shared" si="18"/>
        <v>Fouls Rendah</v>
      </c>
      <c r="X73" t="str">
        <f t="shared" si="19"/>
        <v>Corner Tinggi</v>
      </c>
      <c r="Y73" t="str">
        <f t="shared" si="15"/>
        <v>Yellow Card Tinggi</v>
      </c>
      <c r="Z73" t="str">
        <f t="shared" si="16"/>
        <v>Red Card Tinggi</v>
      </c>
    </row>
    <row r="74" spans="1:26" x14ac:dyDescent="0.25">
      <c r="A74" t="s">
        <v>38</v>
      </c>
      <c r="B74">
        <v>1.3</v>
      </c>
      <c r="C74">
        <v>55</v>
      </c>
      <c r="D74">
        <v>539</v>
      </c>
      <c r="E74">
        <v>449</v>
      </c>
      <c r="F74">
        <v>0</v>
      </c>
      <c r="G74" t="s">
        <v>40</v>
      </c>
      <c r="H74">
        <v>0</v>
      </c>
      <c r="I74" t="s">
        <v>40</v>
      </c>
      <c r="J74">
        <v>13</v>
      </c>
      <c r="K74">
        <v>2</v>
      </c>
      <c r="L74">
        <v>12</v>
      </c>
      <c r="M74">
        <v>5</v>
      </c>
      <c r="N74">
        <v>1</v>
      </c>
      <c r="O74">
        <v>0</v>
      </c>
      <c r="Q74" t="str">
        <f t="shared" si="10"/>
        <v>xG Sangat Sedikit</v>
      </c>
      <c r="R74" t="str">
        <f t="shared" si="11"/>
        <v>Possession Cukup Banyak</v>
      </c>
      <c r="S74" t="str">
        <f t="shared" si="12"/>
        <v>Total Pass Cukup Banyak</v>
      </c>
      <c r="T74" t="str">
        <f t="shared" si="13"/>
        <v>Pass Sukses Cukup Banyak</v>
      </c>
      <c r="U74" t="str">
        <f t="shared" si="14"/>
        <v>Total Shot Cukup Sedikit</v>
      </c>
      <c r="V74" t="str">
        <f t="shared" si="17"/>
        <v>Shot on Target Rendah</v>
      </c>
      <c r="W74" t="str">
        <f t="shared" si="18"/>
        <v>Fouls Tinggi</v>
      </c>
      <c r="X74" t="str">
        <f t="shared" si="19"/>
        <v>Corner Normal</v>
      </c>
      <c r="Y74" t="str">
        <f t="shared" si="15"/>
        <v>Yellow Card Rendah</v>
      </c>
      <c r="Z74" t="str">
        <f t="shared" si="16"/>
        <v>Red Card Rendah</v>
      </c>
    </row>
    <row r="75" spans="1:26" x14ac:dyDescent="0.25">
      <c r="A75" t="s">
        <v>33</v>
      </c>
      <c r="B75">
        <v>1.3</v>
      </c>
      <c r="C75">
        <v>50</v>
      </c>
      <c r="D75">
        <v>530</v>
      </c>
      <c r="E75">
        <v>435</v>
      </c>
      <c r="F75">
        <v>2</v>
      </c>
      <c r="G75" t="s">
        <v>35</v>
      </c>
      <c r="H75">
        <v>0</v>
      </c>
      <c r="I75" t="s">
        <v>40</v>
      </c>
      <c r="J75">
        <v>23</v>
      </c>
      <c r="K75">
        <v>11</v>
      </c>
      <c r="L75">
        <v>14</v>
      </c>
      <c r="M75">
        <v>9</v>
      </c>
      <c r="N75">
        <v>2</v>
      </c>
      <c r="O75">
        <v>0</v>
      </c>
      <c r="Q75" t="str">
        <f t="shared" si="10"/>
        <v>xG Sangat Sedikit</v>
      </c>
      <c r="R75" t="str">
        <f t="shared" si="11"/>
        <v>Possession Cukup Sedikit</v>
      </c>
      <c r="S75" t="str">
        <f t="shared" si="12"/>
        <v>Total Pass Cukup Banyak</v>
      </c>
      <c r="T75" t="str">
        <f t="shared" si="13"/>
        <v>Pass Sukses Cukup Sedikit</v>
      </c>
      <c r="U75" t="str">
        <f t="shared" si="14"/>
        <v>Total Shot Cukup Banyak</v>
      </c>
      <c r="V75" t="str">
        <f t="shared" si="17"/>
        <v>Shot on Target Tinggi</v>
      </c>
      <c r="W75" t="str">
        <f t="shared" si="18"/>
        <v>Fouls Tinggi</v>
      </c>
      <c r="X75" t="str">
        <f t="shared" si="19"/>
        <v>Corner Tinggi</v>
      </c>
      <c r="Y75" t="str">
        <f t="shared" si="15"/>
        <v>Yellow Card Rendah</v>
      </c>
      <c r="Z75" t="str">
        <f t="shared" si="16"/>
        <v>Red Card Rendah</v>
      </c>
    </row>
    <row r="76" spans="1:26" x14ac:dyDescent="0.25">
      <c r="A76" t="s">
        <v>46</v>
      </c>
      <c r="B76">
        <v>2</v>
      </c>
      <c r="C76">
        <v>60</v>
      </c>
      <c r="D76">
        <v>599</v>
      </c>
      <c r="E76">
        <v>479</v>
      </c>
      <c r="F76">
        <v>0</v>
      </c>
      <c r="G76" t="s">
        <v>40</v>
      </c>
      <c r="H76">
        <v>0</v>
      </c>
      <c r="I76" t="s">
        <v>40</v>
      </c>
      <c r="J76">
        <v>21</v>
      </c>
      <c r="K76">
        <v>6</v>
      </c>
      <c r="L76">
        <v>11</v>
      </c>
      <c r="M76">
        <v>9</v>
      </c>
      <c r="N76">
        <v>2</v>
      </c>
      <c r="O76">
        <v>0</v>
      </c>
      <c r="Q76" t="str">
        <f t="shared" si="10"/>
        <v>xG Cukup Sedikit</v>
      </c>
      <c r="R76" t="str">
        <f t="shared" si="11"/>
        <v>Possession Cukup Banyak</v>
      </c>
      <c r="S76" t="str">
        <f t="shared" si="12"/>
        <v>Total Pass Cukup Banyak</v>
      </c>
      <c r="T76" t="str">
        <f t="shared" si="13"/>
        <v>Pass Sukses Cukup Banyak</v>
      </c>
      <c r="U76" t="str">
        <f t="shared" si="14"/>
        <v>Total Shot Cukup Banyak</v>
      </c>
      <c r="V76" t="str">
        <f t="shared" si="17"/>
        <v>Shot on Target Tinggi</v>
      </c>
      <c r="W76" t="str">
        <f t="shared" si="18"/>
        <v>Fouls Normal</v>
      </c>
      <c r="X76" t="str">
        <f t="shared" si="19"/>
        <v>Corner Tinggi</v>
      </c>
      <c r="Y76" t="str">
        <f t="shared" si="15"/>
        <v>Yellow Card Rendah</v>
      </c>
      <c r="Z76" t="str">
        <f t="shared" si="16"/>
        <v>Red Card Rendah</v>
      </c>
    </row>
    <row r="77" spans="1:26" x14ac:dyDescent="0.25">
      <c r="A77" t="s">
        <v>47</v>
      </c>
      <c r="B77">
        <v>2.1</v>
      </c>
      <c r="C77">
        <v>42</v>
      </c>
      <c r="D77">
        <v>398</v>
      </c>
      <c r="E77">
        <v>317</v>
      </c>
      <c r="F77">
        <v>2</v>
      </c>
      <c r="G77" t="s">
        <v>40</v>
      </c>
      <c r="H77">
        <v>2</v>
      </c>
      <c r="I77" t="s">
        <v>35</v>
      </c>
      <c r="J77">
        <v>14</v>
      </c>
      <c r="K77">
        <v>7</v>
      </c>
      <c r="L77">
        <v>10</v>
      </c>
      <c r="M77">
        <v>10</v>
      </c>
      <c r="N77">
        <v>5</v>
      </c>
      <c r="O77">
        <v>1</v>
      </c>
      <c r="Q77" t="str">
        <f t="shared" si="10"/>
        <v>xG Cukup Sedikit</v>
      </c>
      <c r="R77" t="str">
        <f t="shared" si="11"/>
        <v>Possession Cukup Sedikit</v>
      </c>
      <c r="S77" t="str">
        <f t="shared" si="12"/>
        <v>Total Pass Cukup Sedikit</v>
      </c>
      <c r="T77" t="str">
        <f t="shared" si="13"/>
        <v>Pass Sukses Cukup Sedikit</v>
      </c>
      <c r="U77" t="str">
        <f t="shared" si="14"/>
        <v>Total Shot Cukup Sedikit</v>
      </c>
      <c r="V77" t="str">
        <f t="shared" si="17"/>
        <v>Shot on Target Tinggi</v>
      </c>
      <c r="W77" t="str">
        <f t="shared" si="18"/>
        <v>Fouls Normal</v>
      </c>
      <c r="X77" t="str">
        <f t="shared" si="19"/>
        <v>Corner Tinggi</v>
      </c>
      <c r="Y77" t="str">
        <f t="shared" si="15"/>
        <v>Yellow Card Tinggi</v>
      </c>
      <c r="Z77" t="str">
        <f t="shared" si="16"/>
        <v>Red Card Tinggi</v>
      </c>
    </row>
    <row r="78" spans="1:26" x14ac:dyDescent="0.25">
      <c r="A78" t="s">
        <v>49</v>
      </c>
      <c r="B78">
        <v>1.8</v>
      </c>
      <c r="C78">
        <v>49</v>
      </c>
      <c r="D78">
        <v>453</v>
      </c>
      <c r="E78">
        <v>346</v>
      </c>
      <c r="F78">
        <v>2</v>
      </c>
      <c r="G78" t="s">
        <v>35</v>
      </c>
      <c r="H78">
        <v>0</v>
      </c>
      <c r="I78" t="s">
        <v>36</v>
      </c>
      <c r="J78">
        <v>13</v>
      </c>
      <c r="K78">
        <v>4</v>
      </c>
      <c r="L78">
        <v>12</v>
      </c>
      <c r="M78">
        <v>7</v>
      </c>
      <c r="N78">
        <v>1</v>
      </c>
      <c r="O78">
        <v>0</v>
      </c>
      <c r="Q78" t="str">
        <f t="shared" si="10"/>
        <v>xG Cukup Sedikit</v>
      </c>
      <c r="R78" t="str">
        <f t="shared" si="11"/>
        <v>Possession Cukup Sedikit</v>
      </c>
      <c r="S78" t="str">
        <f t="shared" si="12"/>
        <v>Total Pass Cukup Sedikit</v>
      </c>
      <c r="T78" t="str">
        <f t="shared" si="13"/>
        <v>Pass Sukses Cukup Sedikit</v>
      </c>
      <c r="U78" t="str">
        <f t="shared" si="14"/>
        <v>Total Shot Cukup Sedikit</v>
      </c>
      <c r="V78" t="str">
        <f t="shared" si="17"/>
        <v>Shot on Target Normal</v>
      </c>
      <c r="W78" t="str">
        <f t="shared" si="18"/>
        <v>Fouls Tinggi</v>
      </c>
      <c r="X78" t="str">
        <f t="shared" si="19"/>
        <v>Corner Tinggi</v>
      </c>
      <c r="Y78" t="str">
        <f t="shared" si="15"/>
        <v>Yellow Card Rendah</v>
      </c>
      <c r="Z78" t="str">
        <f t="shared" si="16"/>
        <v>Red Card Rendah</v>
      </c>
    </row>
    <row r="79" spans="1:26" x14ac:dyDescent="0.25">
      <c r="A79" t="s">
        <v>43</v>
      </c>
      <c r="B79">
        <v>0.8</v>
      </c>
      <c r="C79">
        <v>23</v>
      </c>
      <c r="D79">
        <v>237</v>
      </c>
      <c r="E79">
        <v>158</v>
      </c>
      <c r="F79">
        <v>1</v>
      </c>
      <c r="G79" t="s">
        <v>40</v>
      </c>
      <c r="H79">
        <v>1</v>
      </c>
      <c r="I79" t="s">
        <v>36</v>
      </c>
      <c r="J79">
        <v>3</v>
      </c>
      <c r="K79">
        <v>2</v>
      </c>
      <c r="L79">
        <v>8</v>
      </c>
      <c r="M79">
        <v>1</v>
      </c>
      <c r="N79">
        <v>4</v>
      </c>
      <c r="O79">
        <v>0</v>
      </c>
      <c r="Q79" t="str">
        <f t="shared" si="10"/>
        <v>xG Sangat Sedikit</v>
      </c>
      <c r="R79" t="str">
        <f t="shared" si="11"/>
        <v>Possession Sangat Sedikit</v>
      </c>
      <c r="S79" t="str">
        <f t="shared" si="12"/>
        <v>Total Pass Sangat Sedikit</v>
      </c>
      <c r="T79" t="str">
        <f t="shared" si="13"/>
        <v>Pass Sukses Sangat Sedikit</v>
      </c>
      <c r="U79" t="str">
        <f t="shared" si="14"/>
        <v>Total Shot Sangat Sedikit</v>
      </c>
      <c r="V79" t="str">
        <f t="shared" si="17"/>
        <v>Shot on Target Rendah</v>
      </c>
      <c r="W79" t="str">
        <f t="shared" si="18"/>
        <v>Fouls Rendah</v>
      </c>
      <c r="X79" t="str">
        <f t="shared" si="19"/>
        <v>Corner Rendah</v>
      </c>
      <c r="Y79" t="str">
        <f t="shared" si="15"/>
        <v>Yellow Card Tinggi</v>
      </c>
      <c r="Z79" t="str">
        <f t="shared" si="16"/>
        <v>Red Card Rendah</v>
      </c>
    </row>
    <row r="80" spans="1:26" x14ac:dyDescent="0.25">
      <c r="A80" t="s">
        <v>39</v>
      </c>
      <c r="B80">
        <v>1.9</v>
      </c>
      <c r="C80">
        <v>43</v>
      </c>
      <c r="D80">
        <v>439</v>
      </c>
      <c r="E80">
        <v>345</v>
      </c>
      <c r="F80">
        <v>2</v>
      </c>
      <c r="G80" t="s">
        <v>35</v>
      </c>
      <c r="H80">
        <v>1</v>
      </c>
      <c r="I80" t="s">
        <v>35</v>
      </c>
      <c r="J80">
        <v>9</v>
      </c>
      <c r="K80">
        <v>5</v>
      </c>
      <c r="L80">
        <v>12</v>
      </c>
      <c r="M80">
        <v>1</v>
      </c>
      <c r="N80">
        <v>4</v>
      </c>
      <c r="O80">
        <v>0</v>
      </c>
      <c r="Q80" t="str">
        <f t="shared" si="10"/>
        <v>xG Cukup Sedikit</v>
      </c>
      <c r="R80" t="str">
        <f t="shared" si="11"/>
        <v>Possession Cukup Sedikit</v>
      </c>
      <c r="S80" t="str">
        <f t="shared" si="12"/>
        <v>Total Pass Cukup Sedikit</v>
      </c>
      <c r="T80" t="str">
        <f t="shared" si="13"/>
        <v>Pass Sukses Cukup Sedikit</v>
      </c>
      <c r="U80" t="str">
        <f t="shared" si="14"/>
        <v>Total Shot Sangat Sedikit</v>
      </c>
      <c r="V80" t="str">
        <f t="shared" si="17"/>
        <v>Shot on Target Tinggi</v>
      </c>
      <c r="W80" t="str">
        <f t="shared" si="18"/>
        <v>Fouls Tinggi</v>
      </c>
      <c r="X80" t="str">
        <f t="shared" si="19"/>
        <v>Corner Rendah</v>
      </c>
      <c r="Y80" t="str">
        <f t="shared" si="15"/>
        <v>Yellow Card Tinggi</v>
      </c>
      <c r="Z80" t="str">
        <f t="shared" si="16"/>
        <v>Red Card Rendah</v>
      </c>
    </row>
    <row r="81" spans="1:26" x14ac:dyDescent="0.25">
      <c r="A81" t="s">
        <v>48</v>
      </c>
      <c r="B81">
        <v>1.7</v>
      </c>
      <c r="C81">
        <v>51</v>
      </c>
      <c r="D81">
        <v>493</v>
      </c>
      <c r="E81">
        <v>391</v>
      </c>
      <c r="F81">
        <v>1</v>
      </c>
      <c r="G81" t="s">
        <v>35</v>
      </c>
      <c r="H81">
        <v>0</v>
      </c>
      <c r="I81" t="s">
        <v>36</v>
      </c>
      <c r="J81">
        <v>20</v>
      </c>
      <c r="K81">
        <v>6</v>
      </c>
      <c r="L81">
        <v>9</v>
      </c>
      <c r="M81">
        <v>6</v>
      </c>
      <c r="N81">
        <v>2</v>
      </c>
      <c r="O81">
        <v>0</v>
      </c>
      <c r="Q81" t="str">
        <f t="shared" si="10"/>
        <v>xG Cukup Sedikit</v>
      </c>
      <c r="R81" t="str">
        <f t="shared" si="11"/>
        <v>Possession Cukup Banyak</v>
      </c>
      <c r="S81" t="str">
        <f t="shared" si="12"/>
        <v>Total Pass Cukup Sedikit</v>
      </c>
      <c r="T81" t="str">
        <f t="shared" si="13"/>
        <v>Pass Sukses Cukup Sedikit</v>
      </c>
      <c r="U81" t="str">
        <f t="shared" si="14"/>
        <v>Total Shot Cukup Banyak</v>
      </c>
      <c r="V81" t="str">
        <f t="shared" si="17"/>
        <v>Shot on Target Tinggi</v>
      </c>
      <c r="W81" t="str">
        <f t="shared" si="18"/>
        <v>Fouls Normal</v>
      </c>
      <c r="X81" t="str">
        <f t="shared" si="19"/>
        <v>Corner Tinggi</v>
      </c>
      <c r="Y81" t="str">
        <f t="shared" si="15"/>
        <v>Yellow Card Rendah</v>
      </c>
      <c r="Z81" t="str">
        <f t="shared" si="16"/>
        <v>Red Card Rendah</v>
      </c>
    </row>
    <row r="82" spans="1:26" x14ac:dyDescent="0.25">
      <c r="A82" t="s">
        <v>59</v>
      </c>
      <c r="B82">
        <v>0.8</v>
      </c>
      <c r="C82">
        <v>65</v>
      </c>
      <c r="D82">
        <v>615</v>
      </c>
      <c r="E82">
        <v>518</v>
      </c>
      <c r="F82">
        <v>1</v>
      </c>
      <c r="G82" t="s">
        <v>40</v>
      </c>
      <c r="H82">
        <v>1</v>
      </c>
      <c r="I82" t="s">
        <v>36</v>
      </c>
      <c r="J82">
        <v>11</v>
      </c>
      <c r="K82">
        <v>1</v>
      </c>
      <c r="L82">
        <v>16</v>
      </c>
      <c r="M82">
        <v>6</v>
      </c>
      <c r="N82">
        <v>5</v>
      </c>
      <c r="O82">
        <v>0</v>
      </c>
      <c r="Q82" t="str">
        <f t="shared" si="10"/>
        <v>xG Sangat Sedikit</v>
      </c>
      <c r="R82" t="str">
        <f t="shared" si="11"/>
        <v>Possession Sangat Banyak</v>
      </c>
      <c r="S82" t="str">
        <f t="shared" si="12"/>
        <v>Total Pass Cukup Banyak</v>
      </c>
      <c r="T82" t="str">
        <f t="shared" si="13"/>
        <v>Pass Sukses Cukup Banyak</v>
      </c>
      <c r="U82" t="str">
        <f t="shared" si="14"/>
        <v>Total Shot Cukup Sedikit</v>
      </c>
      <c r="V82" t="str">
        <f t="shared" si="17"/>
        <v>Shot on Target Rendah</v>
      </c>
      <c r="W82" t="str">
        <f t="shared" si="18"/>
        <v>Fouls Tinggi</v>
      </c>
      <c r="X82" t="str">
        <f t="shared" si="19"/>
        <v>Corner Tinggi</v>
      </c>
      <c r="Y82" t="str">
        <f t="shared" si="15"/>
        <v>Yellow Card Tinggi</v>
      </c>
      <c r="Z82" t="str">
        <f t="shared" si="16"/>
        <v>Red Card Rendah</v>
      </c>
    </row>
    <row r="83" spans="1:26" x14ac:dyDescent="0.25">
      <c r="A83" t="s">
        <v>52</v>
      </c>
      <c r="B83">
        <v>1.8</v>
      </c>
      <c r="C83">
        <v>57</v>
      </c>
      <c r="D83">
        <v>475</v>
      </c>
      <c r="E83">
        <v>383</v>
      </c>
      <c r="F83">
        <v>1</v>
      </c>
      <c r="G83" t="s">
        <v>36</v>
      </c>
      <c r="H83">
        <v>0</v>
      </c>
      <c r="I83" t="s">
        <v>36</v>
      </c>
      <c r="J83">
        <v>18</v>
      </c>
      <c r="K83">
        <v>8</v>
      </c>
      <c r="L83">
        <v>12</v>
      </c>
      <c r="M83">
        <v>9</v>
      </c>
      <c r="N83">
        <v>7</v>
      </c>
      <c r="O83">
        <v>0</v>
      </c>
      <c r="Q83" t="str">
        <f t="shared" si="10"/>
        <v>xG Cukup Sedikit</v>
      </c>
      <c r="R83" t="str">
        <f t="shared" si="11"/>
        <v>Possession Cukup Banyak</v>
      </c>
      <c r="S83" t="str">
        <f t="shared" si="12"/>
        <v>Total Pass Cukup Sedikit</v>
      </c>
      <c r="T83" t="str">
        <f t="shared" si="13"/>
        <v>Pass Sukses Cukup Sedikit</v>
      </c>
      <c r="U83" t="str">
        <f t="shared" si="14"/>
        <v>Total Shot Cukup Sedikit</v>
      </c>
      <c r="V83" t="str">
        <f t="shared" si="17"/>
        <v>Shot on Target Tinggi</v>
      </c>
      <c r="W83" t="str">
        <f t="shared" si="18"/>
        <v>Fouls Tinggi</v>
      </c>
      <c r="X83" t="str">
        <f t="shared" si="19"/>
        <v>Corner Tinggi</v>
      </c>
      <c r="Y83" t="str">
        <f t="shared" si="15"/>
        <v>Yellow Card Tinggi</v>
      </c>
      <c r="Z83" t="str">
        <f t="shared" si="16"/>
        <v>Red Card Rendah</v>
      </c>
    </row>
    <row r="84" spans="1:26" x14ac:dyDescent="0.25">
      <c r="A84" t="s">
        <v>54</v>
      </c>
      <c r="B84">
        <v>4</v>
      </c>
      <c r="C84">
        <v>65</v>
      </c>
      <c r="D84">
        <v>612</v>
      </c>
      <c r="E84">
        <v>499</v>
      </c>
      <c r="F84">
        <v>4</v>
      </c>
      <c r="G84" t="s">
        <v>35</v>
      </c>
      <c r="H84">
        <v>2</v>
      </c>
      <c r="I84" t="s">
        <v>36</v>
      </c>
      <c r="J84">
        <v>20</v>
      </c>
      <c r="K84">
        <v>9</v>
      </c>
      <c r="L84">
        <v>7</v>
      </c>
      <c r="M84">
        <v>5</v>
      </c>
      <c r="N84">
        <v>0</v>
      </c>
      <c r="O84">
        <v>0</v>
      </c>
      <c r="Q84" t="str">
        <f t="shared" si="10"/>
        <v>xG Cukup Banyak</v>
      </c>
      <c r="R84" t="str">
        <f t="shared" si="11"/>
        <v>Possession Sangat Banyak</v>
      </c>
      <c r="S84" t="str">
        <f t="shared" si="12"/>
        <v>Total Pass Cukup Banyak</v>
      </c>
      <c r="T84" t="str">
        <f t="shared" si="13"/>
        <v>Pass Sukses Cukup Banyak</v>
      </c>
      <c r="U84" t="str">
        <f t="shared" si="14"/>
        <v>Total Shot Cukup Banyak</v>
      </c>
      <c r="V84" t="str">
        <f t="shared" si="17"/>
        <v>Shot on Target Tinggi</v>
      </c>
      <c r="W84" t="str">
        <f t="shared" si="18"/>
        <v>Fouls Rendah</v>
      </c>
      <c r="X84" t="str">
        <f t="shared" si="19"/>
        <v>Corner Normal</v>
      </c>
      <c r="Y84" t="str">
        <f t="shared" si="15"/>
        <v>Yellow Card Rendah</v>
      </c>
      <c r="Z84" t="str">
        <f t="shared" si="16"/>
        <v>Red Card Rendah</v>
      </c>
    </row>
    <row r="85" spans="1:26" x14ac:dyDescent="0.25">
      <c r="A85" t="s">
        <v>45</v>
      </c>
      <c r="B85">
        <v>1.3</v>
      </c>
      <c r="C85">
        <v>51</v>
      </c>
      <c r="D85">
        <v>500</v>
      </c>
      <c r="E85">
        <v>417</v>
      </c>
      <c r="F85">
        <v>2</v>
      </c>
      <c r="G85" t="s">
        <v>36</v>
      </c>
      <c r="H85">
        <v>1</v>
      </c>
      <c r="I85" t="s">
        <v>35</v>
      </c>
      <c r="J85">
        <v>19</v>
      </c>
      <c r="K85">
        <v>6</v>
      </c>
      <c r="L85">
        <v>12</v>
      </c>
      <c r="M85">
        <v>9</v>
      </c>
      <c r="N85">
        <v>3</v>
      </c>
      <c r="O85">
        <v>0</v>
      </c>
      <c r="Q85" t="str">
        <f t="shared" si="10"/>
        <v>xG Sangat Sedikit</v>
      </c>
      <c r="R85" t="str">
        <f t="shared" si="11"/>
        <v>Possession Cukup Banyak</v>
      </c>
      <c r="S85" t="str">
        <f t="shared" si="12"/>
        <v>Total Pass Cukup Sedikit</v>
      </c>
      <c r="T85" t="str">
        <f t="shared" si="13"/>
        <v>Pass Sukses Cukup Sedikit</v>
      </c>
      <c r="U85" t="str">
        <f t="shared" si="14"/>
        <v>Total Shot Cukup Sedikit</v>
      </c>
      <c r="V85" t="str">
        <f t="shared" si="17"/>
        <v>Shot on Target Tinggi</v>
      </c>
      <c r="W85" t="str">
        <f t="shared" si="18"/>
        <v>Fouls Tinggi</v>
      </c>
      <c r="X85" t="str">
        <f t="shared" si="19"/>
        <v>Corner Tinggi</v>
      </c>
      <c r="Y85" t="str">
        <f t="shared" si="15"/>
        <v>Yellow Card Tinggi</v>
      </c>
      <c r="Z85" t="str">
        <f t="shared" si="16"/>
        <v>Red Card Rendah</v>
      </c>
    </row>
    <row r="86" spans="1:26" x14ac:dyDescent="0.25">
      <c r="A86" t="s">
        <v>58</v>
      </c>
      <c r="B86">
        <v>2.9</v>
      </c>
      <c r="C86">
        <v>57</v>
      </c>
      <c r="D86">
        <v>660</v>
      </c>
      <c r="E86">
        <v>595</v>
      </c>
      <c r="F86">
        <v>1</v>
      </c>
      <c r="G86" t="s">
        <v>35</v>
      </c>
      <c r="H86">
        <v>1</v>
      </c>
      <c r="I86" t="s">
        <v>35</v>
      </c>
      <c r="J86">
        <v>22</v>
      </c>
      <c r="K86">
        <v>8</v>
      </c>
      <c r="L86">
        <v>9</v>
      </c>
      <c r="M86">
        <v>12</v>
      </c>
      <c r="N86">
        <v>1</v>
      </c>
      <c r="O86">
        <v>0</v>
      </c>
      <c r="Q86" t="str">
        <f t="shared" si="10"/>
        <v>xG Cukup Banyak</v>
      </c>
      <c r="R86" t="str">
        <f t="shared" si="11"/>
        <v>Possession Cukup Banyak</v>
      </c>
      <c r="S86" t="str">
        <f t="shared" si="12"/>
        <v>Total Pass Sangat Banyak</v>
      </c>
      <c r="T86" t="str">
        <f t="shared" si="13"/>
        <v>Pass Sukses Sangat Banyak</v>
      </c>
      <c r="U86" t="str">
        <f t="shared" si="14"/>
        <v>Total Shot Cukup Banyak</v>
      </c>
      <c r="V86" t="str">
        <f t="shared" si="17"/>
        <v>Shot on Target Tinggi</v>
      </c>
      <c r="W86" t="str">
        <f t="shared" si="18"/>
        <v>Fouls Normal</v>
      </c>
      <c r="X86" t="str">
        <f t="shared" si="19"/>
        <v>Corner Tinggi</v>
      </c>
      <c r="Y86" t="str">
        <f t="shared" si="15"/>
        <v>Yellow Card Rendah</v>
      </c>
      <c r="Z86" t="str">
        <f t="shared" si="16"/>
        <v>Red Card Rendah</v>
      </c>
    </row>
    <row r="87" spans="1:26" x14ac:dyDescent="0.25">
      <c r="A87" t="s">
        <v>44</v>
      </c>
      <c r="B87">
        <v>0.8</v>
      </c>
      <c r="C87">
        <v>40</v>
      </c>
      <c r="D87">
        <v>429</v>
      </c>
      <c r="E87">
        <v>331</v>
      </c>
      <c r="F87">
        <v>1</v>
      </c>
      <c r="G87" t="s">
        <v>36</v>
      </c>
      <c r="H87">
        <v>0</v>
      </c>
      <c r="I87" t="s">
        <v>36</v>
      </c>
      <c r="J87">
        <v>10</v>
      </c>
      <c r="K87">
        <v>5</v>
      </c>
      <c r="L87">
        <v>8</v>
      </c>
      <c r="M87">
        <v>4</v>
      </c>
      <c r="N87">
        <v>1</v>
      </c>
      <c r="O87">
        <v>0</v>
      </c>
      <c r="Q87" t="str">
        <f t="shared" si="10"/>
        <v>xG Sangat Sedikit</v>
      </c>
      <c r="R87" t="str">
        <f t="shared" si="11"/>
        <v>Possession Cukup Sedikit</v>
      </c>
      <c r="S87" t="str">
        <f t="shared" si="12"/>
        <v>Total Pass Cukup Sedikit</v>
      </c>
      <c r="T87" t="str">
        <f t="shared" si="13"/>
        <v>Pass Sukses Cukup Sedikit</v>
      </c>
      <c r="U87" t="str">
        <f t="shared" si="14"/>
        <v>Total Shot Sangat Sedikit</v>
      </c>
      <c r="V87" t="str">
        <f t="shared" si="17"/>
        <v>Shot on Target Tinggi</v>
      </c>
      <c r="W87" t="str">
        <f t="shared" si="18"/>
        <v>Fouls Rendah</v>
      </c>
      <c r="X87" t="str">
        <f t="shared" si="19"/>
        <v>Corner Rendah</v>
      </c>
      <c r="Y87" t="str">
        <f t="shared" si="15"/>
        <v>Yellow Card Rendah</v>
      </c>
      <c r="Z87" t="str">
        <f t="shared" si="16"/>
        <v>Red Card Rendah</v>
      </c>
    </row>
    <row r="88" spans="1:26" x14ac:dyDescent="0.25">
      <c r="A88" t="s">
        <v>57</v>
      </c>
      <c r="B88">
        <v>1.6</v>
      </c>
      <c r="C88">
        <v>50</v>
      </c>
      <c r="D88">
        <v>495</v>
      </c>
      <c r="E88">
        <v>404</v>
      </c>
      <c r="F88">
        <v>2</v>
      </c>
      <c r="G88" t="s">
        <v>35</v>
      </c>
      <c r="H88">
        <v>1</v>
      </c>
      <c r="I88" t="s">
        <v>36</v>
      </c>
      <c r="J88">
        <v>17</v>
      </c>
      <c r="K88">
        <v>7</v>
      </c>
      <c r="L88">
        <v>13</v>
      </c>
      <c r="M88">
        <v>7</v>
      </c>
      <c r="N88">
        <v>6</v>
      </c>
      <c r="O88">
        <v>0</v>
      </c>
      <c r="Q88" t="str">
        <f t="shared" si="10"/>
        <v>xG Cukup Sedikit</v>
      </c>
      <c r="R88" t="str">
        <f t="shared" si="11"/>
        <v>Possession Cukup Sedikit</v>
      </c>
      <c r="S88" t="str">
        <f t="shared" si="12"/>
        <v>Total Pass Cukup Sedikit</v>
      </c>
      <c r="T88" t="str">
        <f t="shared" si="13"/>
        <v>Pass Sukses Cukup Sedikit</v>
      </c>
      <c r="U88" t="str">
        <f t="shared" si="14"/>
        <v>Total Shot Cukup Sedikit</v>
      </c>
      <c r="V88" t="str">
        <f t="shared" si="17"/>
        <v>Shot on Target Tinggi</v>
      </c>
      <c r="W88" t="str">
        <f t="shared" si="18"/>
        <v>Fouls Tinggi</v>
      </c>
      <c r="X88" t="str">
        <f t="shared" si="19"/>
        <v>Corner Tinggi</v>
      </c>
      <c r="Y88" t="str">
        <f t="shared" si="15"/>
        <v>Yellow Card Tinggi</v>
      </c>
      <c r="Z88" t="str">
        <f t="shared" si="16"/>
        <v>Red Card Rendah</v>
      </c>
    </row>
    <row r="89" spans="1:26" x14ac:dyDescent="0.25">
      <c r="A89" t="s">
        <v>55</v>
      </c>
      <c r="B89">
        <v>0.8</v>
      </c>
      <c r="C89">
        <v>34</v>
      </c>
      <c r="D89">
        <v>296</v>
      </c>
      <c r="E89">
        <v>181</v>
      </c>
      <c r="F89">
        <v>1</v>
      </c>
      <c r="G89" t="s">
        <v>35</v>
      </c>
      <c r="H89">
        <v>1</v>
      </c>
      <c r="I89" t="s">
        <v>35</v>
      </c>
      <c r="J89">
        <v>14</v>
      </c>
      <c r="K89">
        <v>6</v>
      </c>
      <c r="L89">
        <v>16</v>
      </c>
      <c r="M89">
        <v>8</v>
      </c>
      <c r="N89">
        <v>4</v>
      </c>
      <c r="O89">
        <v>0</v>
      </c>
      <c r="Q89" t="str">
        <f t="shared" si="10"/>
        <v>xG Sangat Sedikit</v>
      </c>
      <c r="R89" t="str">
        <f t="shared" si="11"/>
        <v>Possession Sangat Sedikit</v>
      </c>
      <c r="S89" t="str">
        <f t="shared" si="12"/>
        <v>Total Pass Sangat Sedikit</v>
      </c>
      <c r="T89" t="str">
        <f t="shared" si="13"/>
        <v>Pass Sukses Sangat Sedikit</v>
      </c>
      <c r="U89" t="str">
        <f t="shared" si="14"/>
        <v>Total Shot Cukup Sedikit</v>
      </c>
      <c r="V89" t="str">
        <f t="shared" si="17"/>
        <v>Shot on Target Tinggi</v>
      </c>
      <c r="W89" t="str">
        <f t="shared" si="18"/>
        <v>Fouls Tinggi</v>
      </c>
      <c r="X89" t="str">
        <f t="shared" si="19"/>
        <v>Corner Tinggi</v>
      </c>
      <c r="Y89" t="str">
        <f t="shared" si="15"/>
        <v>Yellow Card Tinggi</v>
      </c>
      <c r="Z89" t="str">
        <f t="shared" si="16"/>
        <v>Red Card Rendah</v>
      </c>
    </row>
    <row r="90" spans="1:26" x14ac:dyDescent="0.25">
      <c r="A90" t="s">
        <v>51</v>
      </c>
      <c r="B90">
        <v>2.8</v>
      </c>
      <c r="C90">
        <v>42</v>
      </c>
      <c r="D90">
        <v>436</v>
      </c>
      <c r="E90">
        <v>338</v>
      </c>
      <c r="F90">
        <v>2</v>
      </c>
      <c r="G90" t="s">
        <v>35</v>
      </c>
      <c r="H90">
        <v>0</v>
      </c>
      <c r="I90" t="s">
        <v>36</v>
      </c>
      <c r="J90">
        <v>12</v>
      </c>
      <c r="K90">
        <v>3</v>
      </c>
      <c r="L90">
        <v>6</v>
      </c>
      <c r="M90">
        <v>6</v>
      </c>
      <c r="N90">
        <v>5</v>
      </c>
      <c r="O90">
        <v>0</v>
      </c>
      <c r="Q90" t="str">
        <f t="shared" si="10"/>
        <v>xG Cukup Sedikit</v>
      </c>
      <c r="R90" t="str">
        <f t="shared" si="11"/>
        <v>Possession Cukup Sedikit</v>
      </c>
      <c r="S90" t="str">
        <f t="shared" si="12"/>
        <v>Total Pass Cukup Sedikit</v>
      </c>
      <c r="T90" t="str">
        <f t="shared" si="13"/>
        <v>Pass Sukses Cukup Sedikit</v>
      </c>
      <c r="U90" t="str">
        <f t="shared" si="14"/>
        <v>Total Shot Cukup Sedikit</v>
      </c>
      <c r="V90" t="str">
        <f t="shared" si="17"/>
        <v>Shot on Target Rendah</v>
      </c>
      <c r="W90" t="str">
        <f t="shared" si="18"/>
        <v>Fouls Rendah</v>
      </c>
      <c r="X90" t="str">
        <f t="shared" si="19"/>
        <v>Corner Tinggi</v>
      </c>
      <c r="Y90" t="str">
        <f t="shared" si="15"/>
        <v>Yellow Card Tinggi</v>
      </c>
      <c r="Z90" t="str">
        <f t="shared" si="16"/>
        <v>Red Card Rendah</v>
      </c>
    </row>
    <row r="91" spans="1:26" x14ac:dyDescent="0.25">
      <c r="A91" t="s">
        <v>42</v>
      </c>
      <c r="B91">
        <v>0.9</v>
      </c>
      <c r="C91">
        <v>45</v>
      </c>
      <c r="D91">
        <v>415</v>
      </c>
      <c r="E91">
        <v>320</v>
      </c>
      <c r="F91">
        <v>2</v>
      </c>
      <c r="G91" t="s">
        <v>36</v>
      </c>
      <c r="H91">
        <v>2</v>
      </c>
      <c r="I91" t="s">
        <v>35</v>
      </c>
      <c r="J91">
        <v>9</v>
      </c>
      <c r="K91">
        <v>3</v>
      </c>
      <c r="L91">
        <v>14</v>
      </c>
      <c r="M91">
        <v>1</v>
      </c>
      <c r="N91">
        <v>2</v>
      </c>
      <c r="O91">
        <v>0</v>
      </c>
      <c r="Q91" t="str">
        <f t="shared" si="10"/>
        <v>xG Sangat Sedikit</v>
      </c>
      <c r="R91" t="str">
        <f t="shared" si="11"/>
        <v>Possession Cukup Sedikit</v>
      </c>
      <c r="S91" t="str">
        <f t="shared" si="12"/>
        <v>Total Pass Cukup Sedikit</v>
      </c>
      <c r="T91" t="str">
        <f t="shared" si="13"/>
        <v>Pass Sukses Cukup Sedikit</v>
      </c>
      <c r="U91" t="str">
        <f t="shared" si="14"/>
        <v>Total Shot Sangat Sedikit</v>
      </c>
      <c r="V91" t="str">
        <f t="shared" si="17"/>
        <v>Shot on Target Rendah</v>
      </c>
      <c r="W91" t="str">
        <f t="shared" si="18"/>
        <v>Fouls Tinggi</v>
      </c>
      <c r="X91" t="str">
        <f t="shared" si="19"/>
        <v>Corner Rendah</v>
      </c>
      <c r="Y91" t="str">
        <f t="shared" si="15"/>
        <v>Yellow Card Rendah</v>
      </c>
      <c r="Z91" t="str">
        <f t="shared" si="16"/>
        <v>Red Card Rendah</v>
      </c>
    </row>
    <row r="92" spans="1:26" x14ac:dyDescent="0.25">
      <c r="A92" t="s">
        <v>46</v>
      </c>
      <c r="B92">
        <v>0.5</v>
      </c>
      <c r="C92">
        <v>37</v>
      </c>
      <c r="D92">
        <v>321</v>
      </c>
      <c r="E92">
        <v>218</v>
      </c>
      <c r="F92">
        <v>1</v>
      </c>
      <c r="G92" t="s">
        <v>35</v>
      </c>
      <c r="H92">
        <v>1</v>
      </c>
      <c r="I92" t="s">
        <v>35</v>
      </c>
      <c r="J92">
        <v>9</v>
      </c>
      <c r="K92">
        <v>4</v>
      </c>
      <c r="L92">
        <v>16</v>
      </c>
      <c r="M92">
        <v>4</v>
      </c>
      <c r="N92">
        <v>4</v>
      </c>
      <c r="O92">
        <v>0</v>
      </c>
      <c r="Q92" t="str">
        <f t="shared" si="10"/>
        <v>xG Sangat Sedikit</v>
      </c>
      <c r="R92" t="str">
        <f t="shared" si="11"/>
        <v>Possession Cukup Sedikit</v>
      </c>
      <c r="S92" t="str">
        <f t="shared" si="12"/>
        <v>Total Pass Sangat Sedikit</v>
      </c>
      <c r="T92" t="str">
        <f t="shared" si="13"/>
        <v>Pass Sukses Sangat Sedikit</v>
      </c>
      <c r="U92" t="str">
        <f t="shared" si="14"/>
        <v>Total Shot Sangat Sedikit</v>
      </c>
      <c r="V92" t="str">
        <f t="shared" si="17"/>
        <v>Shot on Target Normal</v>
      </c>
      <c r="W92" t="str">
        <f t="shared" si="18"/>
        <v>Fouls Tinggi</v>
      </c>
      <c r="X92" t="str">
        <f t="shared" si="19"/>
        <v>Corner Rendah</v>
      </c>
      <c r="Y92" t="str">
        <f t="shared" si="15"/>
        <v>Yellow Card Tinggi</v>
      </c>
      <c r="Z92" t="str">
        <f t="shared" si="16"/>
        <v>Red Card Rendah</v>
      </c>
    </row>
    <row r="93" spans="1:26" x14ac:dyDescent="0.25">
      <c r="A93" t="s">
        <v>49</v>
      </c>
      <c r="B93">
        <v>2</v>
      </c>
      <c r="C93">
        <v>36</v>
      </c>
      <c r="D93">
        <v>362</v>
      </c>
      <c r="E93">
        <v>297</v>
      </c>
      <c r="F93">
        <v>2</v>
      </c>
      <c r="G93" t="s">
        <v>35</v>
      </c>
      <c r="H93">
        <v>1</v>
      </c>
      <c r="I93" t="s">
        <v>35</v>
      </c>
      <c r="J93">
        <v>12</v>
      </c>
      <c r="K93">
        <v>6</v>
      </c>
      <c r="L93">
        <v>11</v>
      </c>
      <c r="M93">
        <v>3</v>
      </c>
      <c r="N93">
        <v>2</v>
      </c>
      <c r="O93">
        <v>0</v>
      </c>
      <c r="Q93" t="str">
        <f t="shared" si="10"/>
        <v>xG Cukup Sedikit</v>
      </c>
      <c r="R93" t="str">
        <f t="shared" si="11"/>
        <v>Possession Sangat Sedikit</v>
      </c>
      <c r="S93" t="str">
        <f t="shared" si="12"/>
        <v>Total Pass Cukup Sedikit</v>
      </c>
      <c r="T93" t="str">
        <f t="shared" si="13"/>
        <v>Pass Sukses Cukup Sedikit</v>
      </c>
      <c r="U93" t="str">
        <f t="shared" si="14"/>
        <v>Total Shot Cukup Sedikit</v>
      </c>
      <c r="V93" t="str">
        <f t="shared" si="17"/>
        <v>Shot on Target Tinggi</v>
      </c>
      <c r="W93" t="str">
        <f t="shared" si="18"/>
        <v>Fouls Normal</v>
      </c>
      <c r="X93" t="str">
        <f t="shared" si="19"/>
        <v>Corner Rendah</v>
      </c>
      <c r="Y93" t="str">
        <f t="shared" si="15"/>
        <v>Yellow Card Rendah</v>
      </c>
      <c r="Z93" t="str">
        <f t="shared" si="16"/>
        <v>Red Card Rendah</v>
      </c>
    </row>
    <row r="94" spans="1:26" x14ac:dyDescent="0.25">
      <c r="A94" t="s">
        <v>38</v>
      </c>
      <c r="B94">
        <v>1</v>
      </c>
      <c r="C94">
        <v>43</v>
      </c>
      <c r="D94">
        <v>359</v>
      </c>
      <c r="E94">
        <v>266</v>
      </c>
      <c r="F94">
        <v>1</v>
      </c>
      <c r="G94" t="s">
        <v>36</v>
      </c>
      <c r="H94">
        <v>0</v>
      </c>
      <c r="I94" t="s">
        <v>36</v>
      </c>
      <c r="J94">
        <v>14</v>
      </c>
      <c r="K94">
        <v>2</v>
      </c>
      <c r="L94">
        <v>11</v>
      </c>
      <c r="M94">
        <v>4</v>
      </c>
      <c r="N94">
        <v>4</v>
      </c>
      <c r="O94">
        <v>1</v>
      </c>
      <c r="Q94" t="str">
        <f t="shared" si="10"/>
        <v>xG Sangat Sedikit</v>
      </c>
      <c r="R94" t="str">
        <f t="shared" si="11"/>
        <v>Possession Cukup Sedikit</v>
      </c>
      <c r="S94" t="str">
        <f t="shared" si="12"/>
        <v>Total Pass Cukup Sedikit</v>
      </c>
      <c r="T94" t="str">
        <f t="shared" si="13"/>
        <v>Pass Sukses Sangat Sedikit</v>
      </c>
      <c r="U94" t="str">
        <f t="shared" si="14"/>
        <v>Total Shot Cukup Sedikit</v>
      </c>
      <c r="V94" t="str">
        <f t="shared" si="17"/>
        <v>Shot on Target Rendah</v>
      </c>
      <c r="W94" t="str">
        <f t="shared" si="18"/>
        <v>Fouls Normal</v>
      </c>
      <c r="X94" t="str">
        <f t="shared" si="19"/>
        <v>Corner Rendah</v>
      </c>
      <c r="Y94" t="str">
        <f t="shared" si="15"/>
        <v>Yellow Card Tinggi</v>
      </c>
      <c r="Z94" t="str">
        <f t="shared" si="16"/>
        <v>Red Card Tinggi</v>
      </c>
    </row>
    <row r="95" spans="1:26" x14ac:dyDescent="0.25">
      <c r="A95" t="s">
        <v>39</v>
      </c>
      <c r="B95">
        <v>1.6</v>
      </c>
      <c r="C95">
        <v>49</v>
      </c>
      <c r="D95">
        <v>483</v>
      </c>
      <c r="E95">
        <v>389</v>
      </c>
      <c r="F95">
        <v>2</v>
      </c>
      <c r="G95" t="s">
        <v>35</v>
      </c>
      <c r="H95">
        <v>0</v>
      </c>
      <c r="I95" t="s">
        <v>40</v>
      </c>
      <c r="J95">
        <v>16</v>
      </c>
      <c r="K95">
        <v>8</v>
      </c>
      <c r="L95">
        <v>10</v>
      </c>
      <c r="M95">
        <v>10</v>
      </c>
      <c r="N95">
        <v>1</v>
      </c>
      <c r="O95">
        <v>0</v>
      </c>
      <c r="Q95" t="str">
        <f t="shared" si="10"/>
        <v>xG Cukup Sedikit</v>
      </c>
      <c r="R95" t="str">
        <f t="shared" si="11"/>
        <v>Possession Cukup Sedikit</v>
      </c>
      <c r="S95" t="str">
        <f t="shared" si="12"/>
        <v>Total Pass Cukup Sedikit</v>
      </c>
      <c r="T95" t="str">
        <f t="shared" si="13"/>
        <v>Pass Sukses Cukup Sedikit</v>
      </c>
      <c r="U95" t="str">
        <f t="shared" si="14"/>
        <v>Total Shot Cukup Sedikit</v>
      </c>
      <c r="V95" t="str">
        <f t="shared" si="17"/>
        <v>Shot on Target Tinggi</v>
      </c>
      <c r="W95" t="str">
        <f t="shared" si="18"/>
        <v>Fouls Normal</v>
      </c>
      <c r="X95" t="str">
        <f t="shared" si="19"/>
        <v>Corner Tinggi</v>
      </c>
      <c r="Y95" t="str">
        <f t="shared" si="15"/>
        <v>Yellow Card Rendah</v>
      </c>
      <c r="Z95" t="str">
        <f t="shared" si="16"/>
        <v>Red Card Rendah</v>
      </c>
    </row>
    <row r="96" spans="1:26" x14ac:dyDescent="0.25">
      <c r="A96" t="s">
        <v>48</v>
      </c>
      <c r="B96">
        <v>2.2000000000000002</v>
      </c>
      <c r="C96">
        <v>54</v>
      </c>
      <c r="D96">
        <v>489</v>
      </c>
      <c r="E96">
        <v>397</v>
      </c>
      <c r="F96">
        <v>3</v>
      </c>
      <c r="G96" t="s">
        <v>35</v>
      </c>
      <c r="H96">
        <v>1</v>
      </c>
      <c r="I96" t="s">
        <v>35</v>
      </c>
      <c r="J96">
        <v>19</v>
      </c>
      <c r="K96">
        <v>6</v>
      </c>
      <c r="L96">
        <v>7</v>
      </c>
      <c r="M96">
        <v>11</v>
      </c>
      <c r="N96">
        <v>1</v>
      </c>
      <c r="O96">
        <v>0</v>
      </c>
      <c r="Q96" t="str">
        <f t="shared" si="10"/>
        <v>xG Cukup Sedikit</v>
      </c>
      <c r="R96" t="str">
        <f t="shared" si="11"/>
        <v>Possession Cukup Banyak</v>
      </c>
      <c r="S96" t="str">
        <f t="shared" si="12"/>
        <v>Total Pass Cukup Sedikit</v>
      </c>
      <c r="T96" t="str">
        <f t="shared" si="13"/>
        <v>Pass Sukses Cukup Sedikit</v>
      </c>
      <c r="U96" t="str">
        <f t="shared" si="14"/>
        <v>Total Shot Cukup Sedikit</v>
      </c>
      <c r="V96" t="str">
        <f t="shared" si="17"/>
        <v>Shot on Target Tinggi</v>
      </c>
      <c r="W96" t="str">
        <f t="shared" si="18"/>
        <v>Fouls Rendah</v>
      </c>
      <c r="X96" t="str">
        <f t="shared" si="19"/>
        <v>Corner Tinggi</v>
      </c>
      <c r="Y96" t="str">
        <f t="shared" si="15"/>
        <v>Yellow Card Rendah</v>
      </c>
      <c r="Z96" t="str">
        <f t="shared" si="16"/>
        <v>Red Card Rendah</v>
      </c>
    </row>
    <row r="97" spans="1:26" x14ac:dyDescent="0.25">
      <c r="A97" t="s">
        <v>47</v>
      </c>
      <c r="B97">
        <v>0.7</v>
      </c>
      <c r="C97">
        <v>65</v>
      </c>
      <c r="D97">
        <v>626</v>
      </c>
      <c r="E97">
        <v>559</v>
      </c>
      <c r="F97">
        <v>1</v>
      </c>
      <c r="G97" t="s">
        <v>35</v>
      </c>
      <c r="H97">
        <v>0</v>
      </c>
      <c r="I97" t="s">
        <v>36</v>
      </c>
      <c r="J97">
        <v>9</v>
      </c>
      <c r="K97">
        <v>2</v>
      </c>
      <c r="L97">
        <v>14</v>
      </c>
      <c r="M97">
        <v>3</v>
      </c>
      <c r="N97">
        <v>4</v>
      </c>
      <c r="O97">
        <v>0</v>
      </c>
      <c r="Q97" t="str">
        <f t="shared" si="10"/>
        <v>xG Sangat Sedikit</v>
      </c>
      <c r="R97" t="str">
        <f t="shared" si="11"/>
        <v>Possession Sangat Banyak</v>
      </c>
      <c r="S97" t="str">
        <f t="shared" si="12"/>
        <v>Total Pass Cukup Banyak</v>
      </c>
      <c r="T97" t="str">
        <f t="shared" si="13"/>
        <v>Pass Sukses Cukup Banyak</v>
      </c>
      <c r="U97" t="str">
        <f t="shared" si="14"/>
        <v>Total Shot Sangat Sedikit</v>
      </c>
      <c r="V97" t="str">
        <f t="shared" si="17"/>
        <v>Shot on Target Rendah</v>
      </c>
      <c r="W97" t="str">
        <f t="shared" si="18"/>
        <v>Fouls Tinggi</v>
      </c>
      <c r="X97" t="str">
        <f t="shared" si="19"/>
        <v>Corner Rendah</v>
      </c>
      <c r="Y97" t="str">
        <f t="shared" si="15"/>
        <v>Yellow Card Tinggi</v>
      </c>
      <c r="Z97" t="str">
        <f t="shared" si="16"/>
        <v>Red Card Rendah</v>
      </c>
    </row>
    <row r="98" spans="1:26" x14ac:dyDescent="0.25">
      <c r="A98" t="s">
        <v>43</v>
      </c>
      <c r="B98">
        <v>1.5</v>
      </c>
      <c r="C98">
        <v>57</v>
      </c>
      <c r="D98">
        <v>534</v>
      </c>
      <c r="E98">
        <v>423</v>
      </c>
      <c r="F98">
        <v>2</v>
      </c>
      <c r="G98" t="s">
        <v>36</v>
      </c>
      <c r="H98">
        <v>0</v>
      </c>
      <c r="I98" t="s">
        <v>36</v>
      </c>
      <c r="J98">
        <v>11</v>
      </c>
      <c r="K98">
        <v>6</v>
      </c>
      <c r="L98">
        <v>7</v>
      </c>
      <c r="M98">
        <v>3</v>
      </c>
      <c r="N98">
        <v>1</v>
      </c>
      <c r="O98">
        <v>0</v>
      </c>
      <c r="Q98" t="str">
        <f t="shared" si="10"/>
        <v>xG Cukup Sedikit</v>
      </c>
      <c r="R98" t="str">
        <f t="shared" si="11"/>
        <v>Possession Cukup Banyak</v>
      </c>
      <c r="S98" t="str">
        <f t="shared" si="12"/>
        <v>Total Pass Cukup Banyak</v>
      </c>
      <c r="T98" t="str">
        <f t="shared" si="13"/>
        <v>Pass Sukses Cukup Sedikit</v>
      </c>
      <c r="U98" t="str">
        <f t="shared" si="14"/>
        <v>Total Shot Cukup Sedikit</v>
      </c>
      <c r="V98" t="str">
        <f t="shared" si="17"/>
        <v>Shot on Target Tinggi</v>
      </c>
      <c r="W98" t="str">
        <f t="shared" si="18"/>
        <v>Fouls Rendah</v>
      </c>
      <c r="X98" t="str">
        <f t="shared" si="19"/>
        <v>Corner Rendah</v>
      </c>
      <c r="Y98" t="str">
        <f t="shared" si="15"/>
        <v>Yellow Card Rendah</v>
      </c>
      <c r="Z98" t="str">
        <f t="shared" si="16"/>
        <v>Red Card Rendah</v>
      </c>
    </row>
    <row r="99" spans="1:26" x14ac:dyDescent="0.25">
      <c r="A99" t="s">
        <v>60</v>
      </c>
      <c r="B99">
        <v>2.4</v>
      </c>
      <c r="C99">
        <v>51</v>
      </c>
      <c r="D99">
        <v>435</v>
      </c>
      <c r="E99">
        <v>369</v>
      </c>
      <c r="F99">
        <v>4</v>
      </c>
      <c r="G99" t="s">
        <v>35</v>
      </c>
      <c r="H99">
        <v>0</v>
      </c>
      <c r="I99" t="s">
        <v>40</v>
      </c>
      <c r="J99">
        <v>16</v>
      </c>
      <c r="K99">
        <v>6</v>
      </c>
      <c r="L99">
        <v>14</v>
      </c>
      <c r="M99">
        <v>6</v>
      </c>
      <c r="N99">
        <v>2</v>
      </c>
      <c r="O99">
        <v>0</v>
      </c>
      <c r="Q99" t="str">
        <f t="shared" si="10"/>
        <v>xG Cukup Sedikit</v>
      </c>
      <c r="R99" t="str">
        <f t="shared" si="11"/>
        <v>Possession Cukup Banyak</v>
      </c>
      <c r="S99" t="str">
        <f t="shared" si="12"/>
        <v>Total Pass Cukup Sedikit</v>
      </c>
      <c r="T99" t="str">
        <f t="shared" si="13"/>
        <v>Pass Sukses Cukup Sedikit</v>
      </c>
      <c r="U99" t="str">
        <f t="shared" si="14"/>
        <v>Total Shot Cukup Sedikit</v>
      </c>
      <c r="V99" t="str">
        <f t="shared" si="17"/>
        <v>Shot on Target Tinggi</v>
      </c>
      <c r="W99" t="str">
        <f t="shared" si="18"/>
        <v>Fouls Tinggi</v>
      </c>
      <c r="X99" t="str">
        <f t="shared" si="19"/>
        <v>Corner Tinggi</v>
      </c>
      <c r="Y99" t="str">
        <f t="shared" si="15"/>
        <v>Yellow Card Rendah</v>
      </c>
      <c r="Z99" t="str">
        <f t="shared" si="16"/>
        <v>Red Card Rendah</v>
      </c>
    </row>
    <row r="100" spans="1:26" x14ac:dyDescent="0.25">
      <c r="A100" t="s">
        <v>33</v>
      </c>
      <c r="B100">
        <v>2</v>
      </c>
      <c r="C100">
        <v>46</v>
      </c>
      <c r="D100">
        <v>441</v>
      </c>
      <c r="E100">
        <v>344</v>
      </c>
      <c r="F100">
        <v>1</v>
      </c>
      <c r="G100" t="s">
        <v>36</v>
      </c>
      <c r="H100">
        <v>0</v>
      </c>
      <c r="I100" t="s">
        <v>36</v>
      </c>
      <c r="J100">
        <v>11</v>
      </c>
      <c r="K100">
        <v>4</v>
      </c>
      <c r="L100">
        <v>19</v>
      </c>
      <c r="M100">
        <v>4</v>
      </c>
      <c r="N100">
        <v>6</v>
      </c>
      <c r="O100">
        <v>0</v>
      </c>
      <c r="Q100" t="str">
        <f t="shared" si="10"/>
        <v>xG Cukup Sedikit</v>
      </c>
      <c r="R100" t="str">
        <f t="shared" si="11"/>
        <v>Possession Cukup Sedikit</v>
      </c>
      <c r="S100" t="str">
        <f t="shared" si="12"/>
        <v>Total Pass Cukup Sedikit</v>
      </c>
      <c r="T100" t="str">
        <f t="shared" si="13"/>
        <v>Pass Sukses Cukup Sedikit</v>
      </c>
      <c r="U100" t="str">
        <f t="shared" si="14"/>
        <v>Total Shot Cukup Sedikit</v>
      </c>
      <c r="V100" t="str">
        <f t="shared" si="17"/>
        <v>Shot on Target Normal</v>
      </c>
      <c r="W100" t="str">
        <f t="shared" si="18"/>
        <v>Fouls Tinggi</v>
      </c>
      <c r="X100" t="str">
        <f t="shared" si="19"/>
        <v>Corner Rendah</v>
      </c>
      <c r="Y100" t="str">
        <f t="shared" si="15"/>
        <v>Yellow Card Tinggi</v>
      </c>
      <c r="Z100" t="str">
        <f t="shared" si="16"/>
        <v>Red Card Rendah</v>
      </c>
    </row>
    <row r="101" spans="1:26" x14ac:dyDescent="0.25">
      <c r="A101" t="s">
        <v>34</v>
      </c>
      <c r="B101">
        <v>1.3</v>
      </c>
      <c r="C101">
        <v>68</v>
      </c>
      <c r="D101">
        <v>712</v>
      </c>
      <c r="E101">
        <v>595</v>
      </c>
      <c r="F101">
        <v>2</v>
      </c>
      <c r="G101" t="s">
        <v>35</v>
      </c>
      <c r="H101">
        <v>0</v>
      </c>
      <c r="I101" t="s">
        <v>40</v>
      </c>
      <c r="J101">
        <v>26</v>
      </c>
      <c r="K101">
        <v>12</v>
      </c>
      <c r="L101">
        <v>3</v>
      </c>
      <c r="M101">
        <v>11</v>
      </c>
      <c r="N101">
        <v>2</v>
      </c>
      <c r="O101">
        <v>0</v>
      </c>
      <c r="Q101" t="str">
        <f t="shared" si="10"/>
        <v>xG Sangat Sedikit</v>
      </c>
      <c r="R101" t="str">
        <f t="shared" si="11"/>
        <v>Possession Sangat Banyak</v>
      </c>
      <c r="S101" t="str">
        <f t="shared" si="12"/>
        <v>Total Pass Sangat Banyak</v>
      </c>
      <c r="T101" t="str">
        <f t="shared" si="13"/>
        <v>Pass Sukses Sangat Banyak</v>
      </c>
      <c r="U101" t="str">
        <f t="shared" si="14"/>
        <v>Total Shot Cukup Banyak</v>
      </c>
      <c r="V101" t="str">
        <f t="shared" si="17"/>
        <v>Shot on Target Tinggi</v>
      </c>
      <c r="W101" t="str">
        <f t="shared" si="18"/>
        <v>Fouls Rendah</v>
      </c>
      <c r="X101" t="str">
        <f t="shared" si="19"/>
        <v>Corner Tinggi</v>
      </c>
      <c r="Y101" t="str">
        <f t="shared" si="15"/>
        <v>Yellow Card Rendah</v>
      </c>
      <c r="Z101" t="str">
        <f t="shared" si="16"/>
        <v>Red Card Rendah</v>
      </c>
    </row>
    <row r="102" spans="1:26" x14ac:dyDescent="0.25">
      <c r="A102" t="s">
        <v>54</v>
      </c>
      <c r="B102">
        <v>1.5</v>
      </c>
      <c r="C102">
        <v>51</v>
      </c>
      <c r="D102">
        <v>457</v>
      </c>
      <c r="E102">
        <v>333</v>
      </c>
      <c r="F102">
        <v>3</v>
      </c>
      <c r="G102" t="s">
        <v>35</v>
      </c>
      <c r="H102">
        <v>1</v>
      </c>
      <c r="I102" t="s">
        <v>36</v>
      </c>
      <c r="J102">
        <v>12</v>
      </c>
      <c r="K102">
        <v>6</v>
      </c>
      <c r="L102">
        <v>8</v>
      </c>
      <c r="M102">
        <v>6</v>
      </c>
      <c r="N102">
        <v>2</v>
      </c>
      <c r="O102">
        <v>0</v>
      </c>
      <c r="Q102" t="str">
        <f t="shared" si="10"/>
        <v>xG Cukup Sedikit</v>
      </c>
      <c r="R102" t="str">
        <f t="shared" si="11"/>
        <v>Possession Cukup Banyak</v>
      </c>
      <c r="S102" t="str">
        <f t="shared" si="12"/>
        <v>Total Pass Cukup Sedikit</v>
      </c>
      <c r="T102" t="str">
        <f t="shared" si="13"/>
        <v>Pass Sukses Cukup Sedikit</v>
      </c>
      <c r="U102" t="str">
        <f t="shared" si="14"/>
        <v>Total Shot Cukup Sedikit</v>
      </c>
      <c r="V102" t="str">
        <f t="shared" si="17"/>
        <v>Shot on Target Tinggi</v>
      </c>
      <c r="W102" t="str">
        <f t="shared" si="18"/>
        <v>Fouls Rendah</v>
      </c>
      <c r="X102" t="str">
        <f t="shared" si="19"/>
        <v>Corner Tinggi</v>
      </c>
      <c r="Y102" t="str">
        <f t="shared" si="15"/>
        <v>Yellow Card Rendah</v>
      </c>
      <c r="Z102" t="str">
        <f t="shared" si="16"/>
        <v>Red Card Rendah</v>
      </c>
    </row>
    <row r="103" spans="1:26" x14ac:dyDescent="0.25">
      <c r="A103" t="s">
        <v>55</v>
      </c>
      <c r="B103">
        <v>1.5</v>
      </c>
      <c r="C103">
        <v>36</v>
      </c>
      <c r="D103">
        <v>385</v>
      </c>
      <c r="E103">
        <v>293</v>
      </c>
      <c r="F103">
        <v>0</v>
      </c>
      <c r="G103" t="s">
        <v>40</v>
      </c>
      <c r="H103">
        <v>0</v>
      </c>
      <c r="I103" t="s">
        <v>40</v>
      </c>
      <c r="J103">
        <v>13</v>
      </c>
      <c r="K103">
        <v>5</v>
      </c>
      <c r="L103">
        <v>10</v>
      </c>
      <c r="M103">
        <v>1</v>
      </c>
      <c r="N103">
        <v>1</v>
      </c>
      <c r="O103">
        <v>1</v>
      </c>
      <c r="Q103" t="str">
        <f t="shared" si="10"/>
        <v>xG Cukup Sedikit</v>
      </c>
      <c r="R103" t="str">
        <f t="shared" si="11"/>
        <v>Possession Sangat Sedikit</v>
      </c>
      <c r="S103" t="str">
        <f t="shared" si="12"/>
        <v>Total Pass Cukup Sedikit</v>
      </c>
      <c r="T103" t="str">
        <f t="shared" si="13"/>
        <v>Pass Sukses Cukup Sedikit</v>
      </c>
      <c r="U103" t="str">
        <f t="shared" si="14"/>
        <v>Total Shot Cukup Sedikit</v>
      </c>
      <c r="V103" t="str">
        <f t="shared" si="17"/>
        <v>Shot on Target Tinggi</v>
      </c>
      <c r="W103" t="str">
        <f t="shared" si="18"/>
        <v>Fouls Normal</v>
      </c>
      <c r="X103" t="str">
        <f t="shared" si="19"/>
        <v>Corner Rendah</v>
      </c>
      <c r="Y103" t="str">
        <f t="shared" si="15"/>
        <v>Yellow Card Rendah</v>
      </c>
      <c r="Z103" t="str">
        <f t="shared" si="16"/>
        <v>Red Card Tinggi</v>
      </c>
    </row>
    <row r="104" spans="1:26" x14ac:dyDescent="0.25">
      <c r="A104" t="s">
        <v>51</v>
      </c>
      <c r="B104">
        <v>0.8</v>
      </c>
      <c r="C104">
        <v>49</v>
      </c>
      <c r="D104">
        <v>492</v>
      </c>
      <c r="E104">
        <v>374</v>
      </c>
      <c r="F104">
        <v>0</v>
      </c>
      <c r="G104" t="s">
        <v>36</v>
      </c>
      <c r="H104">
        <v>0</v>
      </c>
      <c r="I104" t="s">
        <v>36</v>
      </c>
      <c r="J104">
        <v>11</v>
      </c>
      <c r="K104">
        <v>6</v>
      </c>
      <c r="L104">
        <v>10</v>
      </c>
      <c r="M104">
        <v>7</v>
      </c>
      <c r="N104">
        <v>1</v>
      </c>
      <c r="O104">
        <v>0</v>
      </c>
      <c r="Q104" t="str">
        <f t="shared" si="10"/>
        <v>xG Sangat Sedikit</v>
      </c>
      <c r="R104" t="str">
        <f t="shared" si="11"/>
        <v>Possession Cukup Sedikit</v>
      </c>
      <c r="S104" t="str">
        <f t="shared" si="12"/>
        <v>Total Pass Cukup Sedikit</v>
      </c>
      <c r="T104" t="str">
        <f t="shared" si="13"/>
        <v>Pass Sukses Cukup Sedikit</v>
      </c>
      <c r="U104" t="str">
        <f t="shared" si="14"/>
        <v>Total Shot Cukup Sedikit</v>
      </c>
      <c r="V104" t="str">
        <f t="shared" si="17"/>
        <v>Shot on Target Tinggi</v>
      </c>
      <c r="W104" t="str">
        <f t="shared" si="18"/>
        <v>Fouls Normal</v>
      </c>
      <c r="X104" t="str">
        <f t="shared" si="19"/>
        <v>Corner Tinggi</v>
      </c>
      <c r="Y104" t="str">
        <f t="shared" si="15"/>
        <v>Yellow Card Rendah</v>
      </c>
      <c r="Z104" t="str">
        <f t="shared" si="16"/>
        <v>Red Card Rendah</v>
      </c>
    </row>
    <row r="105" spans="1:26" x14ac:dyDescent="0.25">
      <c r="A105" t="s">
        <v>43</v>
      </c>
      <c r="B105">
        <v>1.3</v>
      </c>
      <c r="C105">
        <v>29</v>
      </c>
      <c r="D105">
        <v>299</v>
      </c>
      <c r="E105">
        <v>227</v>
      </c>
      <c r="F105">
        <v>2</v>
      </c>
      <c r="G105" t="s">
        <v>35</v>
      </c>
      <c r="H105">
        <v>1</v>
      </c>
      <c r="I105" t="s">
        <v>35</v>
      </c>
      <c r="J105">
        <v>8</v>
      </c>
      <c r="K105">
        <v>4</v>
      </c>
      <c r="L105">
        <v>14</v>
      </c>
      <c r="M105">
        <v>1</v>
      </c>
      <c r="N105">
        <v>1</v>
      </c>
      <c r="O105">
        <v>0</v>
      </c>
      <c r="Q105" t="str">
        <f t="shared" si="10"/>
        <v>xG Sangat Sedikit</v>
      </c>
      <c r="R105" t="str">
        <f t="shared" si="11"/>
        <v>Possession Sangat Sedikit</v>
      </c>
      <c r="S105" t="str">
        <f t="shared" si="12"/>
        <v>Total Pass Sangat Sedikit</v>
      </c>
      <c r="T105" t="str">
        <f t="shared" si="13"/>
        <v>Pass Sukses Sangat Sedikit</v>
      </c>
      <c r="U105" t="str">
        <f t="shared" si="14"/>
        <v>Total Shot Sangat Sedikit</v>
      </c>
      <c r="V105" t="str">
        <f t="shared" si="17"/>
        <v>Shot on Target Normal</v>
      </c>
      <c r="W105" t="str">
        <f t="shared" si="18"/>
        <v>Fouls Tinggi</v>
      </c>
      <c r="X105" t="str">
        <f t="shared" si="19"/>
        <v>Corner Rendah</v>
      </c>
      <c r="Y105" t="str">
        <f t="shared" si="15"/>
        <v>Yellow Card Rendah</v>
      </c>
      <c r="Z105" t="str">
        <f t="shared" si="16"/>
        <v>Red Card Rendah</v>
      </c>
    </row>
    <row r="106" spans="1:26" x14ac:dyDescent="0.25">
      <c r="A106" t="s">
        <v>45</v>
      </c>
      <c r="B106">
        <v>2.2999999999999998</v>
      </c>
      <c r="C106">
        <v>40</v>
      </c>
      <c r="D106">
        <v>453</v>
      </c>
      <c r="E106">
        <v>390</v>
      </c>
      <c r="F106">
        <v>2</v>
      </c>
      <c r="G106" t="s">
        <v>35</v>
      </c>
      <c r="H106">
        <v>0</v>
      </c>
      <c r="I106" t="s">
        <v>40</v>
      </c>
      <c r="J106">
        <v>10</v>
      </c>
      <c r="K106">
        <v>4</v>
      </c>
      <c r="L106">
        <v>12</v>
      </c>
      <c r="M106">
        <v>0</v>
      </c>
      <c r="N106">
        <v>3</v>
      </c>
      <c r="O106">
        <v>0</v>
      </c>
      <c r="Q106" t="str">
        <f t="shared" si="10"/>
        <v>xG Cukup Sedikit</v>
      </c>
      <c r="R106" t="str">
        <f t="shared" si="11"/>
        <v>Possession Cukup Sedikit</v>
      </c>
      <c r="S106" t="str">
        <f t="shared" si="12"/>
        <v>Total Pass Cukup Sedikit</v>
      </c>
      <c r="T106" t="str">
        <f t="shared" si="13"/>
        <v>Pass Sukses Cukup Sedikit</v>
      </c>
      <c r="U106" t="str">
        <f t="shared" si="14"/>
        <v>Total Shot Sangat Sedikit</v>
      </c>
      <c r="V106" t="str">
        <f t="shared" si="17"/>
        <v>Shot on Target Normal</v>
      </c>
      <c r="W106" t="str">
        <f t="shared" si="18"/>
        <v>Fouls Tinggi</v>
      </c>
      <c r="X106" t="str">
        <f t="shared" si="19"/>
        <v>Corner Rendah</v>
      </c>
      <c r="Y106" t="str">
        <f t="shared" si="15"/>
        <v>Yellow Card Tinggi</v>
      </c>
      <c r="Z106" t="str">
        <f t="shared" si="16"/>
        <v>Red Card Rendah</v>
      </c>
    </row>
    <row r="107" spans="1:26" x14ac:dyDescent="0.25">
      <c r="A107" t="s">
        <v>39</v>
      </c>
      <c r="B107">
        <v>2</v>
      </c>
      <c r="C107">
        <v>62</v>
      </c>
      <c r="D107">
        <v>644</v>
      </c>
      <c r="E107">
        <v>564</v>
      </c>
      <c r="F107">
        <v>2</v>
      </c>
      <c r="G107" t="s">
        <v>35</v>
      </c>
      <c r="H107">
        <v>1</v>
      </c>
      <c r="I107" t="s">
        <v>35</v>
      </c>
      <c r="J107">
        <v>14</v>
      </c>
      <c r="K107">
        <v>5</v>
      </c>
      <c r="L107">
        <v>11</v>
      </c>
      <c r="M107">
        <v>2</v>
      </c>
      <c r="N107">
        <v>0</v>
      </c>
      <c r="O107">
        <v>0</v>
      </c>
      <c r="Q107" t="str">
        <f t="shared" si="10"/>
        <v>xG Cukup Sedikit</v>
      </c>
      <c r="R107" t="str">
        <f t="shared" si="11"/>
        <v>Possession Cukup Banyak</v>
      </c>
      <c r="S107" t="str">
        <f t="shared" si="12"/>
        <v>Total Pass Cukup Banyak</v>
      </c>
      <c r="T107" t="str">
        <f t="shared" si="13"/>
        <v>Pass Sukses Cukup Banyak</v>
      </c>
      <c r="U107" t="str">
        <f t="shared" si="14"/>
        <v>Total Shot Cukup Sedikit</v>
      </c>
      <c r="V107" t="str">
        <f t="shared" si="17"/>
        <v>Shot on Target Tinggi</v>
      </c>
      <c r="W107" t="str">
        <f t="shared" si="18"/>
        <v>Fouls Normal</v>
      </c>
      <c r="X107" t="str">
        <f t="shared" si="19"/>
        <v>Corner Rendah</v>
      </c>
      <c r="Y107" t="str">
        <f t="shared" si="15"/>
        <v>Yellow Card Rendah</v>
      </c>
      <c r="Z107" t="str">
        <f t="shared" si="16"/>
        <v>Red Card Rendah</v>
      </c>
    </row>
    <row r="108" spans="1:26" x14ac:dyDescent="0.25">
      <c r="A108" t="s">
        <v>33</v>
      </c>
      <c r="B108">
        <v>0.8</v>
      </c>
      <c r="C108">
        <v>51</v>
      </c>
      <c r="D108">
        <v>534</v>
      </c>
      <c r="E108">
        <v>446</v>
      </c>
      <c r="F108">
        <v>3</v>
      </c>
      <c r="G108" t="s">
        <v>35</v>
      </c>
      <c r="H108">
        <v>2</v>
      </c>
      <c r="I108" t="s">
        <v>35</v>
      </c>
      <c r="J108">
        <v>13</v>
      </c>
      <c r="K108">
        <v>3</v>
      </c>
      <c r="L108">
        <v>9</v>
      </c>
      <c r="M108">
        <v>1</v>
      </c>
      <c r="N108">
        <v>0</v>
      </c>
      <c r="O108">
        <v>0</v>
      </c>
      <c r="Q108" t="str">
        <f t="shared" si="10"/>
        <v>xG Sangat Sedikit</v>
      </c>
      <c r="R108" t="str">
        <f t="shared" si="11"/>
        <v>Possession Cukup Banyak</v>
      </c>
      <c r="S108" t="str">
        <f t="shared" si="12"/>
        <v>Total Pass Cukup Banyak</v>
      </c>
      <c r="T108" t="str">
        <f t="shared" si="13"/>
        <v>Pass Sukses Cukup Banyak</v>
      </c>
      <c r="U108" t="str">
        <f t="shared" si="14"/>
        <v>Total Shot Cukup Sedikit</v>
      </c>
      <c r="V108" t="str">
        <f t="shared" si="17"/>
        <v>Shot on Target Rendah</v>
      </c>
      <c r="W108" t="str">
        <f t="shared" si="18"/>
        <v>Fouls Normal</v>
      </c>
      <c r="X108" t="str">
        <f t="shared" si="19"/>
        <v>Corner Rendah</v>
      </c>
      <c r="Y108" t="str">
        <f t="shared" si="15"/>
        <v>Yellow Card Rendah</v>
      </c>
      <c r="Z108" t="str">
        <f t="shared" si="16"/>
        <v>Red Card Rendah</v>
      </c>
    </row>
    <row r="109" spans="1:26" x14ac:dyDescent="0.25">
      <c r="A109" t="s">
        <v>48</v>
      </c>
      <c r="B109">
        <v>0.6</v>
      </c>
      <c r="C109">
        <v>44</v>
      </c>
      <c r="D109">
        <v>429</v>
      </c>
      <c r="E109">
        <v>319</v>
      </c>
      <c r="F109">
        <v>1</v>
      </c>
      <c r="G109" t="s">
        <v>40</v>
      </c>
      <c r="H109">
        <v>1</v>
      </c>
      <c r="I109" t="s">
        <v>35</v>
      </c>
      <c r="J109">
        <v>9</v>
      </c>
      <c r="K109">
        <v>3</v>
      </c>
      <c r="L109">
        <v>13</v>
      </c>
      <c r="M109">
        <v>4</v>
      </c>
      <c r="N109">
        <v>1</v>
      </c>
      <c r="O109">
        <v>0</v>
      </c>
      <c r="Q109" t="str">
        <f t="shared" si="10"/>
        <v>xG Sangat Sedikit</v>
      </c>
      <c r="R109" t="str">
        <f t="shared" si="11"/>
        <v>Possession Cukup Sedikit</v>
      </c>
      <c r="S109" t="str">
        <f t="shared" si="12"/>
        <v>Total Pass Cukup Sedikit</v>
      </c>
      <c r="T109" t="str">
        <f t="shared" si="13"/>
        <v>Pass Sukses Cukup Sedikit</v>
      </c>
      <c r="U109" t="str">
        <f t="shared" si="14"/>
        <v>Total Shot Sangat Sedikit</v>
      </c>
      <c r="V109" t="str">
        <f t="shared" si="17"/>
        <v>Shot on Target Rendah</v>
      </c>
      <c r="W109" t="str">
        <f t="shared" si="18"/>
        <v>Fouls Tinggi</v>
      </c>
      <c r="X109" t="str">
        <f t="shared" si="19"/>
        <v>Corner Rendah</v>
      </c>
      <c r="Y109" t="str">
        <f t="shared" si="15"/>
        <v>Yellow Card Rendah</v>
      </c>
      <c r="Z109" t="str">
        <f t="shared" si="16"/>
        <v>Red Card Rendah</v>
      </c>
    </row>
    <row r="110" spans="1:26" x14ac:dyDescent="0.25">
      <c r="A110" t="s">
        <v>60</v>
      </c>
      <c r="B110">
        <v>1.5</v>
      </c>
      <c r="C110">
        <v>66</v>
      </c>
      <c r="D110">
        <v>609</v>
      </c>
      <c r="E110">
        <v>494</v>
      </c>
      <c r="F110">
        <v>1</v>
      </c>
      <c r="G110" t="s">
        <v>40</v>
      </c>
      <c r="H110">
        <v>0</v>
      </c>
      <c r="I110" t="s">
        <v>40</v>
      </c>
      <c r="J110">
        <v>17</v>
      </c>
      <c r="K110">
        <v>5</v>
      </c>
      <c r="L110">
        <v>10</v>
      </c>
      <c r="M110">
        <v>12</v>
      </c>
      <c r="N110">
        <v>1</v>
      </c>
      <c r="O110">
        <v>0</v>
      </c>
      <c r="Q110" t="str">
        <f t="shared" si="10"/>
        <v>xG Cukup Sedikit</v>
      </c>
      <c r="R110" t="str">
        <f t="shared" si="11"/>
        <v>Possession Sangat Banyak</v>
      </c>
      <c r="S110" t="str">
        <f t="shared" si="12"/>
        <v>Total Pass Cukup Banyak</v>
      </c>
      <c r="T110" t="str">
        <f t="shared" si="13"/>
        <v>Pass Sukses Cukup Banyak</v>
      </c>
      <c r="U110" t="str">
        <f t="shared" si="14"/>
        <v>Total Shot Cukup Sedikit</v>
      </c>
      <c r="V110" t="str">
        <f t="shared" si="17"/>
        <v>Shot on Target Tinggi</v>
      </c>
      <c r="W110" t="str">
        <f t="shared" si="18"/>
        <v>Fouls Normal</v>
      </c>
      <c r="X110" t="str">
        <f t="shared" si="19"/>
        <v>Corner Tinggi</v>
      </c>
      <c r="Y110" t="str">
        <f t="shared" si="15"/>
        <v>Yellow Card Rendah</v>
      </c>
      <c r="Z110" t="str">
        <f t="shared" si="16"/>
        <v>Red Card Rendah</v>
      </c>
    </row>
    <row r="111" spans="1:26" x14ac:dyDescent="0.25">
      <c r="A111" t="s">
        <v>57</v>
      </c>
      <c r="B111">
        <v>1.5</v>
      </c>
      <c r="C111">
        <v>49</v>
      </c>
      <c r="D111">
        <v>447</v>
      </c>
      <c r="E111">
        <v>376</v>
      </c>
      <c r="F111">
        <v>1</v>
      </c>
      <c r="G111" t="s">
        <v>36</v>
      </c>
      <c r="H111">
        <v>0</v>
      </c>
      <c r="I111" t="s">
        <v>36</v>
      </c>
      <c r="J111">
        <v>17</v>
      </c>
      <c r="K111">
        <v>3</v>
      </c>
      <c r="L111">
        <v>12</v>
      </c>
      <c r="M111">
        <v>4</v>
      </c>
      <c r="N111">
        <v>4</v>
      </c>
      <c r="O111">
        <v>0</v>
      </c>
      <c r="Q111" t="str">
        <f t="shared" si="10"/>
        <v>xG Cukup Sedikit</v>
      </c>
      <c r="R111" t="str">
        <f t="shared" si="11"/>
        <v>Possession Cukup Sedikit</v>
      </c>
      <c r="S111" t="str">
        <f t="shared" si="12"/>
        <v>Total Pass Cukup Sedikit</v>
      </c>
      <c r="T111" t="str">
        <f t="shared" si="13"/>
        <v>Pass Sukses Cukup Sedikit</v>
      </c>
      <c r="U111" t="str">
        <f t="shared" si="14"/>
        <v>Total Shot Cukup Sedikit</v>
      </c>
      <c r="V111" t="str">
        <f t="shared" si="17"/>
        <v>Shot on Target Rendah</v>
      </c>
      <c r="W111" t="str">
        <f t="shared" si="18"/>
        <v>Fouls Tinggi</v>
      </c>
      <c r="X111" t="str">
        <f t="shared" si="19"/>
        <v>Corner Rendah</v>
      </c>
      <c r="Y111" t="str">
        <f t="shared" si="15"/>
        <v>Yellow Card Tinggi</v>
      </c>
      <c r="Z111" t="str">
        <f t="shared" si="16"/>
        <v>Red Card Rendah</v>
      </c>
    </row>
    <row r="112" spans="1:26" x14ac:dyDescent="0.25">
      <c r="A112" t="s">
        <v>59</v>
      </c>
      <c r="B112">
        <v>1.1000000000000001</v>
      </c>
      <c r="C112">
        <v>37</v>
      </c>
      <c r="D112">
        <v>386</v>
      </c>
      <c r="E112">
        <v>286</v>
      </c>
      <c r="F112">
        <v>1</v>
      </c>
      <c r="G112" t="s">
        <v>40</v>
      </c>
      <c r="H112">
        <v>0</v>
      </c>
      <c r="I112" t="s">
        <v>40</v>
      </c>
      <c r="J112">
        <v>4</v>
      </c>
      <c r="K112">
        <v>1</v>
      </c>
      <c r="L112">
        <v>15</v>
      </c>
      <c r="M112">
        <v>2</v>
      </c>
      <c r="N112">
        <v>4</v>
      </c>
      <c r="O112">
        <v>0</v>
      </c>
      <c r="Q112" t="str">
        <f t="shared" si="10"/>
        <v>xG Sangat Sedikit</v>
      </c>
      <c r="R112" t="str">
        <f t="shared" si="11"/>
        <v>Possession Cukup Sedikit</v>
      </c>
      <c r="S112" t="str">
        <f t="shared" si="12"/>
        <v>Total Pass Cukup Sedikit</v>
      </c>
      <c r="T112" t="str">
        <f t="shared" si="13"/>
        <v>Pass Sukses Cukup Sedikit</v>
      </c>
      <c r="U112" t="str">
        <f t="shared" si="14"/>
        <v>Total Shot Sangat Sedikit</v>
      </c>
      <c r="V112" t="str">
        <f t="shared" si="17"/>
        <v>Shot on Target Rendah</v>
      </c>
      <c r="W112" t="str">
        <f t="shared" si="18"/>
        <v>Fouls Tinggi</v>
      </c>
      <c r="X112" t="str">
        <f t="shared" si="19"/>
        <v>Corner Rendah</v>
      </c>
      <c r="Y112" t="str">
        <f t="shared" si="15"/>
        <v>Yellow Card Tinggi</v>
      </c>
      <c r="Z112" t="str">
        <f t="shared" si="16"/>
        <v>Red Card Rendah</v>
      </c>
    </row>
    <row r="113" spans="1:26" x14ac:dyDescent="0.25">
      <c r="A113" t="s">
        <v>42</v>
      </c>
      <c r="B113">
        <v>1.2</v>
      </c>
      <c r="C113">
        <v>66</v>
      </c>
      <c r="D113">
        <v>631</v>
      </c>
      <c r="E113">
        <v>560</v>
      </c>
      <c r="F113">
        <v>3</v>
      </c>
      <c r="G113" t="s">
        <v>35</v>
      </c>
      <c r="H113">
        <v>1</v>
      </c>
      <c r="I113" t="s">
        <v>35</v>
      </c>
      <c r="J113">
        <v>19</v>
      </c>
      <c r="K113">
        <v>7</v>
      </c>
      <c r="L113">
        <v>10</v>
      </c>
      <c r="M113">
        <v>8</v>
      </c>
      <c r="N113">
        <v>3</v>
      </c>
      <c r="O113">
        <v>0</v>
      </c>
      <c r="Q113" t="str">
        <f t="shared" si="10"/>
        <v>xG Sangat Sedikit</v>
      </c>
      <c r="R113" t="str">
        <f t="shared" si="11"/>
        <v>Possession Sangat Banyak</v>
      </c>
      <c r="S113" t="str">
        <f t="shared" si="12"/>
        <v>Total Pass Cukup Banyak</v>
      </c>
      <c r="T113" t="str">
        <f t="shared" si="13"/>
        <v>Pass Sukses Cukup Banyak</v>
      </c>
      <c r="U113" t="str">
        <f t="shared" si="14"/>
        <v>Total Shot Cukup Sedikit</v>
      </c>
      <c r="V113" t="str">
        <f t="shared" si="17"/>
        <v>Shot on Target Tinggi</v>
      </c>
      <c r="W113" t="str">
        <f t="shared" si="18"/>
        <v>Fouls Normal</v>
      </c>
      <c r="X113" t="str">
        <f t="shared" si="19"/>
        <v>Corner Tinggi</v>
      </c>
      <c r="Y113" t="str">
        <f t="shared" si="15"/>
        <v>Yellow Card Tinggi</v>
      </c>
      <c r="Z113" t="str">
        <f t="shared" si="16"/>
        <v>Red Card Rendah</v>
      </c>
    </row>
    <row r="114" spans="1:26" x14ac:dyDescent="0.25">
      <c r="A114" t="s">
        <v>52</v>
      </c>
      <c r="B114">
        <v>3</v>
      </c>
      <c r="C114">
        <v>69</v>
      </c>
      <c r="D114">
        <v>658</v>
      </c>
      <c r="E114">
        <v>554</v>
      </c>
      <c r="F114">
        <v>2</v>
      </c>
      <c r="G114" t="s">
        <v>36</v>
      </c>
      <c r="H114">
        <v>1</v>
      </c>
      <c r="I114" t="s">
        <v>40</v>
      </c>
      <c r="J114">
        <v>17</v>
      </c>
      <c r="K114">
        <v>5</v>
      </c>
      <c r="L114">
        <v>10</v>
      </c>
      <c r="M114">
        <v>10</v>
      </c>
      <c r="N114">
        <v>3</v>
      </c>
      <c r="O114">
        <v>0</v>
      </c>
      <c r="Q114" t="str">
        <f t="shared" si="10"/>
        <v>xG Cukup Banyak</v>
      </c>
      <c r="R114" t="str">
        <f t="shared" si="11"/>
        <v>Possession Sangat Banyak</v>
      </c>
      <c r="S114" t="str">
        <f t="shared" si="12"/>
        <v>Total Pass Cukup Banyak</v>
      </c>
      <c r="T114" t="str">
        <f t="shared" si="13"/>
        <v>Pass Sukses Cukup Banyak</v>
      </c>
      <c r="U114" t="str">
        <f t="shared" si="14"/>
        <v>Total Shot Cukup Sedikit</v>
      </c>
      <c r="V114" t="str">
        <f t="shared" si="17"/>
        <v>Shot on Target Tinggi</v>
      </c>
      <c r="W114" t="str">
        <f t="shared" si="18"/>
        <v>Fouls Normal</v>
      </c>
      <c r="X114" t="str">
        <f t="shared" si="19"/>
        <v>Corner Tinggi</v>
      </c>
      <c r="Y114" t="str">
        <f t="shared" si="15"/>
        <v>Yellow Card Tinggi</v>
      </c>
      <c r="Z114" t="str">
        <f t="shared" si="16"/>
        <v>Red Card Rendah</v>
      </c>
    </row>
    <row r="115" spans="1:26" x14ac:dyDescent="0.25">
      <c r="A115" t="s">
        <v>49</v>
      </c>
      <c r="B115">
        <v>1.6</v>
      </c>
      <c r="C115">
        <v>55</v>
      </c>
      <c r="D115">
        <v>542</v>
      </c>
      <c r="E115">
        <v>442</v>
      </c>
      <c r="F115">
        <v>1</v>
      </c>
      <c r="G115" t="s">
        <v>40</v>
      </c>
      <c r="H115">
        <v>0</v>
      </c>
      <c r="I115" t="s">
        <v>40</v>
      </c>
      <c r="J115">
        <v>19</v>
      </c>
      <c r="K115">
        <v>5</v>
      </c>
      <c r="L115">
        <v>13</v>
      </c>
      <c r="M115">
        <v>7</v>
      </c>
      <c r="N115">
        <v>2</v>
      </c>
      <c r="O115">
        <v>0</v>
      </c>
      <c r="Q115" t="str">
        <f t="shared" si="10"/>
        <v>xG Cukup Sedikit</v>
      </c>
      <c r="R115" t="str">
        <f t="shared" si="11"/>
        <v>Possession Cukup Banyak</v>
      </c>
      <c r="S115" t="str">
        <f t="shared" si="12"/>
        <v>Total Pass Cukup Banyak</v>
      </c>
      <c r="T115" t="str">
        <f t="shared" si="13"/>
        <v>Pass Sukses Cukup Banyak</v>
      </c>
      <c r="U115" t="str">
        <f t="shared" si="14"/>
        <v>Total Shot Cukup Sedikit</v>
      </c>
      <c r="V115" t="str">
        <f t="shared" si="17"/>
        <v>Shot on Target Tinggi</v>
      </c>
      <c r="W115" t="str">
        <f t="shared" si="18"/>
        <v>Fouls Tinggi</v>
      </c>
      <c r="X115" t="str">
        <f t="shared" si="19"/>
        <v>Corner Tinggi</v>
      </c>
      <c r="Y115" t="str">
        <f t="shared" si="15"/>
        <v>Yellow Card Rendah</v>
      </c>
      <c r="Z115" t="str">
        <f t="shared" si="16"/>
        <v>Red Card Rendah</v>
      </c>
    </row>
    <row r="116" spans="1:26" x14ac:dyDescent="0.25">
      <c r="A116" t="s">
        <v>44</v>
      </c>
      <c r="B116">
        <v>1.2</v>
      </c>
      <c r="C116">
        <v>59</v>
      </c>
      <c r="D116">
        <v>533</v>
      </c>
      <c r="E116">
        <v>440</v>
      </c>
      <c r="F116">
        <v>0</v>
      </c>
      <c r="G116" t="s">
        <v>36</v>
      </c>
      <c r="H116">
        <v>0</v>
      </c>
      <c r="I116" t="s">
        <v>36</v>
      </c>
      <c r="J116">
        <v>27</v>
      </c>
      <c r="K116">
        <v>5</v>
      </c>
      <c r="L116">
        <v>8</v>
      </c>
      <c r="M116">
        <v>10</v>
      </c>
      <c r="N116">
        <v>0</v>
      </c>
      <c r="O116">
        <v>0</v>
      </c>
      <c r="Q116" t="str">
        <f t="shared" si="10"/>
        <v>xG Sangat Sedikit</v>
      </c>
      <c r="R116" t="str">
        <f t="shared" si="11"/>
        <v>Possession Cukup Banyak</v>
      </c>
      <c r="S116" t="str">
        <f t="shared" si="12"/>
        <v>Total Pass Cukup Banyak</v>
      </c>
      <c r="T116" t="str">
        <f t="shared" si="13"/>
        <v>Pass Sukses Cukup Banyak</v>
      </c>
      <c r="U116" t="str">
        <f t="shared" si="14"/>
        <v>Total Shot Cukup Banyak</v>
      </c>
      <c r="V116" t="str">
        <f t="shared" si="17"/>
        <v>Shot on Target Tinggi</v>
      </c>
      <c r="W116" t="str">
        <f t="shared" si="18"/>
        <v>Fouls Rendah</v>
      </c>
      <c r="X116" t="str">
        <f t="shared" si="19"/>
        <v>Corner Tinggi</v>
      </c>
      <c r="Y116" t="str">
        <f t="shared" si="15"/>
        <v>Yellow Card Rendah</v>
      </c>
      <c r="Z116" t="str">
        <f t="shared" si="16"/>
        <v>Red Card Rendah</v>
      </c>
    </row>
    <row r="117" spans="1:26" x14ac:dyDescent="0.25">
      <c r="A117" t="s">
        <v>34</v>
      </c>
      <c r="B117">
        <v>1</v>
      </c>
      <c r="C117">
        <v>59</v>
      </c>
      <c r="D117">
        <v>603</v>
      </c>
      <c r="E117">
        <v>499</v>
      </c>
      <c r="F117">
        <v>1</v>
      </c>
      <c r="G117" t="s">
        <v>40</v>
      </c>
      <c r="H117">
        <v>1</v>
      </c>
      <c r="I117" t="s">
        <v>36</v>
      </c>
      <c r="J117">
        <v>10</v>
      </c>
      <c r="K117">
        <v>3</v>
      </c>
      <c r="L117">
        <v>14</v>
      </c>
      <c r="M117">
        <v>7</v>
      </c>
      <c r="N117">
        <v>3</v>
      </c>
      <c r="O117">
        <v>0</v>
      </c>
      <c r="Q117" t="str">
        <f t="shared" si="10"/>
        <v>xG Sangat Sedikit</v>
      </c>
      <c r="R117" t="str">
        <f t="shared" si="11"/>
        <v>Possession Cukup Banyak</v>
      </c>
      <c r="S117" t="str">
        <f t="shared" si="12"/>
        <v>Total Pass Cukup Banyak</v>
      </c>
      <c r="T117" t="str">
        <f t="shared" si="13"/>
        <v>Pass Sukses Cukup Banyak</v>
      </c>
      <c r="U117" t="str">
        <f t="shared" si="14"/>
        <v>Total Shot Sangat Sedikit</v>
      </c>
      <c r="V117" t="str">
        <f t="shared" si="17"/>
        <v>Shot on Target Rendah</v>
      </c>
      <c r="W117" t="str">
        <f t="shared" si="18"/>
        <v>Fouls Tinggi</v>
      </c>
      <c r="X117" t="str">
        <f t="shared" si="19"/>
        <v>Corner Tinggi</v>
      </c>
      <c r="Y117" t="str">
        <f t="shared" si="15"/>
        <v>Yellow Card Tinggi</v>
      </c>
      <c r="Z117" t="str">
        <f t="shared" si="16"/>
        <v>Red Card Rendah</v>
      </c>
    </row>
    <row r="118" spans="1:26" x14ac:dyDescent="0.25">
      <c r="A118" t="s">
        <v>58</v>
      </c>
      <c r="B118">
        <v>2.1</v>
      </c>
      <c r="C118">
        <v>58</v>
      </c>
      <c r="D118">
        <v>618</v>
      </c>
      <c r="E118">
        <v>546</v>
      </c>
      <c r="F118">
        <v>0</v>
      </c>
      <c r="G118" t="s">
        <v>40</v>
      </c>
      <c r="H118">
        <v>0</v>
      </c>
      <c r="I118" t="s">
        <v>40</v>
      </c>
      <c r="J118">
        <v>23</v>
      </c>
      <c r="K118">
        <v>5</v>
      </c>
      <c r="L118">
        <v>19</v>
      </c>
      <c r="M118">
        <v>9</v>
      </c>
      <c r="N118">
        <v>4</v>
      </c>
      <c r="O118">
        <v>0</v>
      </c>
      <c r="Q118" t="str">
        <f t="shared" si="10"/>
        <v>xG Cukup Sedikit</v>
      </c>
      <c r="R118" t="str">
        <f t="shared" si="11"/>
        <v>Possession Cukup Banyak</v>
      </c>
      <c r="S118" t="str">
        <f t="shared" si="12"/>
        <v>Total Pass Cukup Banyak</v>
      </c>
      <c r="T118" t="str">
        <f t="shared" si="13"/>
        <v>Pass Sukses Cukup Banyak</v>
      </c>
      <c r="U118" t="str">
        <f t="shared" si="14"/>
        <v>Total Shot Cukup Banyak</v>
      </c>
      <c r="V118" t="str">
        <f t="shared" si="17"/>
        <v>Shot on Target Tinggi</v>
      </c>
      <c r="W118" t="str">
        <f t="shared" si="18"/>
        <v>Fouls Tinggi</v>
      </c>
      <c r="X118" t="str">
        <f t="shared" si="19"/>
        <v>Corner Tinggi</v>
      </c>
      <c r="Y118" t="str">
        <f t="shared" si="15"/>
        <v>Yellow Card Tinggi</v>
      </c>
      <c r="Z118" t="str">
        <f t="shared" si="16"/>
        <v>Red Card Rendah</v>
      </c>
    </row>
    <row r="119" spans="1:26" x14ac:dyDescent="0.25">
      <c r="A119" t="s">
        <v>47</v>
      </c>
      <c r="B119">
        <v>1.3</v>
      </c>
      <c r="C119">
        <v>38</v>
      </c>
      <c r="D119">
        <v>396</v>
      </c>
      <c r="E119">
        <v>327</v>
      </c>
      <c r="F119">
        <v>2</v>
      </c>
      <c r="G119" t="s">
        <v>40</v>
      </c>
      <c r="H119">
        <v>1</v>
      </c>
      <c r="I119" t="s">
        <v>36</v>
      </c>
      <c r="J119">
        <v>7</v>
      </c>
      <c r="K119">
        <v>5</v>
      </c>
      <c r="L119">
        <v>11</v>
      </c>
      <c r="M119">
        <v>3</v>
      </c>
      <c r="N119">
        <v>3</v>
      </c>
      <c r="O119">
        <v>0</v>
      </c>
      <c r="Q119" t="str">
        <f t="shared" si="10"/>
        <v>xG Sangat Sedikit</v>
      </c>
      <c r="R119" t="str">
        <f t="shared" si="11"/>
        <v>Possession Cukup Sedikit</v>
      </c>
      <c r="S119" t="str">
        <f t="shared" si="12"/>
        <v>Total Pass Cukup Sedikit</v>
      </c>
      <c r="T119" t="str">
        <f t="shared" si="13"/>
        <v>Pass Sukses Cukup Sedikit</v>
      </c>
      <c r="U119" t="str">
        <f t="shared" si="14"/>
        <v>Total Shot Sangat Sedikit</v>
      </c>
      <c r="V119" t="str">
        <f t="shared" si="17"/>
        <v>Shot on Target Tinggi</v>
      </c>
      <c r="W119" t="str">
        <f t="shared" si="18"/>
        <v>Fouls Normal</v>
      </c>
      <c r="X119" t="str">
        <f t="shared" si="19"/>
        <v>Corner Rendah</v>
      </c>
      <c r="Y119" t="str">
        <f t="shared" si="15"/>
        <v>Yellow Card Tinggi</v>
      </c>
      <c r="Z119" t="str">
        <f t="shared" si="16"/>
        <v>Red Card Rendah</v>
      </c>
    </row>
    <row r="120" spans="1:26" x14ac:dyDescent="0.25">
      <c r="A120" t="s">
        <v>38</v>
      </c>
      <c r="B120">
        <v>1.6</v>
      </c>
      <c r="C120">
        <v>40</v>
      </c>
      <c r="D120">
        <v>462</v>
      </c>
      <c r="E120">
        <v>368</v>
      </c>
      <c r="F120">
        <v>1</v>
      </c>
      <c r="G120" t="s">
        <v>36</v>
      </c>
      <c r="H120">
        <v>1</v>
      </c>
      <c r="I120" t="s">
        <v>36</v>
      </c>
      <c r="J120">
        <v>11</v>
      </c>
      <c r="K120">
        <v>6</v>
      </c>
      <c r="L120">
        <v>11</v>
      </c>
      <c r="M120">
        <v>4</v>
      </c>
      <c r="N120">
        <v>0</v>
      </c>
      <c r="O120">
        <v>0</v>
      </c>
      <c r="Q120" t="str">
        <f t="shared" si="10"/>
        <v>xG Cukup Sedikit</v>
      </c>
      <c r="R120" t="str">
        <f t="shared" si="11"/>
        <v>Possession Cukup Sedikit</v>
      </c>
      <c r="S120" t="str">
        <f t="shared" si="12"/>
        <v>Total Pass Cukup Sedikit</v>
      </c>
      <c r="T120" t="str">
        <f t="shared" si="13"/>
        <v>Pass Sukses Cukup Sedikit</v>
      </c>
      <c r="U120" t="str">
        <f t="shared" si="14"/>
        <v>Total Shot Cukup Sedikit</v>
      </c>
      <c r="V120" t="str">
        <f t="shared" si="17"/>
        <v>Shot on Target Tinggi</v>
      </c>
      <c r="W120" t="str">
        <f t="shared" si="18"/>
        <v>Fouls Normal</v>
      </c>
      <c r="X120" t="str">
        <f t="shared" si="19"/>
        <v>Corner Rendah</v>
      </c>
      <c r="Y120" t="str">
        <f t="shared" si="15"/>
        <v>Yellow Card Rendah</v>
      </c>
      <c r="Z120" t="str">
        <f t="shared" si="16"/>
        <v>Red Card Rendah</v>
      </c>
    </row>
    <row r="121" spans="1:26" x14ac:dyDescent="0.25">
      <c r="A121" t="s">
        <v>46</v>
      </c>
      <c r="B121">
        <v>1.6</v>
      </c>
      <c r="C121">
        <v>53</v>
      </c>
      <c r="D121">
        <v>576</v>
      </c>
      <c r="E121">
        <v>474</v>
      </c>
      <c r="F121">
        <v>0</v>
      </c>
      <c r="G121" t="s">
        <v>40</v>
      </c>
      <c r="H121">
        <v>0</v>
      </c>
      <c r="I121" t="s">
        <v>40</v>
      </c>
      <c r="J121">
        <v>18</v>
      </c>
      <c r="K121">
        <v>2</v>
      </c>
      <c r="L121">
        <v>11</v>
      </c>
      <c r="M121">
        <v>8</v>
      </c>
      <c r="N121">
        <v>1</v>
      </c>
      <c r="O121">
        <v>0</v>
      </c>
      <c r="Q121" t="str">
        <f t="shared" si="10"/>
        <v>xG Cukup Sedikit</v>
      </c>
      <c r="R121" t="str">
        <f t="shared" si="11"/>
        <v>Possession Cukup Banyak</v>
      </c>
      <c r="S121" t="str">
        <f t="shared" si="12"/>
        <v>Total Pass Cukup Banyak</v>
      </c>
      <c r="T121" t="str">
        <f t="shared" si="13"/>
        <v>Pass Sukses Cukup Banyak</v>
      </c>
      <c r="U121" t="str">
        <f t="shared" si="14"/>
        <v>Total Shot Cukup Sedikit</v>
      </c>
      <c r="V121" t="str">
        <f t="shared" si="17"/>
        <v>Shot on Target Rendah</v>
      </c>
      <c r="W121" t="str">
        <f t="shared" si="18"/>
        <v>Fouls Normal</v>
      </c>
      <c r="X121" t="str">
        <f t="shared" si="19"/>
        <v>Corner Tinggi</v>
      </c>
      <c r="Y121" t="str">
        <f t="shared" si="15"/>
        <v>Yellow Card Rendah</v>
      </c>
      <c r="Z121" t="str">
        <f t="shared" si="16"/>
        <v>Red Card Rendah</v>
      </c>
    </row>
    <row r="122" spans="1:26" x14ac:dyDescent="0.25">
      <c r="A122" t="s">
        <v>45</v>
      </c>
      <c r="B122">
        <v>1.7</v>
      </c>
      <c r="C122">
        <v>53</v>
      </c>
      <c r="D122">
        <v>511</v>
      </c>
      <c r="E122">
        <v>439</v>
      </c>
      <c r="F122">
        <v>1</v>
      </c>
      <c r="G122" t="s">
        <v>36</v>
      </c>
      <c r="H122">
        <v>1</v>
      </c>
      <c r="I122" t="s">
        <v>35</v>
      </c>
      <c r="J122">
        <v>22</v>
      </c>
      <c r="K122">
        <v>5</v>
      </c>
      <c r="L122">
        <v>20</v>
      </c>
      <c r="M122">
        <v>7</v>
      </c>
      <c r="N122">
        <v>2</v>
      </c>
      <c r="O122">
        <v>0</v>
      </c>
      <c r="Q122" t="str">
        <f t="shared" si="10"/>
        <v>xG Cukup Sedikit</v>
      </c>
      <c r="R122" t="str">
        <f t="shared" si="11"/>
        <v>Possession Cukup Banyak</v>
      </c>
      <c r="S122" t="str">
        <f t="shared" si="12"/>
        <v>Total Pass Cukup Banyak</v>
      </c>
      <c r="T122" t="str">
        <f t="shared" si="13"/>
        <v>Pass Sukses Cukup Banyak</v>
      </c>
      <c r="U122" t="str">
        <f t="shared" si="14"/>
        <v>Total Shot Cukup Banyak</v>
      </c>
      <c r="V122" t="str">
        <f t="shared" si="17"/>
        <v>Shot on Target Tinggi</v>
      </c>
      <c r="W122" t="str">
        <f t="shared" si="18"/>
        <v>Fouls Tinggi</v>
      </c>
      <c r="X122" t="str">
        <f t="shared" si="19"/>
        <v>Corner Tinggi</v>
      </c>
      <c r="Y122" t="str">
        <f t="shared" si="15"/>
        <v>Yellow Card Rendah</v>
      </c>
      <c r="Z122" t="str">
        <f t="shared" si="16"/>
        <v>Red Card Rendah</v>
      </c>
    </row>
    <row r="123" spans="1:26" x14ac:dyDescent="0.25">
      <c r="A123" t="s">
        <v>54</v>
      </c>
      <c r="B123">
        <v>2.4</v>
      </c>
      <c r="C123">
        <v>60</v>
      </c>
      <c r="D123">
        <v>627</v>
      </c>
      <c r="E123">
        <v>518</v>
      </c>
      <c r="F123">
        <v>4</v>
      </c>
      <c r="G123" t="s">
        <v>35</v>
      </c>
      <c r="H123">
        <v>3</v>
      </c>
      <c r="I123" t="s">
        <v>35</v>
      </c>
      <c r="J123">
        <v>13</v>
      </c>
      <c r="K123">
        <v>6</v>
      </c>
      <c r="L123">
        <v>9</v>
      </c>
      <c r="M123">
        <v>5</v>
      </c>
      <c r="N123">
        <v>1</v>
      </c>
      <c r="O123">
        <v>0</v>
      </c>
      <c r="Q123" t="str">
        <f t="shared" si="10"/>
        <v>xG Cukup Sedikit</v>
      </c>
      <c r="R123" t="str">
        <f t="shared" si="11"/>
        <v>Possession Cukup Banyak</v>
      </c>
      <c r="S123" t="str">
        <f t="shared" si="12"/>
        <v>Total Pass Cukup Banyak</v>
      </c>
      <c r="T123" t="str">
        <f t="shared" si="13"/>
        <v>Pass Sukses Cukup Banyak</v>
      </c>
      <c r="U123" t="str">
        <f t="shared" si="14"/>
        <v>Total Shot Cukup Sedikit</v>
      </c>
      <c r="V123" t="str">
        <f t="shared" si="17"/>
        <v>Shot on Target Tinggi</v>
      </c>
      <c r="W123" t="str">
        <f t="shared" si="18"/>
        <v>Fouls Normal</v>
      </c>
      <c r="X123" t="str">
        <f t="shared" si="19"/>
        <v>Corner Normal</v>
      </c>
      <c r="Y123" t="str">
        <f t="shared" si="15"/>
        <v>Yellow Card Rendah</v>
      </c>
      <c r="Z123" t="str">
        <f t="shared" si="16"/>
        <v>Red Card Rendah</v>
      </c>
    </row>
    <row r="124" spans="1:26" x14ac:dyDescent="0.25">
      <c r="A124" t="s">
        <v>55</v>
      </c>
      <c r="B124">
        <v>1.7</v>
      </c>
      <c r="C124">
        <v>49</v>
      </c>
      <c r="D124">
        <v>450</v>
      </c>
      <c r="E124">
        <v>351</v>
      </c>
      <c r="F124">
        <v>1</v>
      </c>
      <c r="G124" t="s">
        <v>36</v>
      </c>
      <c r="H124">
        <v>0</v>
      </c>
      <c r="I124" t="s">
        <v>36</v>
      </c>
      <c r="J124">
        <v>16</v>
      </c>
      <c r="K124">
        <v>4</v>
      </c>
      <c r="L124">
        <v>12</v>
      </c>
      <c r="M124">
        <v>8</v>
      </c>
      <c r="N124">
        <v>3</v>
      </c>
      <c r="O124">
        <v>0</v>
      </c>
      <c r="Q124" t="str">
        <f t="shared" si="10"/>
        <v>xG Cukup Sedikit</v>
      </c>
      <c r="R124" t="str">
        <f t="shared" si="11"/>
        <v>Possession Cukup Sedikit</v>
      </c>
      <c r="S124" t="str">
        <f t="shared" si="12"/>
        <v>Total Pass Cukup Sedikit</v>
      </c>
      <c r="T124" t="str">
        <f t="shared" si="13"/>
        <v>Pass Sukses Cukup Sedikit</v>
      </c>
      <c r="U124" t="str">
        <f t="shared" si="14"/>
        <v>Total Shot Cukup Sedikit</v>
      </c>
      <c r="V124" t="str">
        <f t="shared" si="17"/>
        <v>Shot on Target Normal</v>
      </c>
      <c r="W124" t="str">
        <f t="shared" si="18"/>
        <v>Fouls Tinggi</v>
      </c>
      <c r="X124" t="str">
        <f t="shared" si="19"/>
        <v>Corner Tinggi</v>
      </c>
      <c r="Y124" t="str">
        <f t="shared" si="15"/>
        <v>Yellow Card Tinggi</v>
      </c>
      <c r="Z124" t="str">
        <f t="shared" si="16"/>
        <v>Red Card Rendah</v>
      </c>
    </row>
    <row r="125" spans="1:26" x14ac:dyDescent="0.25">
      <c r="A125" t="s">
        <v>48</v>
      </c>
      <c r="B125">
        <v>1.6</v>
      </c>
      <c r="C125">
        <v>45</v>
      </c>
      <c r="D125">
        <v>354</v>
      </c>
      <c r="E125">
        <v>258</v>
      </c>
      <c r="F125">
        <v>1</v>
      </c>
      <c r="G125" t="s">
        <v>35</v>
      </c>
      <c r="H125">
        <v>0</v>
      </c>
      <c r="I125" t="s">
        <v>36</v>
      </c>
      <c r="J125">
        <v>12</v>
      </c>
      <c r="K125">
        <v>5</v>
      </c>
      <c r="L125">
        <v>5</v>
      </c>
      <c r="M125">
        <v>8</v>
      </c>
      <c r="N125">
        <v>1</v>
      </c>
      <c r="O125">
        <v>0</v>
      </c>
      <c r="Q125" t="str">
        <f t="shared" si="10"/>
        <v>xG Cukup Sedikit</v>
      </c>
      <c r="R125" t="str">
        <f t="shared" si="11"/>
        <v>Possession Cukup Sedikit</v>
      </c>
      <c r="S125" t="str">
        <f t="shared" si="12"/>
        <v>Total Pass Sangat Sedikit</v>
      </c>
      <c r="T125" t="str">
        <f t="shared" si="13"/>
        <v>Pass Sukses Sangat Sedikit</v>
      </c>
      <c r="U125" t="str">
        <f t="shared" si="14"/>
        <v>Total Shot Cukup Sedikit</v>
      </c>
      <c r="V125" t="str">
        <f t="shared" si="17"/>
        <v>Shot on Target Tinggi</v>
      </c>
      <c r="W125" t="str">
        <f t="shared" si="18"/>
        <v>Fouls Rendah</v>
      </c>
      <c r="X125" t="str">
        <f t="shared" si="19"/>
        <v>Corner Tinggi</v>
      </c>
      <c r="Y125" t="str">
        <f t="shared" si="15"/>
        <v>Yellow Card Rendah</v>
      </c>
      <c r="Z125" t="str">
        <f t="shared" si="16"/>
        <v>Red Card Rendah</v>
      </c>
    </row>
    <row r="126" spans="1:26" x14ac:dyDescent="0.25">
      <c r="A126" t="s">
        <v>43</v>
      </c>
      <c r="B126">
        <v>0.5</v>
      </c>
      <c r="C126">
        <v>60</v>
      </c>
      <c r="D126">
        <v>571</v>
      </c>
      <c r="E126">
        <v>472</v>
      </c>
      <c r="F126">
        <v>2</v>
      </c>
      <c r="G126" t="s">
        <v>40</v>
      </c>
      <c r="H126">
        <v>1</v>
      </c>
      <c r="I126" t="s">
        <v>40</v>
      </c>
      <c r="J126">
        <v>10</v>
      </c>
      <c r="K126">
        <v>3</v>
      </c>
      <c r="L126">
        <v>13</v>
      </c>
      <c r="M126">
        <v>3</v>
      </c>
      <c r="N126">
        <v>4</v>
      </c>
      <c r="O126">
        <v>0</v>
      </c>
      <c r="Q126" t="str">
        <f t="shared" si="10"/>
        <v>xG Sangat Sedikit</v>
      </c>
      <c r="R126" t="str">
        <f t="shared" si="11"/>
        <v>Possession Cukup Banyak</v>
      </c>
      <c r="S126" t="str">
        <f t="shared" si="12"/>
        <v>Total Pass Cukup Banyak</v>
      </c>
      <c r="T126" t="str">
        <f t="shared" si="13"/>
        <v>Pass Sukses Cukup Banyak</v>
      </c>
      <c r="U126" t="str">
        <f t="shared" si="14"/>
        <v>Total Shot Sangat Sedikit</v>
      </c>
      <c r="V126" t="str">
        <f t="shared" si="17"/>
        <v>Shot on Target Rendah</v>
      </c>
      <c r="W126" t="str">
        <f t="shared" si="18"/>
        <v>Fouls Tinggi</v>
      </c>
      <c r="X126" t="str">
        <f t="shared" si="19"/>
        <v>Corner Rendah</v>
      </c>
      <c r="Y126" t="str">
        <f t="shared" si="15"/>
        <v>Yellow Card Tinggi</v>
      </c>
      <c r="Z126" t="str">
        <f t="shared" si="16"/>
        <v>Red Card Rendah</v>
      </c>
    </row>
    <row r="127" spans="1:26" x14ac:dyDescent="0.25">
      <c r="A127" t="s">
        <v>51</v>
      </c>
      <c r="B127">
        <v>1.5</v>
      </c>
      <c r="C127">
        <v>40</v>
      </c>
      <c r="D127">
        <v>348</v>
      </c>
      <c r="E127">
        <v>268</v>
      </c>
      <c r="F127">
        <v>2</v>
      </c>
      <c r="G127" t="s">
        <v>40</v>
      </c>
      <c r="H127">
        <v>2</v>
      </c>
      <c r="I127" t="s">
        <v>40</v>
      </c>
      <c r="J127">
        <v>12</v>
      </c>
      <c r="K127">
        <v>5</v>
      </c>
      <c r="L127">
        <v>10</v>
      </c>
      <c r="M127">
        <v>2</v>
      </c>
      <c r="N127">
        <v>4</v>
      </c>
      <c r="O127">
        <v>0</v>
      </c>
      <c r="Q127" t="str">
        <f t="shared" si="10"/>
        <v>xG Cukup Sedikit</v>
      </c>
      <c r="R127" t="str">
        <f t="shared" si="11"/>
        <v>Possession Cukup Sedikit</v>
      </c>
      <c r="S127" t="str">
        <f t="shared" si="12"/>
        <v>Total Pass Sangat Sedikit</v>
      </c>
      <c r="T127" t="str">
        <f t="shared" si="13"/>
        <v>Pass Sukses Sangat Sedikit</v>
      </c>
      <c r="U127" t="str">
        <f t="shared" si="14"/>
        <v>Total Shot Cukup Sedikit</v>
      </c>
      <c r="V127" t="str">
        <f t="shared" si="17"/>
        <v>Shot on Target Tinggi</v>
      </c>
      <c r="W127" t="str">
        <f t="shared" si="18"/>
        <v>Fouls Normal</v>
      </c>
      <c r="X127" t="str">
        <f t="shared" si="19"/>
        <v>Corner Rendah</v>
      </c>
      <c r="Y127" t="str">
        <f t="shared" si="15"/>
        <v>Yellow Card Tinggi</v>
      </c>
      <c r="Z127" t="str">
        <f t="shared" si="16"/>
        <v>Red Card Rendah</v>
      </c>
    </row>
    <row r="128" spans="1:26" x14ac:dyDescent="0.25">
      <c r="A128" t="s">
        <v>57</v>
      </c>
      <c r="B128">
        <v>1.6</v>
      </c>
      <c r="C128">
        <v>64</v>
      </c>
      <c r="D128">
        <v>656</v>
      </c>
      <c r="E128">
        <v>579</v>
      </c>
      <c r="F128">
        <v>3</v>
      </c>
      <c r="G128" t="s">
        <v>35</v>
      </c>
      <c r="H128">
        <v>2</v>
      </c>
      <c r="I128" t="s">
        <v>35</v>
      </c>
      <c r="J128">
        <v>17</v>
      </c>
      <c r="K128">
        <v>8</v>
      </c>
      <c r="L128">
        <v>21</v>
      </c>
      <c r="M128">
        <v>3</v>
      </c>
      <c r="N128">
        <v>2</v>
      </c>
      <c r="O128">
        <v>0</v>
      </c>
      <c r="Q128" t="str">
        <f t="shared" si="10"/>
        <v>xG Cukup Sedikit</v>
      </c>
      <c r="R128" t="str">
        <f t="shared" si="11"/>
        <v>Possession Sangat Banyak</v>
      </c>
      <c r="S128" t="str">
        <f t="shared" si="12"/>
        <v>Total Pass Cukup Banyak</v>
      </c>
      <c r="T128" t="str">
        <f t="shared" si="13"/>
        <v>Pass Sukses Cukup Banyak</v>
      </c>
      <c r="U128" t="str">
        <f t="shared" si="14"/>
        <v>Total Shot Cukup Sedikit</v>
      </c>
      <c r="V128" t="str">
        <f t="shared" si="17"/>
        <v>Shot on Target Tinggi</v>
      </c>
      <c r="W128" t="str">
        <f t="shared" si="18"/>
        <v>Fouls Tinggi</v>
      </c>
      <c r="X128" t="str">
        <f t="shared" si="19"/>
        <v>Corner Rendah</v>
      </c>
      <c r="Y128" t="str">
        <f t="shared" si="15"/>
        <v>Yellow Card Rendah</v>
      </c>
      <c r="Z128" t="str">
        <f t="shared" si="16"/>
        <v>Red Card Rendah</v>
      </c>
    </row>
    <row r="129" spans="1:26" x14ac:dyDescent="0.25">
      <c r="A129" t="s">
        <v>33</v>
      </c>
      <c r="B129">
        <v>1.1000000000000001</v>
      </c>
      <c r="C129">
        <v>60</v>
      </c>
      <c r="D129">
        <v>653</v>
      </c>
      <c r="E129">
        <v>580</v>
      </c>
      <c r="F129">
        <v>4</v>
      </c>
      <c r="G129" t="s">
        <v>35</v>
      </c>
      <c r="H129">
        <v>2</v>
      </c>
      <c r="I129" t="s">
        <v>35</v>
      </c>
      <c r="J129">
        <v>11</v>
      </c>
      <c r="K129">
        <v>5</v>
      </c>
      <c r="L129">
        <v>12</v>
      </c>
      <c r="M129">
        <v>2</v>
      </c>
      <c r="N129">
        <v>2</v>
      </c>
      <c r="O129">
        <v>0</v>
      </c>
      <c r="Q129" t="str">
        <f t="shared" si="10"/>
        <v>xG Sangat Sedikit</v>
      </c>
      <c r="R129" t="str">
        <f t="shared" si="11"/>
        <v>Possession Cukup Banyak</v>
      </c>
      <c r="S129" t="str">
        <f t="shared" si="12"/>
        <v>Total Pass Cukup Banyak</v>
      </c>
      <c r="T129" t="str">
        <f t="shared" si="13"/>
        <v>Pass Sukses Cukup Banyak</v>
      </c>
      <c r="U129" t="str">
        <f t="shared" si="14"/>
        <v>Total Shot Cukup Sedikit</v>
      </c>
      <c r="V129" t="str">
        <f t="shared" si="17"/>
        <v>Shot on Target Tinggi</v>
      </c>
      <c r="W129" t="str">
        <f t="shared" si="18"/>
        <v>Fouls Tinggi</v>
      </c>
      <c r="X129" t="str">
        <f t="shared" si="19"/>
        <v>Corner Rendah</v>
      </c>
      <c r="Y129" t="str">
        <f t="shared" si="15"/>
        <v>Yellow Card Rendah</v>
      </c>
      <c r="Z129" t="str">
        <f t="shared" si="16"/>
        <v>Red Card Rendah</v>
      </c>
    </row>
    <row r="130" spans="1:26" x14ac:dyDescent="0.25">
      <c r="A130" t="s">
        <v>60</v>
      </c>
      <c r="B130">
        <v>0.8</v>
      </c>
      <c r="C130">
        <v>51</v>
      </c>
      <c r="D130">
        <v>532</v>
      </c>
      <c r="E130">
        <v>449</v>
      </c>
      <c r="F130">
        <v>1</v>
      </c>
      <c r="G130" t="s">
        <v>36</v>
      </c>
      <c r="H130">
        <v>0</v>
      </c>
      <c r="I130" t="s">
        <v>36</v>
      </c>
      <c r="J130">
        <v>8</v>
      </c>
      <c r="K130">
        <v>3</v>
      </c>
      <c r="L130">
        <v>4</v>
      </c>
      <c r="M130">
        <v>7</v>
      </c>
      <c r="N130">
        <v>0</v>
      </c>
      <c r="O130">
        <v>0</v>
      </c>
      <c r="Q130" t="str">
        <f t="shared" si="10"/>
        <v>xG Sangat Sedikit</v>
      </c>
      <c r="R130" t="str">
        <f t="shared" si="11"/>
        <v>Possession Cukup Banyak</v>
      </c>
      <c r="S130" t="str">
        <f t="shared" si="12"/>
        <v>Total Pass Cukup Banyak</v>
      </c>
      <c r="T130" t="str">
        <f t="shared" si="13"/>
        <v>Pass Sukses Cukup Banyak</v>
      </c>
      <c r="U130" t="str">
        <f t="shared" si="14"/>
        <v>Total Shot Sangat Sedikit</v>
      </c>
      <c r="V130" t="str">
        <f t="shared" si="17"/>
        <v>Shot on Target Rendah</v>
      </c>
      <c r="W130" t="str">
        <f t="shared" si="18"/>
        <v>Fouls Rendah</v>
      </c>
      <c r="X130" t="str">
        <f t="shared" si="19"/>
        <v>Corner Tinggi</v>
      </c>
      <c r="Y130" t="str">
        <f t="shared" si="15"/>
        <v>Yellow Card Rendah</v>
      </c>
      <c r="Z130" t="str">
        <f t="shared" si="16"/>
        <v>Red Card Rendah</v>
      </c>
    </row>
    <row r="131" spans="1:26" x14ac:dyDescent="0.25">
      <c r="A131" t="s">
        <v>39</v>
      </c>
      <c r="B131">
        <v>3.4</v>
      </c>
      <c r="C131">
        <v>44</v>
      </c>
      <c r="D131">
        <v>459</v>
      </c>
      <c r="E131">
        <v>376</v>
      </c>
      <c r="F131">
        <v>2</v>
      </c>
      <c r="G131" t="s">
        <v>35</v>
      </c>
      <c r="H131">
        <v>1</v>
      </c>
      <c r="I131" t="s">
        <v>35</v>
      </c>
      <c r="J131">
        <v>18</v>
      </c>
      <c r="K131">
        <v>7</v>
      </c>
      <c r="L131">
        <v>9</v>
      </c>
      <c r="M131">
        <v>7</v>
      </c>
      <c r="N131">
        <v>1</v>
      </c>
      <c r="O131">
        <v>0</v>
      </c>
      <c r="Q131" t="str">
        <f t="shared" ref="Q131:Q194" si="20">_xlfn.LET(
 _xlpm.x,B131,
 _xlpm.min,MIN($B$2:$B$761),
 _xlpm.max,MAX($B$2:$B$761),
 _xlpm.persen,(_xlpm.x-_xlpm.min)/(_xlpm.max-_xlpm.min)*100,
 IF(_xlpm.persen&lt;=25,"xG Sangat Sedikit",
   IF(_xlpm.persen&lt;=50,"xG Cukup Sedikit",
     IF(_xlpm.persen&lt;=75,"xG Cukup Banyak",
       "xG Sangat Banyak"))))</f>
        <v>xG Cukup Banyak</v>
      </c>
      <c r="R131" t="str">
        <f t="shared" ref="R131:R194" si="21">_xlfn.LET(
 _xlpm.x,C131,
 _xlpm.min,MIN($C$2:$C$761),
 _xlpm.max,MAX($C$2:$C$761),
 _xlpm.persen,(_xlpm.x-_xlpm.min)/(_xlpm.max-_xlpm.min)*100,
 IF(_xlpm.persen&lt;=25,"Possession Sangat Sedikit",
   IF(_xlpm.persen&lt;=50,"Possession Cukup Sedikit",
     IF(_xlpm.persen&lt;=75,"Possession Cukup Banyak",
       "Possession Sangat Banyak"))))</f>
        <v>Possession Cukup Sedikit</v>
      </c>
      <c r="S131" t="str">
        <f t="shared" ref="S131:S194" si="22">_xlfn.LET(
 _xlpm.x,D131,
 _xlpm.min,MIN($D$2:$D$761),
 _xlpm.max,MAX($D$2:$D$761),
 _xlpm.persen,(_xlpm.x-_xlpm.min)/(_xlpm.max-_xlpm.min)*100,
 IF(_xlpm.persen&lt;=25,"Total Pass Sangat Sedikit",
   IF(_xlpm.persen&lt;=50,"Total Pass Cukup Sedikit",
     IF(_xlpm.persen&lt;=75,"Total Pass Cukup Banyak",
       "Total Pass Sangat Banyak"))))</f>
        <v>Total Pass Cukup Sedikit</v>
      </c>
      <c r="T131" t="str">
        <f t="shared" ref="T131:T194" si="23">_xlfn.LET(
 _xlpm.x,E131,
 _xlpm.min,MIN($E$2:$E$761),
 _xlpm.max,MAX($E$2:$E$761),
 _xlpm.persen,(_xlpm.x-_xlpm.min)/(_xlpm.max-_xlpm.min)*100,
 IF(_xlpm.persen&lt;=25,"Pass Sukses Sangat Sedikit",
   IF(_xlpm.persen&lt;=50,"Pass Sukses Cukup Sedikit",
     IF(_xlpm.persen&lt;=75,"Pass Sukses Cukup Banyak",
       "Pass Sukses Sangat Banyak"))))</f>
        <v>Pass Sukses Cukup Sedikit</v>
      </c>
      <c r="U131" t="str">
        <f t="shared" ref="U131:U194" si="24">_xlfn.LET(
 _xlpm.x,J131,
 _xlpm.min,MIN($J$2:$J$761),
 _xlpm.max,MAX($J$2:$J$761),
 _xlpm.persen,(_xlpm.x-_xlpm.min)/(_xlpm.max-_xlpm.min)*100,
 IF(_xlpm.persen&lt;=25,"Total Shot Sangat Sedikit",
   IF(_xlpm.persen&lt;=50,"Total Shot Cukup Sedikit",
     IF(_xlpm.persen&lt;=75,"Total Shot Cukup Banyak",
       "Total Shot Sangat Banyak"))))</f>
        <v>Total Shot Cukup Sedikit</v>
      </c>
      <c r="V131" t="str">
        <f t="shared" si="17"/>
        <v>Shot on Target Tinggi</v>
      </c>
      <c r="W131" t="str">
        <f t="shared" si="18"/>
        <v>Fouls Normal</v>
      </c>
      <c r="X131" t="str">
        <f t="shared" si="19"/>
        <v>Corner Tinggi</v>
      </c>
      <c r="Y131" t="str">
        <f t="shared" ref="Y131:Y194" si="25">IF(N131&lt;$Y$1,"Yellow Card Rendah","Yellow Card Tinggi")</f>
        <v>Yellow Card Rendah</v>
      </c>
      <c r="Z131" t="str">
        <f t="shared" ref="Z131:Z194" si="26">IF(O131&lt;$Z$1,"Red Card Rendah","Red Card Tinggi")</f>
        <v>Red Card Rendah</v>
      </c>
    </row>
    <row r="132" spans="1:26" x14ac:dyDescent="0.25">
      <c r="A132" t="s">
        <v>38</v>
      </c>
      <c r="B132">
        <v>0.5</v>
      </c>
      <c r="C132">
        <v>54</v>
      </c>
      <c r="D132">
        <v>563</v>
      </c>
      <c r="E132">
        <v>456</v>
      </c>
      <c r="F132">
        <v>0</v>
      </c>
      <c r="G132" t="s">
        <v>40</v>
      </c>
      <c r="H132">
        <v>0</v>
      </c>
      <c r="I132" t="s">
        <v>36</v>
      </c>
      <c r="J132">
        <v>9</v>
      </c>
      <c r="K132">
        <v>2</v>
      </c>
      <c r="L132">
        <v>14</v>
      </c>
      <c r="M132">
        <v>4</v>
      </c>
      <c r="N132">
        <v>2</v>
      </c>
      <c r="O132">
        <v>0</v>
      </c>
      <c r="Q132" t="str">
        <f t="shared" si="20"/>
        <v>xG Sangat Sedikit</v>
      </c>
      <c r="R132" t="str">
        <f t="shared" si="21"/>
        <v>Possession Cukup Banyak</v>
      </c>
      <c r="S132" t="str">
        <f t="shared" si="22"/>
        <v>Total Pass Cukup Banyak</v>
      </c>
      <c r="T132" t="str">
        <f t="shared" si="23"/>
        <v>Pass Sukses Cukup Banyak</v>
      </c>
      <c r="U132" t="str">
        <f t="shared" si="24"/>
        <v>Total Shot Sangat Sedikit</v>
      </c>
      <c r="V132" t="str">
        <f t="shared" ref="V132:V195" si="27">IF(K132&gt;$V$1,"Shot on Target Tinggi",IF(K132&gt;($V$1/5*4),"Shot on Target Normal","Shot on Target Rendah"))</f>
        <v>Shot on Target Rendah</v>
      </c>
      <c r="W132" t="str">
        <f t="shared" ref="W132:W195" si="28">IF(L132&gt;$W$1,"Fouls Tinggi",IF(L132&gt;($W$1/5*4),"Fouls Normal","Fouls Rendah"))</f>
        <v>Fouls Tinggi</v>
      </c>
      <c r="X132" t="str">
        <f t="shared" ref="X132:X195" si="29">IF(M132&gt;$X$1,"Corner Tinggi",IF(M132&gt;($X$1/5*4),"Corner Normal","Corner Rendah"))</f>
        <v>Corner Rendah</v>
      </c>
      <c r="Y132" t="str">
        <f t="shared" si="25"/>
        <v>Yellow Card Rendah</v>
      </c>
      <c r="Z132" t="str">
        <f t="shared" si="26"/>
        <v>Red Card Rendah</v>
      </c>
    </row>
    <row r="133" spans="1:26" x14ac:dyDescent="0.25">
      <c r="A133" t="s">
        <v>59</v>
      </c>
      <c r="B133">
        <v>1.7</v>
      </c>
      <c r="C133">
        <v>39</v>
      </c>
      <c r="D133">
        <v>409</v>
      </c>
      <c r="E133">
        <v>304</v>
      </c>
      <c r="F133">
        <v>3</v>
      </c>
      <c r="G133" t="s">
        <v>35</v>
      </c>
      <c r="H133">
        <v>1</v>
      </c>
      <c r="I133" t="s">
        <v>35</v>
      </c>
      <c r="J133">
        <v>8</v>
      </c>
      <c r="K133">
        <v>6</v>
      </c>
      <c r="L133">
        <v>9</v>
      </c>
      <c r="M133">
        <v>3</v>
      </c>
      <c r="N133">
        <v>2</v>
      </c>
      <c r="O133">
        <v>0</v>
      </c>
      <c r="Q133" t="str">
        <f t="shared" si="20"/>
        <v>xG Cukup Sedikit</v>
      </c>
      <c r="R133" t="str">
        <f t="shared" si="21"/>
        <v>Possession Cukup Sedikit</v>
      </c>
      <c r="S133" t="str">
        <f t="shared" si="22"/>
        <v>Total Pass Cukup Sedikit</v>
      </c>
      <c r="T133" t="str">
        <f t="shared" si="23"/>
        <v>Pass Sukses Cukup Sedikit</v>
      </c>
      <c r="U133" t="str">
        <f t="shared" si="24"/>
        <v>Total Shot Sangat Sedikit</v>
      </c>
      <c r="V133" t="str">
        <f t="shared" si="27"/>
        <v>Shot on Target Tinggi</v>
      </c>
      <c r="W133" t="str">
        <f t="shared" si="28"/>
        <v>Fouls Normal</v>
      </c>
      <c r="X133" t="str">
        <f t="shared" si="29"/>
        <v>Corner Rendah</v>
      </c>
      <c r="Y133" t="str">
        <f t="shared" si="25"/>
        <v>Yellow Card Rendah</v>
      </c>
      <c r="Z133" t="str">
        <f t="shared" si="26"/>
        <v>Red Card Rendah</v>
      </c>
    </row>
    <row r="134" spans="1:26" x14ac:dyDescent="0.25">
      <c r="A134" t="s">
        <v>44</v>
      </c>
      <c r="B134">
        <v>1</v>
      </c>
      <c r="C134">
        <v>44</v>
      </c>
      <c r="D134">
        <v>407</v>
      </c>
      <c r="E134">
        <v>317</v>
      </c>
      <c r="F134">
        <v>4</v>
      </c>
      <c r="G134" t="s">
        <v>35</v>
      </c>
      <c r="H134">
        <v>2</v>
      </c>
      <c r="I134" t="s">
        <v>35</v>
      </c>
      <c r="J134">
        <v>13</v>
      </c>
      <c r="K134">
        <v>4</v>
      </c>
      <c r="L134">
        <v>10</v>
      </c>
      <c r="M134">
        <v>3</v>
      </c>
      <c r="N134">
        <v>2</v>
      </c>
      <c r="O134">
        <v>0</v>
      </c>
      <c r="Q134" t="str">
        <f t="shared" si="20"/>
        <v>xG Sangat Sedikit</v>
      </c>
      <c r="R134" t="str">
        <f t="shared" si="21"/>
        <v>Possession Cukup Sedikit</v>
      </c>
      <c r="S134" t="str">
        <f t="shared" si="22"/>
        <v>Total Pass Cukup Sedikit</v>
      </c>
      <c r="T134" t="str">
        <f t="shared" si="23"/>
        <v>Pass Sukses Cukup Sedikit</v>
      </c>
      <c r="U134" t="str">
        <f t="shared" si="24"/>
        <v>Total Shot Cukup Sedikit</v>
      </c>
      <c r="V134" t="str">
        <f t="shared" si="27"/>
        <v>Shot on Target Normal</v>
      </c>
      <c r="W134" t="str">
        <f t="shared" si="28"/>
        <v>Fouls Normal</v>
      </c>
      <c r="X134" t="str">
        <f t="shared" si="29"/>
        <v>Corner Rendah</v>
      </c>
      <c r="Y134" t="str">
        <f t="shared" si="25"/>
        <v>Yellow Card Rendah</v>
      </c>
      <c r="Z134" t="str">
        <f t="shared" si="26"/>
        <v>Red Card Rendah</v>
      </c>
    </row>
    <row r="135" spans="1:26" x14ac:dyDescent="0.25">
      <c r="A135" t="s">
        <v>58</v>
      </c>
      <c r="B135">
        <v>2.4</v>
      </c>
      <c r="C135">
        <v>66</v>
      </c>
      <c r="D135">
        <v>620</v>
      </c>
      <c r="E135">
        <v>545</v>
      </c>
      <c r="F135">
        <v>3</v>
      </c>
      <c r="G135" t="s">
        <v>35</v>
      </c>
      <c r="H135">
        <v>2</v>
      </c>
      <c r="I135" t="s">
        <v>35</v>
      </c>
      <c r="J135">
        <v>17</v>
      </c>
      <c r="K135">
        <v>7</v>
      </c>
      <c r="L135">
        <v>7</v>
      </c>
      <c r="M135">
        <v>8</v>
      </c>
      <c r="N135">
        <v>2</v>
      </c>
      <c r="O135">
        <v>0</v>
      </c>
      <c r="Q135" t="str">
        <f t="shared" si="20"/>
        <v>xG Cukup Sedikit</v>
      </c>
      <c r="R135" t="str">
        <f t="shared" si="21"/>
        <v>Possession Sangat Banyak</v>
      </c>
      <c r="S135" t="str">
        <f t="shared" si="22"/>
        <v>Total Pass Cukup Banyak</v>
      </c>
      <c r="T135" t="str">
        <f t="shared" si="23"/>
        <v>Pass Sukses Cukup Banyak</v>
      </c>
      <c r="U135" t="str">
        <f t="shared" si="24"/>
        <v>Total Shot Cukup Sedikit</v>
      </c>
      <c r="V135" t="str">
        <f t="shared" si="27"/>
        <v>Shot on Target Tinggi</v>
      </c>
      <c r="W135" t="str">
        <f t="shared" si="28"/>
        <v>Fouls Rendah</v>
      </c>
      <c r="X135" t="str">
        <f t="shared" si="29"/>
        <v>Corner Tinggi</v>
      </c>
      <c r="Y135" t="str">
        <f t="shared" si="25"/>
        <v>Yellow Card Rendah</v>
      </c>
      <c r="Z135" t="str">
        <f t="shared" si="26"/>
        <v>Red Card Rendah</v>
      </c>
    </row>
    <row r="136" spans="1:26" x14ac:dyDescent="0.25">
      <c r="A136" t="s">
        <v>46</v>
      </c>
      <c r="B136">
        <v>2.1</v>
      </c>
      <c r="C136">
        <v>42</v>
      </c>
      <c r="D136">
        <v>402</v>
      </c>
      <c r="E136">
        <v>307</v>
      </c>
      <c r="F136">
        <v>3</v>
      </c>
      <c r="G136" t="s">
        <v>36</v>
      </c>
      <c r="H136">
        <v>1</v>
      </c>
      <c r="I136" t="s">
        <v>35</v>
      </c>
      <c r="J136">
        <v>17</v>
      </c>
      <c r="K136">
        <v>6</v>
      </c>
      <c r="L136">
        <v>9</v>
      </c>
      <c r="M136">
        <v>5</v>
      </c>
      <c r="N136">
        <v>2</v>
      </c>
      <c r="O136">
        <v>0</v>
      </c>
      <c r="Q136" t="str">
        <f t="shared" si="20"/>
        <v>xG Cukup Sedikit</v>
      </c>
      <c r="R136" t="str">
        <f t="shared" si="21"/>
        <v>Possession Cukup Sedikit</v>
      </c>
      <c r="S136" t="str">
        <f t="shared" si="22"/>
        <v>Total Pass Cukup Sedikit</v>
      </c>
      <c r="T136" t="str">
        <f t="shared" si="23"/>
        <v>Pass Sukses Cukup Sedikit</v>
      </c>
      <c r="U136" t="str">
        <f t="shared" si="24"/>
        <v>Total Shot Cukup Sedikit</v>
      </c>
      <c r="V136" t="str">
        <f t="shared" si="27"/>
        <v>Shot on Target Tinggi</v>
      </c>
      <c r="W136" t="str">
        <f t="shared" si="28"/>
        <v>Fouls Normal</v>
      </c>
      <c r="X136" t="str">
        <f t="shared" si="29"/>
        <v>Corner Normal</v>
      </c>
      <c r="Y136" t="str">
        <f t="shared" si="25"/>
        <v>Yellow Card Rendah</v>
      </c>
      <c r="Z136" t="str">
        <f t="shared" si="26"/>
        <v>Red Card Rendah</v>
      </c>
    </row>
    <row r="137" spans="1:26" x14ac:dyDescent="0.25">
      <c r="A137" t="s">
        <v>47</v>
      </c>
      <c r="B137">
        <v>1.6</v>
      </c>
      <c r="C137">
        <v>45</v>
      </c>
      <c r="D137">
        <v>467</v>
      </c>
      <c r="E137">
        <v>402</v>
      </c>
      <c r="F137">
        <v>1</v>
      </c>
      <c r="G137" t="s">
        <v>40</v>
      </c>
      <c r="H137">
        <v>1</v>
      </c>
      <c r="I137" t="s">
        <v>40</v>
      </c>
      <c r="J137">
        <v>6</v>
      </c>
      <c r="K137">
        <v>4</v>
      </c>
      <c r="L137">
        <v>7</v>
      </c>
      <c r="M137">
        <v>5</v>
      </c>
      <c r="N137">
        <v>1</v>
      </c>
      <c r="O137">
        <v>1</v>
      </c>
      <c r="Q137" t="str">
        <f t="shared" si="20"/>
        <v>xG Cukup Sedikit</v>
      </c>
      <c r="R137" t="str">
        <f t="shared" si="21"/>
        <v>Possession Cukup Sedikit</v>
      </c>
      <c r="S137" t="str">
        <f t="shared" si="22"/>
        <v>Total Pass Cukup Sedikit</v>
      </c>
      <c r="T137" t="str">
        <f t="shared" si="23"/>
        <v>Pass Sukses Cukup Sedikit</v>
      </c>
      <c r="U137" t="str">
        <f t="shared" si="24"/>
        <v>Total Shot Sangat Sedikit</v>
      </c>
      <c r="V137" t="str">
        <f t="shared" si="27"/>
        <v>Shot on Target Normal</v>
      </c>
      <c r="W137" t="str">
        <f t="shared" si="28"/>
        <v>Fouls Rendah</v>
      </c>
      <c r="X137" t="str">
        <f t="shared" si="29"/>
        <v>Corner Normal</v>
      </c>
      <c r="Y137" t="str">
        <f t="shared" si="25"/>
        <v>Yellow Card Rendah</v>
      </c>
      <c r="Z137" t="str">
        <f t="shared" si="26"/>
        <v>Red Card Tinggi</v>
      </c>
    </row>
    <row r="138" spans="1:26" x14ac:dyDescent="0.25">
      <c r="A138" t="s">
        <v>42</v>
      </c>
      <c r="B138">
        <v>2.1</v>
      </c>
      <c r="C138">
        <v>51</v>
      </c>
      <c r="D138">
        <v>508</v>
      </c>
      <c r="E138">
        <v>425</v>
      </c>
      <c r="F138">
        <v>2</v>
      </c>
      <c r="G138" t="s">
        <v>35</v>
      </c>
      <c r="H138">
        <v>0</v>
      </c>
      <c r="I138" t="s">
        <v>36</v>
      </c>
      <c r="J138">
        <v>14</v>
      </c>
      <c r="K138">
        <v>6</v>
      </c>
      <c r="L138">
        <v>12</v>
      </c>
      <c r="M138">
        <v>13</v>
      </c>
      <c r="N138">
        <v>1</v>
      </c>
      <c r="O138">
        <v>0</v>
      </c>
      <c r="Q138" t="str">
        <f t="shared" si="20"/>
        <v>xG Cukup Sedikit</v>
      </c>
      <c r="R138" t="str">
        <f t="shared" si="21"/>
        <v>Possession Cukup Banyak</v>
      </c>
      <c r="S138" t="str">
        <f t="shared" si="22"/>
        <v>Total Pass Cukup Sedikit</v>
      </c>
      <c r="T138" t="str">
        <f t="shared" si="23"/>
        <v>Pass Sukses Cukup Sedikit</v>
      </c>
      <c r="U138" t="str">
        <f t="shared" si="24"/>
        <v>Total Shot Cukup Sedikit</v>
      </c>
      <c r="V138" t="str">
        <f t="shared" si="27"/>
        <v>Shot on Target Tinggi</v>
      </c>
      <c r="W138" t="str">
        <f t="shared" si="28"/>
        <v>Fouls Tinggi</v>
      </c>
      <c r="X138" t="str">
        <f t="shared" si="29"/>
        <v>Corner Tinggi</v>
      </c>
      <c r="Y138" t="str">
        <f t="shared" si="25"/>
        <v>Yellow Card Rendah</v>
      </c>
      <c r="Z138" t="str">
        <f t="shared" si="26"/>
        <v>Red Card Rendah</v>
      </c>
    </row>
    <row r="139" spans="1:26" x14ac:dyDescent="0.25">
      <c r="A139" t="s">
        <v>52</v>
      </c>
      <c r="B139">
        <v>2.4</v>
      </c>
      <c r="C139">
        <v>49</v>
      </c>
      <c r="D139">
        <v>427</v>
      </c>
      <c r="E139">
        <v>350</v>
      </c>
      <c r="F139">
        <v>3</v>
      </c>
      <c r="G139" t="s">
        <v>35</v>
      </c>
      <c r="H139">
        <v>3</v>
      </c>
      <c r="I139" t="s">
        <v>35</v>
      </c>
      <c r="J139">
        <v>20</v>
      </c>
      <c r="K139">
        <v>10</v>
      </c>
      <c r="L139">
        <v>11</v>
      </c>
      <c r="M139">
        <v>10</v>
      </c>
      <c r="N139">
        <v>2</v>
      </c>
      <c r="O139">
        <v>0</v>
      </c>
      <c r="Q139" t="str">
        <f t="shared" si="20"/>
        <v>xG Cukup Sedikit</v>
      </c>
      <c r="R139" t="str">
        <f t="shared" si="21"/>
        <v>Possession Cukup Sedikit</v>
      </c>
      <c r="S139" t="str">
        <f t="shared" si="22"/>
        <v>Total Pass Cukup Sedikit</v>
      </c>
      <c r="T139" t="str">
        <f t="shared" si="23"/>
        <v>Pass Sukses Cukup Sedikit</v>
      </c>
      <c r="U139" t="str">
        <f t="shared" si="24"/>
        <v>Total Shot Cukup Banyak</v>
      </c>
      <c r="V139" t="str">
        <f t="shared" si="27"/>
        <v>Shot on Target Tinggi</v>
      </c>
      <c r="W139" t="str">
        <f t="shared" si="28"/>
        <v>Fouls Normal</v>
      </c>
      <c r="X139" t="str">
        <f t="shared" si="29"/>
        <v>Corner Tinggi</v>
      </c>
      <c r="Y139" t="str">
        <f t="shared" si="25"/>
        <v>Yellow Card Rendah</v>
      </c>
      <c r="Z139" t="str">
        <f t="shared" si="26"/>
        <v>Red Card Rendah</v>
      </c>
    </row>
    <row r="140" spans="1:26" x14ac:dyDescent="0.25">
      <c r="A140" t="s">
        <v>34</v>
      </c>
      <c r="B140">
        <v>1.1000000000000001</v>
      </c>
      <c r="C140">
        <v>43</v>
      </c>
      <c r="D140">
        <v>419</v>
      </c>
      <c r="E140">
        <v>330</v>
      </c>
      <c r="F140">
        <v>3</v>
      </c>
      <c r="G140" t="s">
        <v>35</v>
      </c>
      <c r="H140">
        <v>1</v>
      </c>
      <c r="I140" t="s">
        <v>35</v>
      </c>
      <c r="J140">
        <v>6</v>
      </c>
      <c r="K140">
        <v>2</v>
      </c>
      <c r="L140">
        <v>7</v>
      </c>
      <c r="M140">
        <v>5</v>
      </c>
      <c r="N140">
        <v>2</v>
      </c>
      <c r="O140">
        <v>0</v>
      </c>
      <c r="Q140" t="str">
        <f t="shared" si="20"/>
        <v>xG Sangat Sedikit</v>
      </c>
      <c r="R140" t="str">
        <f t="shared" si="21"/>
        <v>Possession Cukup Sedikit</v>
      </c>
      <c r="S140" t="str">
        <f t="shared" si="22"/>
        <v>Total Pass Cukup Sedikit</v>
      </c>
      <c r="T140" t="str">
        <f t="shared" si="23"/>
        <v>Pass Sukses Cukup Sedikit</v>
      </c>
      <c r="U140" t="str">
        <f t="shared" si="24"/>
        <v>Total Shot Sangat Sedikit</v>
      </c>
      <c r="V140" t="str">
        <f t="shared" si="27"/>
        <v>Shot on Target Rendah</v>
      </c>
      <c r="W140" t="str">
        <f t="shared" si="28"/>
        <v>Fouls Rendah</v>
      </c>
      <c r="X140" t="str">
        <f t="shared" si="29"/>
        <v>Corner Normal</v>
      </c>
      <c r="Y140" t="str">
        <f t="shared" si="25"/>
        <v>Yellow Card Rendah</v>
      </c>
      <c r="Z140" t="str">
        <f t="shared" si="26"/>
        <v>Red Card Rendah</v>
      </c>
    </row>
    <row r="141" spans="1:26" x14ac:dyDescent="0.25">
      <c r="A141" t="s">
        <v>49</v>
      </c>
      <c r="B141">
        <v>3.5</v>
      </c>
      <c r="C141">
        <v>35</v>
      </c>
      <c r="D141">
        <v>290</v>
      </c>
      <c r="E141">
        <v>194</v>
      </c>
      <c r="F141">
        <v>1</v>
      </c>
      <c r="G141" t="s">
        <v>35</v>
      </c>
      <c r="H141">
        <v>1</v>
      </c>
      <c r="I141" t="s">
        <v>35</v>
      </c>
      <c r="J141">
        <v>21</v>
      </c>
      <c r="K141">
        <v>8</v>
      </c>
      <c r="L141">
        <v>15</v>
      </c>
      <c r="M141">
        <v>5</v>
      </c>
      <c r="N141">
        <v>2</v>
      </c>
      <c r="O141">
        <v>0</v>
      </c>
      <c r="Q141" t="str">
        <f t="shared" si="20"/>
        <v>xG Cukup Banyak</v>
      </c>
      <c r="R141" t="str">
        <f t="shared" si="21"/>
        <v>Possession Sangat Sedikit</v>
      </c>
      <c r="S141" t="str">
        <f t="shared" si="22"/>
        <v>Total Pass Sangat Sedikit</v>
      </c>
      <c r="T141" t="str">
        <f t="shared" si="23"/>
        <v>Pass Sukses Sangat Sedikit</v>
      </c>
      <c r="U141" t="str">
        <f t="shared" si="24"/>
        <v>Total Shot Cukup Banyak</v>
      </c>
      <c r="V141" t="str">
        <f t="shared" si="27"/>
        <v>Shot on Target Tinggi</v>
      </c>
      <c r="W141" t="str">
        <f t="shared" si="28"/>
        <v>Fouls Tinggi</v>
      </c>
      <c r="X141" t="str">
        <f t="shared" si="29"/>
        <v>Corner Normal</v>
      </c>
      <c r="Y141" t="str">
        <f t="shared" si="25"/>
        <v>Yellow Card Rendah</v>
      </c>
      <c r="Z141" t="str">
        <f t="shared" si="26"/>
        <v>Red Card Rendah</v>
      </c>
    </row>
    <row r="142" spans="1:26" x14ac:dyDescent="0.25">
      <c r="A142" t="s">
        <v>52</v>
      </c>
      <c r="B142">
        <v>2.2999999999999998</v>
      </c>
      <c r="C142">
        <v>47</v>
      </c>
      <c r="D142">
        <v>462</v>
      </c>
      <c r="E142">
        <v>383</v>
      </c>
      <c r="F142">
        <v>1</v>
      </c>
      <c r="G142" t="s">
        <v>35</v>
      </c>
      <c r="H142">
        <v>1</v>
      </c>
      <c r="I142" t="s">
        <v>35</v>
      </c>
      <c r="J142">
        <v>18</v>
      </c>
      <c r="K142">
        <v>5</v>
      </c>
      <c r="L142">
        <v>18</v>
      </c>
      <c r="M142">
        <v>14</v>
      </c>
      <c r="N142">
        <v>1</v>
      </c>
      <c r="O142">
        <v>0</v>
      </c>
      <c r="Q142" t="str">
        <f t="shared" si="20"/>
        <v>xG Cukup Sedikit</v>
      </c>
      <c r="R142" t="str">
        <f t="shared" si="21"/>
        <v>Possession Cukup Sedikit</v>
      </c>
      <c r="S142" t="str">
        <f t="shared" si="22"/>
        <v>Total Pass Cukup Sedikit</v>
      </c>
      <c r="T142" t="str">
        <f t="shared" si="23"/>
        <v>Pass Sukses Cukup Sedikit</v>
      </c>
      <c r="U142" t="str">
        <f t="shared" si="24"/>
        <v>Total Shot Cukup Sedikit</v>
      </c>
      <c r="V142" t="str">
        <f t="shared" si="27"/>
        <v>Shot on Target Tinggi</v>
      </c>
      <c r="W142" t="str">
        <f t="shared" si="28"/>
        <v>Fouls Tinggi</v>
      </c>
      <c r="X142" t="str">
        <f t="shared" si="29"/>
        <v>Corner Tinggi</v>
      </c>
      <c r="Y142" t="str">
        <f t="shared" si="25"/>
        <v>Yellow Card Rendah</v>
      </c>
      <c r="Z142" t="str">
        <f t="shared" si="26"/>
        <v>Red Card Rendah</v>
      </c>
    </row>
    <row r="143" spans="1:26" x14ac:dyDescent="0.25">
      <c r="A143" t="s">
        <v>54</v>
      </c>
      <c r="B143">
        <v>1.2</v>
      </c>
      <c r="C143">
        <v>43</v>
      </c>
      <c r="D143">
        <v>427</v>
      </c>
      <c r="E143">
        <v>331</v>
      </c>
      <c r="F143">
        <v>4</v>
      </c>
      <c r="G143" t="s">
        <v>35</v>
      </c>
      <c r="H143">
        <v>2</v>
      </c>
      <c r="I143" t="s">
        <v>36</v>
      </c>
      <c r="J143">
        <v>11</v>
      </c>
      <c r="K143">
        <v>8</v>
      </c>
      <c r="L143">
        <v>10</v>
      </c>
      <c r="M143">
        <v>3</v>
      </c>
      <c r="N143">
        <v>3</v>
      </c>
      <c r="O143">
        <v>0</v>
      </c>
      <c r="Q143" t="str">
        <f t="shared" si="20"/>
        <v>xG Sangat Sedikit</v>
      </c>
      <c r="R143" t="str">
        <f t="shared" si="21"/>
        <v>Possession Cukup Sedikit</v>
      </c>
      <c r="S143" t="str">
        <f t="shared" si="22"/>
        <v>Total Pass Cukup Sedikit</v>
      </c>
      <c r="T143" t="str">
        <f t="shared" si="23"/>
        <v>Pass Sukses Cukup Sedikit</v>
      </c>
      <c r="U143" t="str">
        <f t="shared" si="24"/>
        <v>Total Shot Cukup Sedikit</v>
      </c>
      <c r="V143" t="str">
        <f t="shared" si="27"/>
        <v>Shot on Target Tinggi</v>
      </c>
      <c r="W143" t="str">
        <f t="shared" si="28"/>
        <v>Fouls Normal</v>
      </c>
      <c r="X143" t="str">
        <f t="shared" si="29"/>
        <v>Corner Rendah</v>
      </c>
      <c r="Y143" t="str">
        <f t="shared" si="25"/>
        <v>Yellow Card Tinggi</v>
      </c>
      <c r="Z143" t="str">
        <f t="shared" si="26"/>
        <v>Red Card Rendah</v>
      </c>
    </row>
    <row r="144" spans="1:26" x14ac:dyDescent="0.25">
      <c r="A144" t="s">
        <v>55</v>
      </c>
      <c r="B144">
        <v>1.3</v>
      </c>
      <c r="C144">
        <v>32</v>
      </c>
      <c r="D144">
        <v>364</v>
      </c>
      <c r="E144">
        <v>276</v>
      </c>
      <c r="F144">
        <v>2</v>
      </c>
      <c r="G144" t="s">
        <v>36</v>
      </c>
      <c r="H144">
        <v>1</v>
      </c>
      <c r="I144" t="s">
        <v>36</v>
      </c>
      <c r="J144">
        <v>12</v>
      </c>
      <c r="K144">
        <v>3</v>
      </c>
      <c r="L144">
        <v>4</v>
      </c>
      <c r="M144">
        <v>6</v>
      </c>
      <c r="N144">
        <v>1</v>
      </c>
      <c r="O144">
        <v>0</v>
      </c>
      <c r="Q144" t="str">
        <f t="shared" si="20"/>
        <v>xG Sangat Sedikit</v>
      </c>
      <c r="R144" t="str">
        <f t="shared" si="21"/>
        <v>Possession Sangat Sedikit</v>
      </c>
      <c r="S144" t="str">
        <f t="shared" si="22"/>
        <v>Total Pass Cukup Sedikit</v>
      </c>
      <c r="T144" t="str">
        <f t="shared" si="23"/>
        <v>Pass Sukses Sangat Sedikit</v>
      </c>
      <c r="U144" t="str">
        <f t="shared" si="24"/>
        <v>Total Shot Cukup Sedikit</v>
      </c>
      <c r="V144" t="str">
        <f t="shared" si="27"/>
        <v>Shot on Target Rendah</v>
      </c>
      <c r="W144" t="str">
        <f t="shared" si="28"/>
        <v>Fouls Rendah</v>
      </c>
      <c r="X144" t="str">
        <f t="shared" si="29"/>
        <v>Corner Tinggi</v>
      </c>
      <c r="Y144" t="str">
        <f t="shared" si="25"/>
        <v>Yellow Card Rendah</v>
      </c>
      <c r="Z144" t="str">
        <f t="shared" si="26"/>
        <v>Red Card Rendah</v>
      </c>
    </row>
    <row r="145" spans="1:26" x14ac:dyDescent="0.25">
      <c r="A145" t="s">
        <v>33</v>
      </c>
      <c r="B145">
        <v>1.6</v>
      </c>
      <c r="C145">
        <v>71</v>
      </c>
      <c r="D145">
        <v>642</v>
      </c>
      <c r="E145">
        <v>548</v>
      </c>
      <c r="F145">
        <v>2</v>
      </c>
      <c r="G145" t="s">
        <v>40</v>
      </c>
      <c r="H145">
        <v>1</v>
      </c>
      <c r="I145" t="s">
        <v>36</v>
      </c>
      <c r="J145">
        <v>17</v>
      </c>
      <c r="K145">
        <v>7</v>
      </c>
      <c r="L145">
        <v>10</v>
      </c>
      <c r="M145">
        <v>5</v>
      </c>
      <c r="N145">
        <v>0</v>
      </c>
      <c r="O145">
        <v>0</v>
      </c>
      <c r="Q145" t="str">
        <f t="shared" si="20"/>
        <v>xG Cukup Sedikit</v>
      </c>
      <c r="R145" t="str">
        <f t="shared" si="21"/>
        <v>Possession Sangat Banyak</v>
      </c>
      <c r="S145" t="str">
        <f t="shared" si="22"/>
        <v>Total Pass Cukup Banyak</v>
      </c>
      <c r="T145" t="str">
        <f t="shared" si="23"/>
        <v>Pass Sukses Cukup Banyak</v>
      </c>
      <c r="U145" t="str">
        <f t="shared" si="24"/>
        <v>Total Shot Cukup Sedikit</v>
      </c>
      <c r="V145" t="str">
        <f t="shared" si="27"/>
        <v>Shot on Target Tinggi</v>
      </c>
      <c r="W145" t="str">
        <f t="shared" si="28"/>
        <v>Fouls Normal</v>
      </c>
      <c r="X145" t="str">
        <f t="shared" si="29"/>
        <v>Corner Normal</v>
      </c>
      <c r="Y145" t="str">
        <f t="shared" si="25"/>
        <v>Yellow Card Rendah</v>
      </c>
      <c r="Z145" t="str">
        <f t="shared" si="26"/>
        <v>Red Card Rendah</v>
      </c>
    </row>
    <row r="146" spans="1:26" x14ac:dyDescent="0.25">
      <c r="A146" t="s">
        <v>34</v>
      </c>
      <c r="B146">
        <v>0.2</v>
      </c>
      <c r="C146">
        <v>34</v>
      </c>
      <c r="D146">
        <v>328</v>
      </c>
      <c r="E146">
        <v>233</v>
      </c>
      <c r="F146">
        <v>1</v>
      </c>
      <c r="G146" t="s">
        <v>36</v>
      </c>
      <c r="H146">
        <v>1</v>
      </c>
      <c r="I146" t="s">
        <v>35</v>
      </c>
      <c r="J146">
        <v>2</v>
      </c>
      <c r="K146">
        <v>2</v>
      </c>
      <c r="L146">
        <v>10</v>
      </c>
      <c r="M146">
        <v>0</v>
      </c>
      <c r="N146">
        <v>4</v>
      </c>
      <c r="O146">
        <v>0</v>
      </c>
      <c r="Q146" t="str">
        <f t="shared" si="20"/>
        <v>xG Sangat Sedikit</v>
      </c>
      <c r="R146" t="str">
        <f t="shared" si="21"/>
        <v>Possession Sangat Sedikit</v>
      </c>
      <c r="S146" t="str">
        <f t="shared" si="22"/>
        <v>Total Pass Sangat Sedikit</v>
      </c>
      <c r="T146" t="str">
        <f t="shared" si="23"/>
        <v>Pass Sukses Sangat Sedikit</v>
      </c>
      <c r="U146" t="str">
        <f t="shared" si="24"/>
        <v>Total Shot Sangat Sedikit</v>
      </c>
      <c r="V146" t="str">
        <f t="shared" si="27"/>
        <v>Shot on Target Rendah</v>
      </c>
      <c r="W146" t="str">
        <f t="shared" si="28"/>
        <v>Fouls Normal</v>
      </c>
      <c r="X146" t="str">
        <f t="shared" si="29"/>
        <v>Corner Rendah</v>
      </c>
      <c r="Y146" t="str">
        <f t="shared" si="25"/>
        <v>Yellow Card Tinggi</v>
      </c>
      <c r="Z146" t="str">
        <f t="shared" si="26"/>
        <v>Red Card Rendah</v>
      </c>
    </row>
    <row r="147" spans="1:26" x14ac:dyDescent="0.25">
      <c r="A147" t="s">
        <v>38</v>
      </c>
      <c r="B147">
        <v>1.3</v>
      </c>
      <c r="C147">
        <v>44</v>
      </c>
      <c r="D147">
        <v>377</v>
      </c>
      <c r="E147">
        <v>268</v>
      </c>
      <c r="F147">
        <v>1</v>
      </c>
      <c r="G147" t="s">
        <v>40</v>
      </c>
      <c r="H147">
        <v>1</v>
      </c>
      <c r="I147" t="s">
        <v>35</v>
      </c>
      <c r="J147">
        <v>18</v>
      </c>
      <c r="K147">
        <v>5</v>
      </c>
      <c r="L147">
        <v>9</v>
      </c>
      <c r="M147">
        <v>6</v>
      </c>
      <c r="N147">
        <v>2</v>
      </c>
      <c r="O147">
        <v>0</v>
      </c>
      <c r="Q147" t="str">
        <f t="shared" si="20"/>
        <v>xG Sangat Sedikit</v>
      </c>
      <c r="R147" t="str">
        <f t="shared" si="21"/>
        <v>Possession Cukup Sedikit</v>
      </c>
      <c r="S147" t="str">
        <f t="shared" si="22"/>
        <v>Total Pass Cukup Sedikit</v>
      </c>
      <c r="T147" t="str">
        <f t="shared" si="23"/>
        <v>Pass Sukses Sangat Sedikit</v>
      </c>
      <c r="U147" t="str">
        <f t="shared" si="24"/>
        <v>Total Shot Cukup Sedikit</v>
      </c>
      <c r="V147" t="str">
        <f t="shared" si="27"/>
        <v>Shot on Target Tinggi</v>
      </c>
      <c r="W147" t="str">
        <f t="shared" si="28"/>
        <v>Fouls Normal</v>
      </c>
      <c r="X147" t="str">
        <f t="shared" si="29"/>
        <v>Corner Tinggi</v>
      </c>
      <c r="Y147" t="str">
        <f t="shared" si="25"/>
        <v>Yellow Card Rendah</v>
      </c>
      <c r="Z147" t="str">
        <f t="shared" si="26"/>
        <v>Red Card Rendah</v>
      </c>
    </row>
    <row r="148" spans="1:26" x14ac:dyDescent="0.25">
      <c r="A148" t="s">
        <v>59</v>
      </c>
      <c r="B148">
        <v>1.3</v>
      </c>
      <c r="C148">
        <v>56</v>
      </c>
      <c r="D148">
        <v>570</v>
      </c>
      <c r="E148">
        <v>472</v>
      </c>
      <c r="F148">
        <v>2</v>
      </c>
      <c r="G148" t="s">
        <v>36</v>
      </c>
      <c r="H148">
        <v>0</v>
      </c>
      <c r="I148" t="s">
        <v>40</v>
      </c>
      <c r="J148">
        <v>10</v>
      </c>
      <c r="K148">
        <v>3</v>
      </c>
      <c r="L148">
        <v>9</v>
      </c>
      <c r="M148">
        <v>5</v>
      </c>
      <c r="N148">
        <v>1</v>
      </c>
      <c r="O148">
        <v>0</v>
      </c>
      <c r="Q148" t="str">
        <f t="shared" si="20"/>
        <v>xG Sangat Sedikit</v>
      </c>
      <c r="R148" t="str">
        <f t="shared" si="21"/>
        <v>Possession Cukup Banyak</v>
      </c>
      <c r="S148" t="str">
        <f t="shared" si="22"/>
        <v>Total Pass Cukup Banyak</v>
      </c>
      <c r="T148" t="str">
        <f t="shared" si="23"/>
        <v>Pass Sukses Cukup Banyak</v>
      </c>
      <c r="U148" t="str">
        <f t="shared" si="24"/>
        <v>Total Shot Sangat Sedikit</v>
      </c>
      <c r="V148" t="str">
        <f t="shared" si="27"/>
        <v>Shot on Target Rendah</v>
      </c>
      <c r="W148" t="str">
        <f t="shared" si="28"/>
        <v>Fouls Normal</v>
      </c>
      <c r="X148" t="str">
        <f t="shared" si="29"/>
        <v>Corner Normal</v>
      </c>
      <c r="Y148" t="str">
        <f t="shared" si="25"/>
        <v>Yellow Card Rendah</v>
      </c>
      <c r="Z148" t="str">
        <f t="shared" si="26"/>
        <v>Red Card Rendah</v>
      </c>
    </row>
    <row r="149" spans="1:26" x14ac:dyDescent="0.25">
      <c r="A149" t="s">
        <v>60</v>
      </c>
      <c r="B149">
        <v>2.8</v>
      </c>
      <c r="C149">
        <v>39</v>
      </c>
      <c r="D149">
        <v>355</v>
      </c>
      <c r="E149">
        <v>286</v>
      </c>
      <c r="F149">
        <v>3</v>
      </c>
      <c r="G149" t="s">
        <v>40</v>
      </c>
      <c r="H149">
        <v>2</v>
      </c>
      <c r="I149" t="s">
        <v>35</v>
      </c>
      <c r="J149">
        <v>13</v>
      </c>
      <c r="K149">
        <v>5</v>
      </c>
      <c r="L149">
        <v>17</v>
      </c>
      <c r="M149">
        <v>5</v>
      </c>
      <c r="N149">
        <v>2</v>
      </c>
      <c r="O149">
        <v>0</v>
      </c>
      <c r="Q149" t="str">
        <f t="shared" si="20"/>
        <v>xG Cukup Sedikit</v>
      </c>
      <c r="R149" t="str">
        <f t="shared" si="21"/>
        <v>Possession Cukup Sedikit</v>
      </c>
      <c r="S149" t="str">
        <f t="shared" si="22"/>
        <v>Total Pass Sangat Sedikit</v>
      </c>
      <c r="T149" t="str">
        <f t="shared" si="23"/>
        <v>Pass Sukses Cukup Sedikit</v>
      </c>
      <c r="U149" t="str">
        <f t="shared" si="24"/>
        <v>Total Shot Cukup Sedikit</v>
      </c>
      <c r="V149" t="str">
        <f t="shared" si="27"/>
        <v>Shot on Target Tinggi</v>
      </c>
      <c r="W149" t="str">
        <f t="shared" si="28"/>
        <v>Fouls Tinggi</v>
      </c>
      <c r="X149" t="str">
        <f t="shared" si="29"/>
        <v>Corner Normal</v>
      </c>
      <c r="Y149" t="str">
        <f t="shared" si="25"/>
        <v>Yellow Card Rendah</v>
      </c>
      <c r="Z149" t="str">
        <f t="shared" si="26"/>
        <v>Red Card Rendah</v>
      </c>
    </row>
    <row r="150" spans="1:26" x14ac:dyDescent="0.25">
      <c r="A150" t="s">
        <v>51</v>
      </c>
      <c r="B150">
        <v>1</v>
      </c>
      <c r="C150">
        <v>54</v>
      </c>
      <c r="D150">
        <v>480</v>
      </c>
      <c r="E150">
        <v>375</v>
      </c>
      <c r="F150">
        <v>2</v>
      </c>
      <c r="G150" t="s">
        <v>35</v>
      </c>
      <c r="H150">
        <v>0</v>
      </c>
      <c r="I150" t="s">
        <v>36</v>
      </c>
      <c r="J150">
        <v>19</v>
      </c>
      <c r="K150">
        <v>4</v>
      </c>
      <c r="L150">
        <v>12</v>
      </c>
      <c r="M150">
        <v>11</v>
      </c>
      <c r="N150">
        <v>5</v>
      </c>
      <c r="O150">
        <v>0</v>
      </c>
      <c r="Q150" t="str">
        <f t="shared" si="20"/>
        <v>xG Sangat Sedikit</v>
      </c>
      <c r="R150" t="str">
        <f t="shared" si="21"/>
        <v>Possession Cukup Banyak</v>
      </c>
      <c r="S150" t="str">
        <f t="shared" si="22"/>
        <v>Total Pass Cukup Sedikit</v>
      </c>
      <c r="T150" t="str">
        <f t="shared" si="23"/>
        <v>Pass Sukses Cukup Sedikit</v>
      </c>
      <c r="U150" t="str">
        <f t="shared" si="24"/>
        <v>Total Shot Cukup Sedikit</v>
      </c>
      <c r="V150" t="str">
        <f t="shared" si="27"/>
        <v>Shot on Target Normal</v>
      </c>
      <c r="W150" t="str">
        <f t="shared" si="28"/>
        <v>Fouls Tinggi</v>
      </c>
      <c r="X150" t="str">
        <f t="shared" si="29"/>
        <v>Corner Tinggi</v>
      </c>
      <c r="Y150" t="str">
        <f t="shared" si="25"/>
        <v>Yellow Card Tinggi</v>
      </c>
      <c r="Z150" t="str">
        <f t="shared" si="26"/>
        <v>Red Card Rendah</v>
      </c>
    </row>
    <row r="151" spans="1:26" x14ac:dyDescent="0.25">
      <c r="A151" t="s">
        <v>42</v>
      </c>
      <c r="B151">
        <v>1.2</v>
      </c>
      <c r="C151">
        <v>76</v>
      </c>
      <c r="D151">
        <v>746</v>
      </c>
      <c r="E151">
        <v>666</v>
      </c>
      <c r="F151">
        <v>0</v>
      </c>
      <c r="G151" t="s">
        <v>36</v>
      </c>
      <c r="H151">
        <v>0</v>
      </c>
      <c r="I151" t="s">
        <v>36</v>
      </c>
      <c r="J151">
        <v>13</v>
      </c>
      <c r="K151">
        <v>5</v>
      </c>
      <c r="L151">
        <v>6</v>
      </c>
      <c r="M151">
        <v>8</v>
      </c>
      <c r="N151">
        <v>0</v>
      </c>
      <c r="O151">
        <v>0</v>
      </c>
      <c r="Q151" t="str">
        <f t="shared" si="20"/>
        <v>xG Sangat Sedikit</v>
      </c>
      <c r="R151" t="str">
        <f t="shared" si="21"/>
        <v>Possession Sangat Banyak</v>
      </c>
      <c r="S151" t="str">
        <f t="shared" si="22"/>
        <v>Total Pass Sangat Banyak</v>
      </c>
      <c r="T151" t="str">
        <f t="shared" si="23"/>
        <v>Pass Sukses Sangat Banyak</v>
      </c>
      <c r="U151" t="str">
        <f t="shared" si="24"/>
        <v>Total Shot Cukup Sedikit</v>
      </c>
      <c r="V151" t="str">
        <f t="shared" si="27"/>
        <v>Shot on Target Tinggi</v>
      </c>
      <c r="W151" t="str">
        <f t="shared" si="28"/>
        <v>Fouls Rendah</v>
      </c>
      <c r="X151" t="str">
        <f t="shared" si="29"/>
        <v>Corner Tinggi</v>
      </c>
      <c r="Y151" t="str">
        <f t="shared" si="25"/>
        <v>Yellow Card Rendah</v>
      </c>
      <c r="Z151" t="str">
        <f t="shared" si="26"/>
        <v>Red Card Rendah</v>
      </c>
    </row>
    <row r="152" spans="1:26" x14ac:dyDescent="0.25">
      <c r="A152" t="s">
        <v>39</v>
      </c>
      <c r="B152">
        <v>2.1</v>
      </c>
      <c r="C152">
        <v>61</v>
      </c>
      <c r="D152">
        <v>586</v>
      </c>
      <c r="E152">
        <v>498</v>
      </c>
      <c r="F152">
        <v>2</v>
      </c>
      <c r="G152" t="s">
        <v>36</v>
      </c>
      <c r="H152">
        <v>0</v>
      </c>
      <c r="I152" t="s">
        <v>40</v>
      </c>
      <c r="J152">
        <v>16</v>
      </c>
      <c r="K152">
        <v>4</v>
      </c>
      <c r="L152">
        <v>10</v>
      </c>
      <c r="M152">
        <v>5</v>
      </c>
      <c r="N152">
        <v>3</v>
      </c>
      <c r="O152">
        <v>1</v>
      </c>
      <c r="Q152" t="str">
        <f t="shared" si="20"/>
        <v>xG Cukup Sedikit</v>
      </c>
      <c r="R152" t="str">
        <f t="shared" si="21"/>
        <v>Possession Cukup Banyak</v>
      </c>
      <c r="S152" t="str">
        <f t="shared" si="22"/>
        <v>Total Pass Cukup Banyak</v>
      </c>
      <c r="T152" t="str">
        <f t="shared" si="23"/>
        <v>Pass Sukses Cukup Banyak</v>
      </c>
      <c r="U152" t="str">
        <f t="shared" si="24"/>
        <v>Total Shot Cukup Sedikit</v>
      </c>
      <c r="V152" t="str">
        <f t="shared" si="27"/>
        <v>Shot on Target Normal</v>
      </c>
      <c r="W152" t="str">
        <f t="shared" si="28"/>
        <v>Fouls Normal</v>
      </c>
      <c r="X152" t="str">
        <f t="shared" si="29"/>
        <v>Corner Normal</v>
      </c>
      <c r="Y152" t="str">
        <f t="shared" si="25"/>
        <v>Yellow Card Tinggi</v>
      </c>
      <c r="Z152" t="str">
        <f t="shared" si="26"/>
        <v>Red Card Tinggi</v>
      </c>
    </row>
    <row r="153" spans="1:26" x14ac:dyDescent="0.25">
      <c r="A153" t="s">
        <v>46</v>
      </c>
      <c r="B153">
        <v>3.8</v>
      </c>
      <c r="C153">
        <v>59</v>
      </c>
      <c r="D153">
        <v>668</v>
      </c>
      <c r="E153">
        <v>578</v>
      </c>
      <c r="F153">
        <v>4</v>
      </c>
      <c r="G153" t="s">
        <v>35</v>
      </c>
      <c r="H153">
        <v>1</v>
      </c>
      <c r="I153" t="s">
        <v>35</v>
      </c>
      <c r="J153">
        <v>27</v>
      </c>
      <c r="K153">
        <v>11</v>
      </c>
      <c r="L153">
        <v>7</v>
      </c>
      <c r="M153">
        <v>5</v>
      </c>
      <c r="N153">
        <v>3</v>
      </c>
      <c r="O153">
        <v>0</v>
      </c>
      <c r="Q153" t="str">
        <f t="shared" si="20"/>
        <v>xG Cukup Banyak</v>
      </c>
      <c r="R153" t="str">
        <f t="shared" si="21"/>
        <v>Possession Cukup Banyak</v>
      </c>
      <c r="S153" t="str">
        <f t="shared" si="22"/>
        <v>Total Pass Sangat Banyak</v>
      </c>
      <c r="T153" t="str">
        <f t="shared" si="23"/>
        <v>Pass Sukses Cukup Banyak</v>
      </c>
      <c r="U153" t="str">
        <f t="shared" si="24"/>
        <v>Total Shot Cukup Banyak</v>
      </c>
      <c r="V153" t="str">
        <f t="shared" si="27"/>
        <v>Shot on Target Tinggi</v>
      </c>
      <c r="W153" t="str">
        <f t="shared" si="28"/>
        <v>Fouls Rendah</v>
      </c>
      <c r="X153" t="str">
        <f t="shared" si="29"/>
        <v>Corner Normal</v>
      </c>
      <c r="Y153" t="str">
        <f t="shared" si="25"/>
        <v>Yellow Card Tinggi</v>
      </c>
      <c r="Z153" t="str">
        <f t="shared" si="26"/>
        <v>Red Card Rendah</v>
      </c>
    </row>
    <row r="154" spans="1:26" x14ac:dyDescent="0.25">
      <c r="A154" t="s">
        <v>43</v>
      </c>
      <c r="B154">
        <v>1.3</v>
      </c>
      <c r="C154">
        <v>54</v>
      </c>
      <c r="D154">
        <v>549</v>
      </c>
      <c r="E154">
        <v>443</v>
      </c>
      <c r="F154">
        <v>1</v>
      </c>
      <c r="G154" t="s">
        <v>40</v>
      </c>
      <c r="H154">
        <v>0</v>
      </c>
      <c r="I154" t="s">
        <v>40</v>
      </c>
      <c r="J154">
        <v>16</v>
      </c>
      <c r="K154">
        <v>6</v>
      </c>
      <c r="L154">
        <v>13</v>
      </c>
      <c r="M154">
        <v>7</v>
      </c>
      <c r="N154">
        <v>0</v>
      </c>
      <c r="O154">
        <v>1</v>
      </c>
      <c r="Q154" t="str">
        <f t="shared" si="20"/>
        <v>xG Sangat Sedikit</v>
      </c>
      <c r="R154" t="str">
        <f t="shared" si="21"/>
        <v>Possession Cukup Banyak</v>
      </c>
      <c r="S154" t="str">
        <f t="shared" si="22"/>
        <v>Total Pass Cukup Banyak</v>
      </c>
      <c r="T154" t="str">
        <f t="shared" si="23"/>
        <v>Pass Sukses Cukup Banyak</v>
      </c>
      <c r="U154" t="str">
        <f t="shared" si="24"/>
        <v>Total Shot Cukup Sedikit</v>
      </c>
      <c r="V154" t="str">
        <f t="shared" si="27"/>
        <v>Shot on Target Tinggi</v>
      </c>
      <c r="W154" t="str">
        <f t="shared" si="28"/>
        <v>Fouls Tinggi</v>
      </c>
      <c r="X154" t="str">
        <f t="shared" si="29"/>
        <v>Corner Tinggi</v>
      </c>
      <c r="Y154" t="str">
        <f t="shared" si="25"/>
        <v>Yellow Card Rendah</v>
      </c>
      <c r="Z154" t="str">
        <f t="shared" si="26"/>
        <v>Red Card Tinggi</v>
      </c>
    </row>
    <row r="155" spans="1:26" x14ac:dyDescent="0.25">
      <c r="A155" t="s">
        <v>48</v>
      </c>
      <c r="B155">
        <v>1.7</v>
      </c>
      <c r="C155">
        <v>50</v>
      </c>
      <c r="D155">
        <v>501</v>
      </c>
      <c r="E155">
        <v>441</v>
      </c>
      <c r="F155">
        <v>2</v>
      </c>
      <c r="G155" t="s">
        <v>35</v>
      </c>
      <c r="H155">
        <v>0</v>
      </c>
      <c r="I155" t="s">
        <v>36</v>
      </c>
      <c r="J155">
        <v>17</v>
      </c>
      <c r="K155">
        <v>6</v>
      </c>
      <c r="L155">
        <v>12</v>
      </c>
      <c r="M155">
        <v>4</v>
      </c>
      <c r="N155">
        <v>0</v>
      </c>
      <c r="O155">
        <v>0</v>
      </c>
      <c r="Q155" t="str">
        <f t="shared" si="20"/>
        <v>xG Cukup Sedikit</v>
      </c>
      <c r="R155" t="str">
        <f t="shared" si="21"/>
        <v>Possession Cukup Sedikit</v>
      </c>
      <c r="S155" t="str">
        <f t="shared" si="22"/>
        <v>Total Pass Cukup Sedikit</v>
      </c>
      <c r="T155" t="str">
        <f t="shared" si="23"/>
        <v>Pass Sukses Cukup Banyak</v>
      </c>
      <c r="U155" t="str">
        <f t="shared" si="24"/>
        <v>Total Shot Cukup Sedikit</v>
      </c>
      <c r="V155" t="str">
        <f t="shared" si="27"/>
        <v>Shot on Target Tinggi</v>
      </c>
      <c r="W155" t="str">
        <f t="shared" si="28"/>
        <v>Fouls Tinggi</v>
      </c>
      <c r="X155" t="str">
        <f t="shared" si="29"/>
        <v>Corner Rendah</v>
      </c>
      <c r="Y155" t="str">
        <f t="shared" si="25"/>
        <v>Yellow Card Rendah</v>
      </c>
      <c r="Z155" t="str">
        <f t="shared" si="26"/>
        <v>Red Card Rendah</v>
      </c>
    </row>
    <row r="156" spans="1:26" x14ac:dyDescent="0.25">
      <c r="A156" t="s">
        <v>45</v>
      </c>
      <c r="B156">
        <v>1</v>
      </c>
      <c r="C156">
        <v>64</v>
      </c>
      <c r="D156">
        <v>613</v>
      </c>
      <c r="E156">
        <v>528</v>
      </c>
      <c r="F156">
        <v>1</v>
      </c>
      <c r="G156" t="s">
        <v>40</v>
      </c>
      <c r="H156">
        <v>0</v>
      </c>
      <c r="I156" t="s">
        <v>40</v>
      </c>
      <c r="J156">
        <v>17</v>
      </c>
      <c r="K156">
        <v>5</v>
      </c>
      <c r="L156">
        <v>11</v>
      </c>
      <c r="M156">
        <v>8</v>
      </c>
      <c r="N156">
        <v>1</v>
      </c>
      <c r="O156">
        <v>0</v>
      </c>
      <c r="Q156" t="str">
        <f t="shared" si="20"/>
        <v>xG Sangat Sedikit</v>
      </c>
      <c r="R156" t="str">
        <f t="shared" si="21"/>
        <v>Possession Sangat Banyak</v>
      </c>
      <c r="S156" t="str">
        <f t="shared" si="22"/>
        <v>Total Pass Cukup Banyak</v>
      </c>
      <c r="T156" t="str">
        <f t="shared" si="23"/>
        <v>Pass Sukses Cukup Banyak</v>
      </c>
      <c r="U156" t="str">
        <f t="shared" si="24"/>
        <v>Total Shot Cukup Sedikit</v>
      </c>
      <c r="V156" t="str">
        <f t="shared" si="27"/>
        <v>Shot on Target Tinggi</v>
      </c>
      <c r="W156" t="str">
        <f t="shared" si="28"/>
        <v>Fouls Normal</v>
      </c>
      <c r="X156" t="str">
        <f t="shared" si="29"/>
        <v>Corner Tinggi</v>
      </c>
      <c r="Y156" t="str">
        <f t="shared" si="25"/>
        <v>Yellow Card Rendah</v>
      </c>
      <c r="Z156" t="str">
        <f t="shared" si="26"/>
        <v>Red Card Rendah</v>
      </c>
    </row>
    <row r="157" spans="1:26" x14ac:dyDescent="0.25">
      <c r="A157" t="s">
        <v>58</v>
      </c>
      <c r="B157">
        <v>0.9</v>
      </c>
      <c r="C157">
        <v>52</v>
      </c>
      <c r="D157">
        <v>538</v>
      </c>
      <c r="E157">
        <v>453</v>
      </c>
      <c r="F157">
        <v>1</v>
      </c>
      <c r="G157" t="s">
        <v>40</v>
      </c>
      <c r="H157">
        <v>1</v>
      </c>
      <c r="I157" t="s">
        <v>35</v>
      </c>
      <c r="J157">
        <v>10</v>
      </c>
      <c r="K157">
        <v>3</v>
      </c>
      <c r="L157">
        <v>5</v>
      </c>
      <c r="M157">
        <v>8</v>
      </c>
      <c r="N157">
        <v>1</v>
      </c>
      <c r="O157">
        <v>0</v>
      </c>
      <c r="Q157" t="str">
        <f t="shared" si="20"/>
        <v>xG Sangat Sedikit</v>
      </c>
      <c r="R157" t="str">
        <f t="shared" si="21"/>
        <v>Possession Cukup Banyak</v>
      </c>
      <c r="S157" t="str">
        <f t="shared" si="22"/>
        <v>Total Pass Cukup Banyak</v>
      </c>
      <c r="T157" t="str">
        <f t="shared" si="23"/>
        <v>Pass Sukses Cukup Banyak</v>
      </c>
      <c r="U157" t="str">
        <f t="shared" si="24"/>
        <v>Total Shot Sangat Sedikit</v>
      </c>
      <c r="V157" t="str">
        <f t="shared" si="27"/>
        <v>Shot on Target Rendah</v>
      </c>
      <c r="W157" t="str">
        <f t="shared" si="28"/>
        <v>Fouls Rendah</v>
      </c>
      <c r="X157" t="str">
        <f t="shared" si="29"/>
        <v>Corner Tinggi</v>
      </c>
      <c r="Y157" t="str">
        <f t="shared" si="25"/>
        <v>Yellow Card Rendah</v>
      </c>
      <c r="Z157" t="str">
        <f t="shared" si="26"/>
        <v>Red Card Rendah</v>
      </c>
    </row>
    <row r="158" spans="1:26" x14ac:dyDescent="0.25">
      <c r="A158" t="s">
        <v>57</v>
      </c>
      <c r="B158">
        <v>2.2000000000000002</v>
      </c>
      <c r="C158">
        <v>62</v>
      </c>
      <c r="D158">
        <v>585</v>
      </c>
      <c r="E158">
        <v>483</v>
      </c>
      <c r="F158">
        <v>2</v>
      </c>
      <c r="G158" t="s">
        <v>35</v>
      </c>
      <c r="H158">
        <v>1</v>
      </c>
      <c r="I158" t="s">
        <v>35</v>
      </c>
      <c r="J158">
        <v>26</v>
      </c>
      <c r="K158">
        <v>8</v>
      </c>
      <c r="L158">
        <v>11</v>
      </c>
      <c r="M158">
        <v>8</v>
      </c>
      <c r="N158">
        <v>0</v>
      </c>
      <c r="O158">
        <v>1</v>
      </c>
      <c r="Q158" t="str">
        <f t="shared" si="20"/>
        <v>xG Cukup Sedikit</v>
      </c>
      <c r="R158" t="str">
        <f t="shared" si="21"/>
        <v>Possession Cukup Banyak</v>
      </c>
      <c r="S158" t="str">
        <f t="shared" si="22"/>
        <v>Total Pass Cukup Banyak</v>
      </c>
      <c r="T158" t="str">
        <f t="shared" si="23"/>
        <v>Pass Sukses Cukup Banyak</v>
      </c>
      <c r="U158" t="str">
        <f t="shared" si="24"/>
        <v>Total Shot Cukup Banyak</v>
      </c>
      <c r="V158" t="str">
        <f t="shared" si="27"/>
        <v>Shot on Target Tinggi</v>
      </c>
      <c r="W158" t="str">
        <f t="shared" si="28"/>
        <v>Fouls Normal</v>
      </c>
      <c r="X158" t="str">
        <f t="shared" si="29"/>
        <v>Corner Tinggi</v>
      </c>
      <c r="Y158" t="str">
        <f t="shared" si="25"/>
        <v>Yellow Card Rendah</v>
      </c>
      <c r="Z158" t="str">
        <f t="shared" si="26"/>
        <v>Red Card Tinggi</v>
      </c>
    </row>
    <row r="159" spans="1:26" x14ac:dyDescent="0.25">
      <c r="A159" t="s">
        <v>47</v>
      </c>
      <c r="B159">
        <v>0.8</v>
      </c>
      <c r="C159">
        <v>42</v>
      </c>
      <c r="D159">
        <v>458</v>
      </c>
      <c r="E159">
        <v>392</v>
      </c>
      <c r="F159">
        <v>0</v>
      </c>
      <c r="G159" t="s">
        <v>40</v>
      </c>
      <c r="H159">
        <v>0</v>
      </c>
      <c r="I159" t="s">
        <v>40</v>
      </c>
      <c r="J159">
        <v>9</v>
      </c>
      <c r="K159">
        <v>3</v>
      </c>
      <c r="L159">
        <v>8</v>
      </c>
      <c r="M159">
        <v>2</v>
      </c>
      <c r="N159">
        <v>1</v>
      </c>
      <c r="O159">
        <v>0</v>
      </c>
      <c r="Q159" t="str">
        <f t="shared" si="20"/>
        <v>xG Sangat Sedikit</v>
      </c>
      <c r="R159" t="str">
        <f t="shared" si="21"/>
        <v>Possession Cukup Sedikit</v>
      </c>
      <c r="S159" t="str">
        <f t="shared" si="22"/>
        <v>Total Pass Cukup Sedikit</v>
      </c>
      <c r="T159" t="str">
        <f t="shared" si="23"/>
        <v>Pass Sukses Cukup Sedikit</v>
      </c>
      <c r="U159" t="str">
        <f t="shared" si="24"/>
        <v>Total Shot Sangat Sedikit</v>
      </c>
      <c r="V159" t="str">
        <f t="shared" si="27"/>
        <v>Shot on Target Rendah</v>
      </c>
      <c r="W159" t="str">
        <f t="shared" si="28"/>
        <v>Fouls Rendah</v>
      </c>
      <c r="X159" t="str">
        <f t="shared" si="29"/>
        <v>Corner Rendah</v>
      </c>
      <c r="Y159" t="str">
        <f t="shared" si="25"/>
        <v>Yellow Card Rendah</v>
      </c>
      <c r="Z159" t="str">
        <f t="shared" si="26"/>
        <v>Red Card Rendah</v>
      </c>
    </row>
    <row r="160" spans="1:26" x14ac:dyDescent="0.25">
      <c r="A160" t="s">
        <v>49</v>
      </c>
      <c r="B160">
        <v>1.9</v>
      </c>
      <c r="C160">
        <v>52</v>
      </c>
      <c r="D160">
        <v>491</v>
      </c>
      <c r="E160">
        <v>362</v>
      </c>
      <c r="F160">
        <v>1</v>
      </c>
      <c r="G160" t="s">
        <v>36</v>
      </c>
      <c r="H160">
        <v>0</v>
      </c>
      <c r="I160" t="s">
        <v>36</v>
      </c>
      <c r="J160">
        <v>29</v>
      </c>
      <c r="K160">
        <v>9</v>
      </c>
      <c r="L160">
        <v>6</v>
      </c>
      <c r="M160">
        <v>12</v>
      </c>
      <c r="N160">
        <v>0</v>
      </c>
      <c r="O160">
        <v>0</v>
      </c>
      <c r="Q160" t="str">
        <f t="shared" si="20"/>
        <v>xG Cukup Sedikit</v>
      </c>
      <c r="R160" t="str">
        <f t="shared" si="21"/>
        <v>Possession Cukup Banyak</v>
      </c>
      <c r="S160" t="str">
        <f t="shared" si="22"/>
        <v>Total Pass Cukup Sedikit</v>
      </c>
      <c r="T160" t="str">
        <f t="shared" si="23"/>
        <v>Pass Sukses Cukup Sedikit</v>
      </c>
      <c r="U160" t="str">
        <f t="shared" si="24"/>
        <v>Total Shot Sangat Banyak</v>
      </c>
      <c r="V160" t="str">
        <f t="shared" si="27"/>
        <v>Shot on Target Tinggi</v>
      </c>
      <c r="W160" t="str">
        <f t="shared" si="28"/>
        <v>Fouls Rendah</v>
      </c>
      <c r="X160" t="str">
        <f t="shared" si="29"/>
        <v>Corner Tinggi</v>
      </c>
      <c r="Y160" t="str">
        <f t="shared" si="25"/>
        <v>Yellow Card Rendah</v>
      </c>
      <c r="Z160" t="str">
        <f t="shared" si="26"/>
        <v>Red Card Rendah</v>
      </c>
    </row>
    <row r="161" spans="1:26" x14ac:dyDescent="0.25">
      <c r="A161" t="s">
        <v>52</v>
      </c>
      <c r="B161">
        <v>1.6</v>
      </c>
      <c r="C161">
        <v>44</v>
      </c>
      <c r="D161">
        <v>451</v>
      </c>
      <c r="E161">
        <v>383</v>
      </c>
      <c r="F161">
        <v>2</v>
      </c>
      <c r="G161" t="s">
        <v>35</v>
      </c>
      <c r="H161">
        <v>1</v>
      </c>
      <c r="I161" t="s">
        <v>35</v>
      </c>
      <c r="J161">
        <v>11</v>
      </c>
      <c r="K161">
        <v>6</v>
      </c>
      <c r="L161">
        <v>14</v>
      </c>
      <c r="M161">
        <v>5</v>
      </c>
      <c r="N161">
        <v>3</v>
      </c>
      <c r="O161">
        <v>0</v>
      </c>
      <c r="Q161" t="str">
        <f t="shared" si="20"/>
        <v>xG Cukup Sedikit</v>
      </c>
      <c r="R161" t="str">
        <f t="shared" si="21"/>
        <v>Possession Cukup Sedikit</v>
      </c>
      <c r="S161" t="str">
        <f t="shared" si="22"/>
        <v>Total Pass Cukup Sedikit</v>
      </c>
      <c r="T161" t="str">
        <f t="shared" si="23"/>
        <v>Pass Sukses Cukup Sedikit</v>
      </c>
      <c r="U161" t="str">
        <f t="shared" si="24"/>
        <v>Total Shot Cukup Sedikit</v>
      </c>
      <c r="V161" t="str">
        <f t="shared" si="27"/>
        <v>Shot on Target Tinggi</v>
      </c>
      <c r="W161" t="str">
        <f t="shared" si="28"/>
        <v>Fouls Tinggi</v>
      </c>
      <c r="X161" t="str">
        <f t="shared" si="29"/>
        <v>Corner Normal</v>
      </c>
      <c r="Y161" t="str">
        <f t="shared" si="25"/>
        <v>Yellow Card Tinggi</v>
      </c>
      <c r="Z161" t="str">
        <f t="shared" si="26"/>
        <v>Red Card Rendah</v>
      </c>
    </row>
    <row r="162" spans="1:26" x14ac:dyDescent="0.25">
      <c r="A162" t="s">
        <v>54</v>
      </c>
      <c r="B162">
        <v>0.7</v>
      </c>
      <c r="C162">
        <v>64</v>
      </c>
      <c r="D162">
        <v>589</v>
      </c>
      <c r="E162">
        <v>472</v>
      </c>
      <c r="F162">
        <v>0</v>
      </c>
      <c r="G162" t="s">
        <v>40</v>
      </c>
      <c r="H162">
        <v>0</v>
      </c>
      <c r="I162" t="s">
        <v>40</v>
      </c>
      <c r="J162">
        <v>7</v>
      </c>
      <c r="K162">
        <v>3</v>
      </c>
      <c r="L162">
        <v>9</v>
      </c>
      <c r="M162">
        <v>9</v>
      </c>
      <c r="N162">
        <v>3</v>
      </c>
      <c r="O162">
        <v>0</v>
      </c>
      <c r="Q162" t="str">
        <f t="shared" si="20"/>
        <v>xG Sangat Sedikit</v>
      </c>
      <c r="R162" t="str">
        <f t="shared" si="21"/>
        <v>Possession Sangat Banyak</v>
      </c>
      <c r="S162" t="str">
        <f t="shared" si="22"/>
        <v>Total Pass Cukup Banyak</v>
      </c>
      <c r="T162" t="str">
        <f t="shared" si="23"/>
        <v>Pass Sukses Cukup Banyak</v>
      </c>
      <c r="U162" t="str">
        <f t="shared" si="24"/>
        <v>Total Shot Sangat Sedikit</v>
      </c>
      <c r="V162" t="str">
        <f t="shared" si="27"/>
        <v>Shot on Target Rendah</v>
      </c>
      <c r="W162" t="str">
        <f t="shared" si="28"/>
        <v>Fouls Normal</v>
      </c>
      <c r="X162" t="str">
        <f t="shared" si="29"/>
        <v>Corner Tinggi</v>
      </c>
      <c r="Y162" t="str">
        <f t="shared" si="25"/>
        <v>Yellow Card Tinggi</v>
      </c>
      <c r="Z162" t="str">
        <f t="shared" si="26"/>
        <v>Red Card Rendah</v>
      </c>
    </row>
    <row r="163" spans="1:26" x14ac:dyDescent="0.25">
      <c r="A163" t="s">
        <v>38</v>
      </c>
      <c r="B163">
        <v>0.7</v>
      </c>
      <c r="C163">
        <v>42</v>
      </c>
      <c r="D163">
        <v>462</v>
      </c>
      <c r="E163">
        <v>374</v>
      </c>
      <c r="F163">
        <v>0</v>
      </c>
      <c r="G163" t="s">
        <v>40</v>
      </c>
      <c r="H163">
        <v>0</v>
      </c>
      <c r="I163" t="s">
        <v>40</v>
      </c>
      <c r="J163">
        <v>10</v>
      </c>
      <c r="K163">
        <v>2</v>
      </c>
      <c r="L163">
        <v>9</v>
      </c>
      <c r="M163">
        <v>2</v>
      </c>
      <c r="N163">
        <v>2</v>
      </c>
      <c r="O163">
        <v>0</v>
      </c>
      <c r="Q163" t="str">
        <f t="shared" si="20"/>
        <v>xG Sangat Sedikit</v>
      </c>
      <c r="R163" t="str">
        <f t="shared" si="21"/>
        <v>Possession Cukup Sedikit</v>
      </c>
      <c r="S163" t="str">
        <f t="shared" si="22"/>
        <v>Total Pass Cukup Sedikit</v>
      </c>
      <c r="T163" t="str">
        <f t="shared" si="23"/>
        <v>Pass Sukses Cukup Sedikit</v>
      </c>
      <c r="U163" t="str">
        <f t="shared" si="24"/>
        <v>Total Shot Sangat Sedikit</v>
      </c>
      <c r="V163" t="str">
        <f t="shared" si="27"/>
        <v>Shot on Target Rendah</v>
      </c>
      <c r="W163" t="str">
        <f t="shared" si="28"/>
        <v>Fouls Normal</v>
      </c>
      <c r="X163" t="str">
        <f t="shared" si="29"/>
        <v>Corner Rendah</v>
      </c>
      <c r="Y163" t="str">
        <f t="shared" si="25"/>
        <v>Yellow Card Rendah</v>
      </c>
      <c r="Z163" t="str">
        <f t="shared" si="26"/>
        <v>Red Card Rendah</v>
      </c>
    </row>
    <row r="164" spans="1:26" x14ac:dyDescent="0.25">
      <c r="A164" t="s">
        <v>51</v>
      </c>
      <c r="B164">
        <v>1.2</v>
      </c>
      <c r="C164">
        <v>47</v>
      </c>
      <c r="D164">
        <v>418</v>
      </c>
      <c r="E164">
        <v>311</v>
      </c>
      <c r="F164">
        <v>1</v>
      </c>
      <c r="G164" t="s">
        <v>36</v>
      </c>
      <c r="H164">
        <v>0</v>
      </c>
      <c r="I164" t="s">
        <v>36</v>
      </c>
      <c r="J164">
        <v>11</v>
      </c>
      <c r="K164">
        <v>4</v>
      </c>
      <c r="L164">
        <v>14</v>
      </c>
      <c r="M164">
        <v>8</v>
      </c>
      <c r="N164">
        <v>2</v>
      </c>
      <c r="O164">
        <v>0</v>
      </c>
      <c r="Q164" t="str">
        <f t="shared" si="20"/>
        <v>xG Sangat Sedikit</v>
      </c>
      <c r="R164" t="str">
        <f t="shared" si="21"/>
        <v>Possession Cukup Sedikit</v>
      </c>
      <c r="S164" t="str">
        <f t="shared" si="22"/>
        <v>Total Pass Cukup Sedikit</v>
      </c>
      <c r="T164" t="str">
        <f t="shared" si="23"/>
        <v>Pass Sukses Cukup Sedikit</v>
      </c>
      <c r="U164" t="str">
        <f t="shared" si="24"/>
        <v>Total Shot Cukup Sedikit</v>
      </c>
      <c r="V164" t="str">
        <f t="shared" si="27"/>
        <v>Shot on Target Normal</v>
      </c>
      <c r="W164" t="str">
        <f t="shared" si="28"/>
        <v>Fouls Tinggi</v>
      </c>
      <c r="X164" t="str">
        <f t="shared" si="29"/>
        <v>Corner Tinggi</v>
      </c>
      <c r="Y164" t="str">
        <f t="shared" si="25"/>
        <v>Yellow Card Rendah</v>
      </c>
      <c r="Z164" t="str">
        <f t="shared" si="26"/>
        <v>Red Card Rendah</v>
      </c>
    </row>
    <row r="165" spans="1:26" x14ac:dyDescent="0.25">
      <c r="A165" t="s">
        <v>55</v>
      </c>
      <c r="B165">
        <v>1.6</v>
      </c>
      <c r="C165">
        <v>42</v>
      </c>
      <c r="D165">
        <v>422</v>
      </c>
      <c r="E165">
        <v>336</v>
      </c>
      <c r="F165">
        <v>1</v>
      </c>
      <c r="G165" t="s">
        <v>40</v>
      </c>
      <c r="H165">
        <v>1</v>
      </c>
      <c r="I165" t="s">
        <v>40</v>
      </c>
      <c r="J165">
        <v>15</v>
      </c>
      <c r="K165">
        <v>6</v>
      </c>
      <c r="L165">
        <v>9</v>
      </c>
      <c r="M165">
        <v>3</v>
      </c>
      <c r="N165">
        <v>2</v>
      </c>
      <c r="O165">
        <v>0</v>
      </c>
      <c r="Q165" t="str">
        <f t="shared" si="20"/>
        <v>xG Cukup Sedikit</v>
      </c>
      <c r="R165" t="str">
        <f t="shared" si="21"/>
        <v>Possession Cukup Sedikit</v>
      </c>
      <c r="S165" t="str">
        <f t="shared" si="22"/>
        <v>Total Pass Cukup Sedikit</v>
      </c>
      <c r="T165" t="str">
        <f t="shared" si="23"/>
        <v>Pass Sukses Cukup Sedikit</v>
      </c>
      <c r="U165" t="str">
        <f t="shared" si="24"/>
        <v>Total Shot Cukup Sedikit</v>
      </c>
      <c r="V165" t="str">
        <f t="shared" si="27"/>
        <v>Shot on Target Tinggi</v>
      </c>
      <c r="W165" t="str">
        <f t="shared" si="28"/>
        <v>Fouls Normal</v>
      </c>
      <c r="X165" t="str">
        <f t="shared" si="29"/>
        <v>Corner Rendah</v>
      </c>
      <c r="Y165" t="str">
        <f t="shared" si="25"/>
        <v>Yellow Card Rendah</v>
      </c>
      <c r="Z165" t="str">
        <f t="shared" si="26"/>
        <v>Red Card Rendah</v>
      </c>
    </row>
    <row r="166" spans="1:26" x14ac:dyDescent="0.25">
      <c r="A166" t="s">
        <v>44</v>
      </c>
      <c r="B166">
        <v>1</v>
      </c>
      <c r="C166">
        <v>25</v>
      </c>
      <c r="D166">
        <v>231</v>
      </c>
      <c r="E166">
        <v>163</v>
      </c>
      <c r="F166">
        <v>0</v>
      </c>
      <c r="G166" t="s">
        <v>36</v>
      </c>
      <c r="H166">
        <v>0</v>
      </c>
      <c r="I166" t="s">
        <v>36</v>
      </c>
      <c r="J166">
        <v>5</v>
      </c>
      <c r="K166">
        <v>4</v>
      </c>
      <c r="L166">
        <v>20</v>
      </c>
      <c r="M166">
        <v>2</v>
      </c>
      <c r="N166">
        <v>4</v>
      </c>
      <c r="O166">
        <v>0</v>
      </c>
      <c r="Q166" t="str">
        <f t="shared" si="20"/>
        <v>xG Sangat Sedikit</v>
      </c>
      <c r="R166" t="str">
        <f t="shared" si="21"/>
        <v>Possession Sangat Sedikit</v>
      </c>
      <c r="S166" t="str">
        <f t="shared" si="22"/>
        <v>Total Pass Sangat Sedikit</v>
      </c>
      <c r="T166" t="str">
        <f t="shared" si="23"/>
        <v>Pass Sukses Sangat Sedikit</v>
      </c>
      <c r="U166" t="str">
        <f t="shared" si="24"/>
        <v>Total Shot Sangat Sedikit</v>
      </c>
      <c r="V166" t="str">
        <f t="shared" si="27"/>
        <v>Shot on Target Normal</v>
      </c>
      <c r="W166" t="str">
        <f t="shared" si="28"/>
        <v>Fouls Tinggi</v>
      </c>
      <c r="X166" t="str">
        <f t="shared" si="29"/>
        <v>Corner Rendah</v>
      </c>
      <c r="Y166" t="str">
        <f t="shared" si="25"/>
        <v>Yellow Card Tinggi</v>
      </c>
      <c r="Z166" t="str">
        <f t="shared" si="26"/>
        <v>Red Card Rendah</v>
      </c>
    </row>
    <row r="167" spans="1:26" x14ac:dyDescent="0.25">
      <c r="A167" t="s">
        <v>34</v>
      </c>
      <c r="B167">
        <v>0.9</v>
      </c>
      <c r="C167">
        <v>57</v>
      </c>
      <c r="D167">
        <v>598</v>
      </c>
      <c r="E167">
        <v>499</v>
      </c>
      <c r="F167">
        <v>0</v>
      </c>
      <c r="G167" t="s">
        <v>36</v>
      </c>
      <c r="H167">
        <v>0</v>
      </c>
      <c r="I167" t="s">
        <v>36</v>
      </c>
      <c r="J167">
        <v>16</v>
      </c>
      <c r="K167">
        <v>5</v>
      </c>
      <c r="L167">
        <v>8</v>
      </c>
      <c r="M167">
        <v>6</v>
      </c>
      <c r="N167">
        <v>1</v>
      </c>
      <c r="O167">
        <v>0</v>
      </c>
      <c r="Q167" t="str">
        <f t="shared" si="20"/>
        <v>xG Sangat Sedikit</v>
      </c>
      <c r="R167" t="str">
        <f t="shared" si="21"/>
        <v>Possession Cukup Banyak</v>
      </c>
      <c r="S167" t="str">
        <f t="shared" si="22"/>
        <v>Total Pass Cukup Banyak</v>
      </c>
      <c r="T167" t="str">
        <f t="shared" si="23"/>
        <v>Pass Sukses Cukup Banyak</v>
      </c>
      <c r="U167" t="str">
        <f t="shared" si="24"/>
        <v>Total Shot Cukup Sedikit</v>
      </c>
      <c r="V167" t="str">
        <f t="shared" si="27"/>
        <v>Shot on Target Tinggi</v>
      </c>
      <c r="W167" t="str">
        <f t="shared" si="28"/>
        <v>Fouls Rendah</v>
      </c>
      <c r="X167" t="str">
        <f t="shared" si="29"/>
        <v>Corner Tinggi</v>
      </c>
      <c r="Y167" t="str">
        <f t="shared" si="25"/>
        <v>Yellow Card Rendah</v>
      </c>
      <c r="Z167" t="str">
        <f t="shared" si="26"/>
        <v>Red Card Rendah</v>
      </c>
    </row>
    <row r="168" spans="1:26" x14ac:dyDescent="0.25">
      <c r="A168" t="s">
        <v>59</v>
      </c>
      <c r="B168">
        <v>0.8</v>
      </c>
      <c r="C168">
        <v>54</v>
      </c>
      <c r="D168">
        <v>595</v>
      </c>
      <c r="E168">
        <v>500</v>
      </c>
      <c r="F168">
        <v>0</v>
      </c>
      <c r="G168" t="s">
        <v>40</v>
      </c>
      <c r="H168">
        <v>0</v>
      </c>
      <c r="I168" t="s">
        <v>40</v>
      </c>
      <c r="J168">
        <v>9</v>
      </c>
      <c r="K168">
        <v>5</v>
      </c>
      <c r="L168">
        <v>15</v>
      </c>
      <c r="M168">
        <v>6</v>
      </c>
      <c r="N168">
        <v>2</v>
      </c>
      <c r="O168">
        <v>0</v>
      </c>
      <c r="Q168" t="str">
        <f t="shared" si="20"/>
        <v>xG Sangat Sedikit</v>
      </c>
      <c r="R168" t="str">
        <f t="shared" si="21"/>
        <v>Possession Cukup Banyak</v>
      </c>
      <c r="S168" t="str">
        <f t="shared" si="22"/>
        <v>Total Pass Cukup Banyak</v>
      </c>
      <c r="T168" t="str">
        <f t="shared" si="23"/>
        <v>Pass Sukses Cukup Banyak</v>
      </c>
      <c r="U168" t="str">
        <f t="shared" si="24"/>
        <v>Total Shot Sangat Sedikit</v>
      </c>
      <c r="V168" t="str">
        <f t="shared" si="27"/>
        <v>Shot on Target Tinggi</v>
      </c>
      <c r="W168" t="str">
        <f t="shared" si="28"/>
        <v>Fouls Tinggi</v>
      </c>
      <c r="X168" t="str">
        <f t="shared" si="29"/>
        <v>Corner Tinggi</v>
      </c>
      <c r="Y168" t="str">
        <f t="shared" si="25"/>
        <v>Yellow Card Rendah</v>
      </c>
      <c r="Z168" t="str">
        <f t="shared" si="26"/>
        <v>Red Card Rendah</v>
      </c>
    </row>
    <row r="169" spans="1:26" x14ac:dyDescent="0.25">
      <c r="A169" t="s">
        <v>33</v>
      </c>
      <c r="B169">
        <v>2.2000000000000002</v>
      </c>
      <c r="C169">
        <v>60</v>
      </c>
      <c r="D169">
        <v>537</v>
      </c>
      <c r="E169">
        <v>426</v>
      </c>
      <c r="F169">
        <v>0</v>
      </c>
      <c r="G169" t="s">
        <v>40</v>
      </c>
      <c r="H169">
        <v>0</v>
      </c>
      <c r="I169" t="s">
        <v>40</v>
      </c>
      <c r="J169">
        <v>23</v>
      </c>
      <c r="K169">
        <v>7</v>
      </c>
      <c r="L169">
        <v>11</v>
      </c>
      <c r="M169">
        <v>13</v>
      </c>
      <c r="N169">
        <v>1</v>
      </c>
      <c r="O169">
        <v>0</v>
      </c>
      <c r="Q169" t="str">
        <f t="shared" si="20"/>
        <v>xG Cukup Sedikit</v>
      </c>
      <c r="R169" t="str">
        <f t="shared" si="21"/>
        <v>Possession Cukup Banyak</v>
      </c>
      <c r="S169" t="str">
        <f t="shared" si="22"/>
        <v>Total Pass Cukup Banyak</v>
      </c>
      <c r="T169" t="str">
        <f t="shared" si="23"/>
        <v>Pass Sukses Cukup Sedikit</v>
      </c>
      <c r="U169" t="str">
        <f t="shared" si="24"/>
        <v>Total Shot Cukup Banyak</v>
      </c>
      <c r="V169" t="str">
        <f t="shared" si="27"/>
        <v>Shot on Target Tinggi</v>
      </c>
      <c r="W169" t="str">
        <f t="shared" si="28"/>
        <v>Fouls Normal</v>
      </c>
      <c r="X169" t="str">
        <f t="shared" si="29"/>
        <v>Corner Tinggi</v>
      </c>
      <c r="Y169" t="str">
        <f t="shared" si="25"/>
        <v>Yellow Card Rendah</v>
      </c>
      <c r="Z169" t="str">
        <f t="shared" si="26"/>
        <v>Red Card Rendah</v>
      </c>
    </row>
    <row r="170" spans="1:26" x14ac:dyDescent="0.25">
      <c r="A170" t="s">
        <v>60</v>
      </c>
      <c r="B170">
        <v>1.3</v>
      </c>
      <c r="C170">
        <v>52</v>
      </c>
      <c r="D170">
        <v>589</v>
      </c>
      <c r="E170">
        <v>490</v>
      </c>
      <c r="F170">
        <v>3</v>
      </c>
      <c r="G170" t="s">
        <v>40</v>
      </c>
      <c r="H170">
        <v>1</v>
      </c>
      <c r="I170" t="s">
        <v>40</v>
      </c>
      <c r="J170">
        <v>9</v>
      </c>
      <c r="K170">
        <v>5</v>
      </c>
      <c r="L170">
        <v>7</v>
      </c>
      <c r="M170">
        <v>7</v>
      </c>
      <c r="N170">
        <v>1</v>
      </c>
      <c r="O170">
        <v>0</v>
      </c>
      <c r="Q170" t="str">
        <f t="shared" si="20"/>
        <v>xG Sangat Sedikit</v>
      </c>
      <c r="R170" t="str">
        <f t="shared" si="21"/>
        <v>Possession Cukup Banyak</v>
      </c>
      <c r="S170" t="str">
        <f t="shared" si="22"/>
        <v>Total Pass Cukup Banyak</v>
      </c>
      <c r="T170" t="str">
        <f t="shared" si="23"/>
        <v>Pass Sukses Cukup Banyak</v>
      </c>
      <c r="U170" t="str">
        <f t="shared" si="24"/>
        <v>Total Shot Sangat Sedikit</v>
      </c>
      <c r="V170" t="str">
        <f t="shared" si="27"/>
        <v>Shot on Target Tinggi</v>
      </c>
      <c r="W170" t="str">
        <f t="shared" si="28"/>
        <v>Fouls Rendah</v>
      </c>
      <c r="X170" t="str">
        <f t="shared" si="29"/>
        <v>Corner Tinggi</v>
      </c>
      <c r="Y170" t="str">
        <f t="shared" si="25"/>
        <v>Yellow Card Rendah</v>
      </c>
      <c r="Z170" t="str">
        <f t="shared" si="26"/>
        <v>Red Card Rendah</v>
      </c>
    </row>
    <row r="171" spans="1:26" x14ac:dyDescent="0.25">
      <c r="A171" t="s">
        <v>58</v>
      </c>
      <c r="B171">
        <v>2.1</v>
      </c>
      <c r="C171">
        <v>66</v>
      </c>
      <c r="D171">
        <v>689</v>
      </c>
      <c r="E171">
        <v>615</v>
      </c>
      <c r="F171">
        <v>1</v>
      </c>
      <c r="G171" t="s">
        <v>36</v>
      </c>
      <c r="H171">
        <v>1</v>
      </c>
      <c r="I171" t="s">
        <v>36</v>
      </c>
      <c r="J171">
        <v>24</v>
      </c>
      <c r="K171">
        <v>5</v>
      </c>
      <c r="L171">
        <v>5</v>
      </c>
      <c r="M171">
        <v>8</v>
      </c>
      <c r="N171">
        <v>1</v>
      </c>
      <c r="O171">
        <v>0</v>
      </c>
      <c r="Q171" t="str">
        <f t="shared" si="20"/>
        <v>xG Cukup Sedikit</v>
      </c>
      <c r="R171" t="str">
        <f t="shared" si="21"/>
        <v>Possession Sangat Banyak</v>
      </c>
      <c r="S171" t="str">
        <f t="shared" si="22"/>
        <v>Total Pass Sangat Banyak</v>
      </c>
      <c r="T171" t="str">
        <f t="shared" si="23"/>
        <v>Pass Sukses Sangat Banyak</v>
      </c>
      <c r="U171" t="str">
        <f t="shared" si="24"/>
        <v>Total Shot Cukup Banyak</v>
      </c>
      <c r="V171" t="str">
        <f t="shared" si="27"/>
        <v>Shot on Target Tinggi</v>
      </c>
      <c r="W171" t="str">
        <f t="shared" si="28"/>
        <v>Fouls Rendah</v>
      </c>
      <c r="X171" t="str">
        <f t="shared" si="29"/>
        <v>Corner Tinggi</v>
      </c>
      <c r="Y171" t="str">
        <f t="shared" si="25"/>
        <v>Yellow Card Rendah</v>
      </c>
      <c r="Z171" t="str">
        <f t="shared" si="26"/>
        <v>Red Card Rendah</v>
      </c>
    </row>
    <row r="172" spans="1:26" x14ac:dyDescent="0.25">
      <c r="A172" t="s">
        <v>49</v>
      </c>
      <c r="B172">
        <v>1.4</v>
      </c>
      <c r="C172">
        <v>52</v>
      </c>
      <c r="D172">
        <v>512</v>
      </c>
      <c r="E172">
        <v>405</v>
      </c>
      <c r="F172">
        <v>0</v>
      </c>
      <c r="G172" t="s">
        <v>36</v>
      </c>
      <c r="H172">
        <v>0</v>
      </c>
      <c r="I172" t="s">
        <v>36</v>
      </c>
      <c r="J172">
        <v>18</v>
      </c>
      <c r="K172">
        <v>4</v>
      </c>
      <c r="L172">
        <v>13</v>
      </c>
      <c r="M172">
        <v>5</v>
      </c>
      <c r="N172">
        <v>2</v>
      </c>
      <c r="O172">
        <v>0</v>
      </c>
      <c r="Q172" t="str">
        <f t="shared" si="20"/>
        <v>xG Sangat Sedikit</v>
      </c>
      <c r="R172" t="str">
        <f t="shared" si="21"/>
        <v>Possession Cukup Banyak</v>
      </c>
      <c r="S172" t="str">
        <f t="shared" si="22"/>
        <v>Total Pass Cukup Banyak</v>
      </c>
      <c r="T172" t="str">
        <f t="shared" si="23"/>
        <v>Pass Sukses Cukup Sedikit</v>
      </c>
      <c r="U172" t="str">
        <f t="shared" si="24"/>
        <v>Total Shot Cukup Sedikit</v>
      </c>
      <c r="V172" t="str">
        <f t="shared" si="27"/>
        <v>Shot on Target Normal</v>
      </c>
      <c r="W172" t="str">
        <f t="shared" si="28"/>
        <v>Fouls Tinggi</v>
      </c>
      <c r="X172" t="str">
        <f t="shared" si="29"/>
        <v>Corner Normal</v>
      </c>
      <c r="Y172" t="str">
        <f t="shared" si="25"/>
        <v>Yellow Card Rendah</v>
      </c>
      <c r="Z172" t="str">
        <f t="shared" si="26"/>
        <v>Red Card Rendah</v>
      </c>
    </row>
    <row r="173" spans="1:26" x14ac:dyDescent="0.25">
      <c r="A173" t="s">
        <v>57</v>
      </c>
      <c r="B173">
        <v>1.1000000000000001</v>
      </c>
      <c r="C173">
        <v>47</v>
      </c>
      <c r="D173">
        <v>543</v>
      </c>
      <c r="E173">
        <v>443</v>
      </c>
      <c r="F173">
        <v>1</v>
      </c>
      <c r="G173" t="s">
        <v>40</v>
      </c>
      <c r="H173">
        <v>1</v>
      </c>
      <c r="I173" t="s">
        <v>35</v>
      </c>
      <c r="J173">
        <v>12</v>
      </c>
      <c r="K173">
        <v>8</v>
      </c>
      <c r="L173">
        <v>13</v>
      </c>
      <c r="M173">
        <v>3</v>
      </c>
      <c r="N173">
        <v>1</v>
      </c>
      <c r="O173">
        <v>0</v>
      </c>
      <c r="Q173" t="str">
        <f t="shared" si="20"/>
        <v>xG Sangat Sedikit</v>
      </c>
      <c r="R173" t="str">
        <f t="shared" si="21"/>
        <v>Possession Cukup Sedikit</v>
      </c>
      <c r="S173" t="str">
        <f t="shared" si="22"/>
        <v>Total Pass Cukup Banyak</v>
      </c>
      <c r="T173" t="str">
        <f t="shared" si="23"/>
        <v>Pass Sukses Cukup Banyak</v>
      </c>
      <c r="U173" t="str">
        <f t="shared" si="24"/>
        <v>Total Shot Cukup Sedikit</v>
      </c>
      <c r="V173" t="str">
        <f t="shared" si="27"/>
        <v>Shot on Target Tinggi</v>
      </c>
      <c r="W173" t="str">
        <f t="shared" si="28"/>
        <v>Fouls Tinggi</v>
      </c>
      <c r="X173" t="str">
        <f t="shared" si="29"/>
        <v>Corner Rendah</v>
      </c>
      <c r="Y173" t="str">
        <f t="shared" si="25"/>
        <v>Yellow Card Rendah</v>
      </c>
      <c r="Z173" t="str">
        <f t="shared" si="26"/>
        <v>Red Card Rendah</v>
      </c>
    </row>
    <row r="174" spans="1:26" x14ac:dyDescent="0.25">
      <c r="A174" t="s">
        <v>46</v>
      </c>
      <c r="B174">
        <v>2.7</v>
      </c>
      <c r="C174">
        <v>62</v>
      </c>
      <c r="D174">
        <v>585</v>
      </c>
      <c r="E174">
        <v>520</v>
      </c>
      <c r="F174">
        <v>3</v>
      </c>
      <c r="G174" t="s">
        <v>35</v>
      </c>
      <c r="H174">
        <v>1</v>
      </c>
      <c r="I174" t="s">
        <v>35</v>
      </c>
      <c r="J174">
        <v>22</v>
      </c>
      <c r="K174">
        <v>8</v>
      </c>
      <c r="L174">
        <v>15</v>
      </c>
      <c r="M174">
        <v>9</v>
      </c>
      <c r="N174">
        <v>2</v>
      </c>
      <c r="O174">
        <v>0</v>
      </c>
      <c r="Q174" t="str">
        <f t="shared" si="20"/>
        <v>xG Cukup Sedikit</v>
      </c>
      <c r="R174" t="str">
        <f t="shared" si="21"/>
        <v>Possession Cukup Banyak</v>
      </c>
      <c r="S174" t="str">
        <f t="shared" si="22"/>
        <v>Total Pass Cukup Banyak</v>
      </c>
      <c r="T174" t="str">
        <f t="shared" si="23"/>
        <v>Pass Sukses Cukup Banyak</v>
      </c>
      <c r="U174" t="str">
        <f t="shared" si="24"/>
        <v>Total Shot Cukup Banyak</v>
      </c>
      <c r="V174" t="str">
        <f t="shared" si="27"/>
        <v>Shot on Target Tinggi</v>
      </c>
      <c r="W174" t="str">
        <f t="shared" si="28"/>
        <v>Fouls Tinggi</v>
      </c>
      <c r="X174" t="str">
        <f t="shared" si="29"/>
        <v>Corner Tinggi</v>
      </c>
      <c r="Y174" t="str">
        <f t="shared" si="25"/>
        <v>Yellow Card Rendah</v>
      </c>
      <c r="Z174" t="str">
        <f t="shared" si="26"/>
        <v>Red Card Rendah</v>
      </c>
    </row>
    <row r="175" spans="1:26" x14ac:dyDescent="0.25">
      <c r="A175" t="s">
        <v>48</v>
      </c>
      <c r="B175">
        <v>1.1000000000000001</v>
      </c>
      <c r="C175">
        <v>30</v>
      </c>
      <c r="D175">
        <v>287</v>
      </c>
      <c r="E175">
        <v>202</v>
      </c>
      <c r="F175">
        <v>1</v>
      </c>
      <c r="G175" t="s">
        <v>35</v>
      </c>
      <c r="H175">
        <v>1</v>
      </c>
      <c r="I175" t="s">
        <v>35</v>
      </c>
      <c r="J175">
        <v>10</v>
      </c>
      <c r="K175">
        <v>3</v>
      </c>
      <c r="L175">
        <v>12</v>
      </c>
      <c r="M175">
        <v>2</v>
      </c>
      <c r="N175">
        <v>3</v>
      </c>
      <c r="O175">
        <v>0</v>
      </c>
      <c r="Q175" t="str">
        <f t="shared" si="20"/>
        <v>xG Sangat Sedikit</v>
      </c>
      <c r="R175" t="str">
        <f t="shared" si="21"/>
        <v>Possession Sangat Sedikit</v>
      </c>
      <c r="S175" t="str">
        <f t="shared" si="22"/>
        <v>Total Pass Sangat Sedikit</v>
      </c>
      <c r="T175" t="str">
        <f t="shared" si="23"/>
        <v>Pass Sukses Sangat Sedikit</v>
      </c>
      <c r="U175" t="str">
        <f t="shared" si="24"/>
        <v>Total Shot Sangat Sedikit</v>
      </c>
      <c r="V175" t="str">
        <f t="shared" si="27"/>
        <v>Shot on Target Rendah</v>
      </c>
      <c r="W175" t="str">
        <f t="shared" si="28"/>
        <v>Fouls Tinggi</v>
      </c>
      <c r="X175" t="str">
        <f t="shared" si="29"/>
        <v>Corner Rendah</v>
      </c>
      <c r="Y175" t="str">
        <f t="shared" si="25"/>
        <v>Yellow Card Tinggi</v>
      </c>
      <c r="Z175" t="str">
        <f t="shared" si="26"/>
        <v>Red Card Rendah</v>
      </c>
    </row>
    <row r="176" spans="1:26" x14ac:dyDescent="0.25">
      <c r="A176" t="s">
        <v>47</v>
      </c>
      <c r="B176">
        <v>1.4</v>
      </c>
      <c r="C176">
        <v>54</v>
      </c>
      <c r="D176">
        <v>519</v>
      </c>
      <c r="E176">
        <v>429</v>
      </c>
      <c r="F176">
        <v>0</v>
      </c>
      <c r="G176" t="s">
        <v>40</v>
      </c>
      <c r="H176">
        <v>0</v>
      </c>
      <c r="I176" t="s">
        <v>36</v>
      </c>
      <c r="J176">
        <v>18</v>
      </c>
      <c r="K176">
        <v>5</v>
      </c>
      <c r="L176">
        <v>15</v>
      </c>
      <c r="M176">
        <v>2</v>
      </c>
      <c r="N176">
        <v>1</v>
      </c>
      <c r="O176">
        <v>0</v>
      </c>
      <c r="Q176" t="str">
        <f t="shared" si="20"/>
        <v>xG Sangat Sedikit</v>
      </c>
      <c r="R176" t="str">
        <f t="shared" si="21"/>
        <v>Possession Cukup Banyak</v>
      </c>
      <c r="S176" t="str">
        <f t="shared" si="22"/>
        <v>Total Pass Cukup Banyak</v>
      </c>
      <c r="T176" t="str">
        <f t="shared" si="23"/>
        <v>Pass Sukses Cukup Sedikit</v>
      </c>
      <c r="U176" t="str">
        <f t="shared" si="24"/>
        <v>Total Shot Cukup Sedikit</v>
      </c>
      <c r="V176" t="str">
        <f t="shared" si="27"/>
        <v>Shot on Target Tinggi</v>
      </c>
      <c r="W176" t="str">
        <f t="shared" si="28"/>
        <v>Fouls Tinggi</v>
      </c>
      <c r="X176" t="str">
        <f t="shared" si="29"/>
        <v>Corner Rendah</v>
      </c>
      <c r="Y176" t="str">
        <f t="shared" si="25"/>
        <v>Yellow Card Rendah</v>
      </c>
      <c r="Z176" t="str">
        <f t="shared" si="26"/>
        <v>Red Card Rendah</v>
      </c>
    </row>
    <row r="177" spans="1:26" x14ac:dyDescent="0.25">
      <c r="A177" t="s">
        <v>43</v>
      </c>
      <c r="B177">
        <v>0.9</v>
      </c>
      <c r="C177">
        <v>51</v>
      </c>
      <c r="D177">
        <v>514</v>
      </c>
      <c r="E177">
        <v>417</v>
      </c>
      <c r="F177">
        <v>2</v>
      </c>
      <c r="G177" t="s">
        <v>35</v>
      </c>
      <c r="H177">
        <v>0</v>
      </c>
      <c r="I177" t="s">
        <v>36</v>
      </c>
      <c r="J177">
        <v>7</v>
      </c>
      <c r="K177">
        <v>4</v>
      </c>
      <c r="L177">
        <v>12</v>
      </c>
      <c r="M177">
        <v>4</v>
      </c>
      <c r="N177">
        <v>2</v>
      </c>
      <c r="O177">
        <v>0</v>
      </c>
      <c r="Q177" t="str">
        <f t="shared" si="20"/>
        <v>xG Sangat Sedikit</v>
      </c>
      <c r="R177" t="str">
        <f t="shared" si="21"/>
        <v>Possession Cukup Banyak</v>
      </c>
      <c r="S177" t="str">
        <f t="shared" si="22"/>
        <v>Total Pass Cukup Banyak</v>
      </c>
      <c r="T177" t="str">
        <f t="shared" si="23"/>
        <v>Pass Sukses Cukup Sedikit</v>
      </c>
      <c r="U177" t="str">
        <f t="shared" si="24"/>
        <v>Total Shot Sangat Sedikit</v>
      </c>
      <c r="V177" t="str">
        <f t="shared" si="27"/>
        <v>Shot on Target Normal</v>
      </c>
      <c r="W177" t="str">
        <f t="shared" si="28"/>
        <v>Fouls Tinggi</v>
      </c>
      <c r="X177" t="str">
        <f t="shared" si="29"/>
        <v>Corner Rendah</v>
      </c>
      <c r="Y177" t="str">
        <f t="shared" si="25"/>
        <v>Yellow Card Rendah</v>
      </c>
      <c r="Z177" t="str">
        <f t="shared" si="26"/>
        <v>Red Card Rendah</v>
      </c>
    </row>
    <row r="178" spans="1:26" x14ac:dyDescent="0.25">
      <c r="A178" t="s">
        <v>39</v>
      </c>
      <c r="B178">
        <v>2</v>
      </c>
      <c r="C178">
        <v>68</v>
      </c>
      <c r="D178">
        <v>721</v>
      </c>
      <c r="E178">
        <v>621</v>
      </c>
      <c r="F178">
        <v>3</v>
      </c>
      <c r="G178" t="s">
        <v>35</v>
      </c>
      <c r="H178">
        <v>1</v>
      </c>
      <c r="I178" t="s">
        <v>36</v>
      </c>
      <c r="J178">
        <v>19</v>
      </c>
      <c r="K178">
        <v>7</v>
      </c>
      <c r="L178">
        <v>17</v>
      </c>
      <c r="M178">
        <v>14</v>
      </c>
      <c r="N178">
        <v>3</v>
      </c>
      <c r="O178">
        <v>0</v>
      </c>
      <c r="Q178" t="str">
        <f t="shared" si="20"/>
        <v>xG Cukup Sedikit</v>
      </c>
      <c r="R178" t="str">
        <f t="shared" si="21"/>
        <v>Possession Sangat Banyak</v>
      </c>
      <c r="S178" t="str">
        <f t="shared" si="22"/>
        <v>Total Pass Sangat Banyak</v>
      </c>
      <c r="T178" t="str">
        <f t="shared" si="23"/>
        <v>Pass Sukses Sangat Banyak</v>
      </c>
      <c r="U178" t="str">
        <f t="shared" si="24"/>
        <v>Total Shot Cukup Sedikit</v>
      </c>
      <c r="V178" t="str">
        <f t="shared" si="27"/>
        <v>Shot on Target Tinggi</v>
      </c>
      <c r="W178" t="str">
        <f t="shared" si="28"/>
        <v>Fouls Tinggi</v>
      </c>
      <c r="X178" t="str">
        <f t="shared" si="29"/>
        <v>Corner Tinggi</v>
      </c>
      <c r="Y178" t="str">
        <f t="shared" si="25"/>
        <v>Yellow Card Tinggi</v>
      </c>
      <c r="Z178" t="str">
        <f t="shared" si="26"/>
        <v>Red Card Rendah</v>
      </c>
    </row>
    <row r="179" spans="1:26" x14ac:dyDescent="0.25">
      <c r="A179" t="s">
        <v>45</v>
      </c>
      <c r="B179">
        <v>1.3</v>
      </c>
      <c r="C179">
        <v>57</v>
      </c>
      <c r="D179">
        <v>529</v>
      </c>
      <c r="E179">
        <v>421</v>
      </c>
      <c r="F179">
        <v>0</v>
      </c>
      <c r="G179" t="s">
        <v>36</v>
      </c>
      <c r="H179">
        <v>0</v>
      </c>
      <c r="I179" t="s">
        <v>36</v>
      </c>
      <c r="J179">
        <v>24</v>
      </c>
      <c r="K179">
        <v>7</v>
      </c>
      <c r="L179">
        <v>6</v>
      </c>
      <c r="M179">
        <v>5</v>
      </c>
      <c r="N179">
        <v>0</v>
      </c>
      <c r="O179">
        <v>0</v>
      </c>
      <c r="Q179" t="str">
        <f t="shared" si="20"/>
        <v>xG Sangat Sedikit</v>
      </c>
      <c r="R179" t="str">
        <f t="shared" si="21"/>
        <v>Possession Cukup Banyak</v>
      </c>
      <c r="S179" t="str">
        <f t="shared" si="22"/>
        <v>Total Pass Cukup Banyak</v>
      </c>
      <c r="T179" t="str">
        <f t="shared" si="23"/>
        <v>Pass Sukses Cukup Sedikit</v>
      </c>
      <c r="U179" t="str">
        <f t="shared" si="24"/>
        <v>Total Shot Cukup Banyak</v>
      </c>
      <c r="V179" t="str">
        <f t="shared" si="27"/>
        <v>Shot on Target Tinggi</v>
      </c>
      <c r="W179" t="str">
        <f t="shared" si="28"/>
        <v>Fouls Rendah</v>
      </c>
      <c r="X179" t="str">
        <f t="shared" si="29"/>
        <v>Corner Normal</v>
      </c>
      <c r="Y179" t="str">
        <f t="shared" si="25"/>
        <v>Yellow Card Rendah</v>
      </c>
      <c r="Z179" t="str">
        <f t="shared" si="26"/>
        <v>Red Card Rendah</v>
      </c>
    </row>
    <row r="180" spans="1:26" x14ac:dyDescent="0.25">
      <c r="A180" t="s">
        <v>42</v>
      </c>
      <c r="B180">
        <v>1.8</v>
      </c>
      <c r="C180">
        <v>68</v>
      </c>
      <c r="D180">
        <v>707</v>
      </c>
      <c r="E180">
        <v>624</v>
      </c>
      <c r="F180">
        <v>1</v>
      </c>
      <c r="G180" t="s">
        <v>35</v>
      </c>
      <c r="H180">
        <v>1</v>
      </c>
      <c r="I180" t="s">
        <v>35</v>
      </c>
      <c r="J180">
        <v>13</v>
      </c>
      <c r="K180">
        <v>5</v>
      </c>
      <c r="L180">
        <v>7</v>
      </c>
      <c r="M180">
        <v>5</v>
      </c>
      <c r="N180">
        <v>1</v>
      </c>
      <c r="O180">
        <v>0</v>
      </c>
      <c r="Q180" t="str">
        <f t="shared" si="20"/>
        <v>xG Cukup Sedikit</v>
      </c>
      <c r="R180" t="str">
        <f t="shared" si="21"/>
        <v>Possession Sangat Banyak</v>
      </c>
      <c r="S180" t="str">
        <f t="shared" si="22"/>
        <v>Total Pass Sangat Banyak</v>
      </c>
      <c r="T180" t="str">
        <f t="shared" si="23"/>
        <v>Pass Sukses Sangat Banyak</v>
      </c>
      <c r="U180" t="str">
        <f t="shared" si="24"/>
        <v>Total Shot Cukup Sedikit</v>
      </c>
      <c r="V180" t="str">
        <f t="shared" si="27"/>
        <v>Shot on Target Tinggi</v>
      </c>
      <c r="W180" t="str">
        <f t="shared" si="28"/>
        <v>Fouls Rendah</v>
      </c>
      <c r="X180" t="str">
        <f t="shared" si="29"/>
        <v>Corner Normal</v>
      </c>
      <c r="Y180" t="str">
        <f t="shared" si="25"/>
        <v>Yellow Card Rendah</v>
      </c>
      <c r="Z180" t="str">
        <f t="shared" si="26"/>
        <v>Red Card Rendah</v>
      </c>
    </row>
    <row r="181" spans="1:26" x14ac:dyDescent="0.25">
      <c r="A181" t="s">
        <v>59</v>
      </c>
      <c r="B181">
        <v>1.3</v>
      </c>
      <c r="C181">
        <v>53</v>
      </c>
      <c r="D181">
        <v>618</v>
      </c>
      <c r="E181">
        <v>561</v>
      </c>
      <c r="F181">
        <v>0</v>
      </c>
      <c r="G181" t="s">
        <v>40</v>
      </c>
      <c r="H181">
        <v>0</v>
      </c>
      <c r="I181" t="s">
        <v>40</v>
      </c>
      <c r="J181">
        <v>11</v>
      </c>
      <c r="K181">
        <v>4</v>
      </c>
      <c r="L181">
        <v>11</v>
      </c>
      <c r="M181">
        <v>4</v>
      </c>
      <c r="N181">
        <v>2</v>
      </c>
      <c r="O181">
        <v>0</v>
      </c>
      <c r="Q181" t="str">
        <f t="shared" si="20"/>
        <v>xG Sangat Sedikit</v>
      </c>
      <c r="R181" t="str">
        <f t="shared" si="21"/>
        <v>Possession Cukup Banyak</v>
      </c>
      <c r="S181" t="str">
        <f t="shared" si="22"/>
        <v>Total Pass Cukup Banyak</v>
      </c>
      <c r="T181" t="str">
        <f t="shared" si="23"/>
        <v>Pass Sukses Cukup Banyak</v>
      </c>
      <c r="U181" t="str">
        <f t="shared" si="24"/>
        <v>Total Shot Cukup Sedikit</v>
      </c>
      <c r="V181" t="str">
        <f t="shared" si="27"/>
        <v>Shot on Target Normal</v>
      </c>
      <c r="W181" t="str">
        <f t="shared" si="28"/>
        <v>Fouls Normal</v>
      </c>
      <c r="X181" t="str">
        <f t="shared" si="29"/>
        <v>Corner Rendah</v>
      </c>
      <c r="Y181" t="str">
        <f t="shared" si="25"/>
        <v>Yellow Card Rendah</v>
      </c>
      <c r="Z181" t="str">
        <f t="shared" si="26"/>
        <v>Red Card Rendah</v>
      </c>
    </row>
    <row r="182" spans="1:26" x14ac:dyDescent="0.25">
      <c r="A182" t="s">
        <v>55</v>
      </c>
      <c r="B182">
        <v>2</v>
      </c>
      <c r="C182">
        <v>47</v>
      </c>
      <c r="D182">
        <v>427</v>
      </c>
      <c r="E182">
        <v>316</v>
      </c>
      <c r="F182">
        <v>2</v>
      </c>
      <c r="G182" t="s">
        <v>35</v>
      </c>
      <c r="H182">
        <v>1</v>
      </c>
      <c r="I182" t="s">
        <v>36</v>
      </c>
      <c r="J182">
        <v>19</v>
      </c>
      <c r="K182">
        <v>10</v>
      </c>
      <c r="L182">
        <v>18</v>
      </c>
      <c r="M182">
        <v>8</v>
      </c>
      <c r="N182">
        <v>2</v>
      </c>
      <c r="O182">
        <v>0</v>
      </c>
      <c r="Q182" t="str">
        <f t="shared" si="20"/>
        <v>xG Cukup Sedikit</v>
      </c>
      <c r="R182" t="str">
        <f t="shared" si="21"/>
        <v>Possession Cukup Sedikit</v>
      </c>
      <c r="S182" t="str">
        <f t="shared" si="22"/>
        <v>Total Pass Cukup Sedikit</v>
      </c>
      <c r="T182" t="str">
        <f t="shared" si="23"/>
        <v>Pass Sukses Cukup Sedikit</v>
      </c>
      <c r="U182" t="str">
        <f t="shared" si="24"/>
        <v>Total Shot Cukup Sedikit</v>
      </c>
      <c r="V182" t="str">
        <f t="shared" si="27"/>
        <v>Shot on Target Tinggi</v>
      </c>
      <c r="W182" t="str">
        <f t="shared" si="28"/>
        <v>Fouls Tinggi</v>
      </c>
      <c r="X182" t="str">
        <f t="shared" si="29"/>
        <v>Corner Tinggi</v>
      </c>
      <c r="Y182" t="str">
        <f t="shared" si="25"/>
        <v>Yellow Card Rendah</v>
      </c>
      <c r="Z182" t="str">
        <f t="shared" si="26"/>
        <v>Red Card Rendah</v>
      </c>
    </row>
    <row r="183" spans="1:26" x14ac:dyDescent="0.25">
      <c r="A183" t="s">
        <v>44</v>
      </c>
      <c r="B183">
        <v>0.9</v>
      </c>
      <c r="C183">
        <v>64</v>
      </c>
      <c r="D183">
        <v>564</v>
      </c>
      <c r="E183">
        <v>440</v>
      </c>
      <c r="F183">
        <v>0</v>
      </c>
      <c r="G183" t="s">
        <v>40</v>
      </c>
      <c r="H183">
        <v>0</v>
      </c>
      <c r="I183" t="s">
        <v>40</v>
      </c>
      <c r="J183">
        <v>13</v>
      </c>
      <c r="K183">
        <v>2</v>
      </c>
      <c r="L183">
        <v>13</v>
      </c>
      <c r="M183">
        <v>5</v>
      </c>
      <c r="N183">
        <v>4</v>
      </c>
      <c r="O183">
        <v>0</v>
      </c>
      <c r="Q183" t="str">
        <f t="shared" si="20"/>
        <v>xG Sangat Sedikit</v>
      </c>
      <c r="R183" t="str">
        <f t="shared" si="21"/>
        <v>Possession Sangat Banyak</v>
      </c>
      <c r="S183" t="str">
        <f t="shared" si="22"/>
        <v>Total Pass Cukup Banyak</v>
      </c>
      <c r="T183" t="str">
        <f t="shared" si="23"/>
        <v>Pass Sukses Cukup Banyak</v>
      </c>
      <c r="U183" t="str">
        <f t="shared" si="24"/>
        <v>Total Shot Cukup Sedikit</v>
      </c>
      <c r="V183" t="str">
        <f t="shared" si="27"/>
        <v>Shot on Target Rendah</v>
      </c>
      <c r="W183" t="str">
        <f t="shared" si="28"/>
        <v>Fouls Tinggi</v>
      </c>
      <c r="X183" t="str">
        <f t="shared" si="29"/>
        <v>Corner Normal</v>
      </c>
      <c r="Y183" t="str">
        <f t="shared" si="25"/>
        <v>Yellow Card Tinggi</v>
      </c>
      <c r="Z183" t="str">
        <f t="shared" si="26"/>
        <v>Red Card Rendah</v>
      </c>
    </row>
    <row r="184" spans="1:26" x14ac:dyDescent="0.25">
      <c r="A184" t="s">
        <v>34</v>
      </c>
      <c r="B184">
        <v>1.1000000000000001</v>
      </c>
      <c r="C184">
        <v>52</v>
      </c>
      <c r="D184">
        <v>528</v>
      </c>
      <c r="E184">
        <v>417</v>
      </c>
      <c r="F184">
        <v>2</v>
      </c>
      <c r="G184" t="s">
        <v>36</v>
      </c>
      <c r="H184">
        <v>1</v>
      </c>
      <c r="I184" t="s">
        <v>35</v>
      </c>
      <c r="J184">
        <v>11</v>
      </c>
      <c r="K184">
        <v>6</v>
      </c>
      <c r="L184">
        <v>7</v>
      </c>
      <c r="M184">
        <v>1</v>
      </c>
      <c r="N184">
        <v>1</v>
      </c>
      <c r="O184">
        <v>0</v>
      </c>
      <c r="Q184" t="str">
        <f t="shared" si="20"/>
        <v>xG Sangat Sedikit</v>
      </c>
      <c r="R184" t="str">
        <f t="shared" si="21"/>
        <v>Possession Cukup Banyak</v>
      </c>
      <c r="S184" t="str">
        <f t="shared" si="22"/>
        <v>Total Pass Cukup Banyak</v>
      </c>
      <c r="T184" t="str">
        <f t="shared" si="23"/>
        <v>Pass Sukses Cukup Sedikit</v>
      </c>
      <c r="U184" t="str">
        <f t="shared" si="24"/>
        <v>Total Shot Cukup Sedikit</v>
      </c>
      <c r="V184" t="str">
        <f t="shared" si="27"/>
        <v>Shot on Target Tinggi</v>
      </c>
      <c r="W184" t="str">
        <f t="shared" si="28"/>
        <v>Fouls Rendah</v>
      </c>
      <c r="X184" t="str">
        <f t="shared" si="29"/>
        <v>Corner Rendah</v>
      </c>
      <c r="Y184" t="str">
        <f t="shared" si="25"/>
        <v>Yellow Card Rendah</v>
      </c>
      <c r="Z184" t="str">
        <f t="shared" si="26"/>
        <v>Red Card Rendah</v>
      </c>
    </row>
    <row r="185" spans="1:26" x14ac:dyDescent="0.25">
      <c r="A185" t="s">
        <v>60</v>
      </c>
      <c r="B185">
        <v>2.2000000000000002</v>
      </c>
      <c r="C185">
        <v>48</v>
      </c>
      <c r="D185">
        <v>459</v>
      </c>
      <c r="E185">
        <v>349</v>
      </c>
      <c r="F185">
        <v>2</v>
      </c>
      <c r="G185" t="s">
        <v>36</v>
      </c>
      <c r="H185">
        <v>2</v>
      </c>
      <c r="I185" t="s">
        <v>35</v>
      </c>
      <c r="J185">
        <v>13</v>
      </c>
      <c r="K185">
        <v>3</v>
      </c>
      <c r="L185">
        <v>9</v>
      </c>
      <c r="M185">
        <v>5</v>
      </c>
      <c r="N185">
        <v>1</v>
      </c>
      <c r="O185">
        <v>0</v>
      </c>
      <c r="Q185" t="str">
        <f t="shared" si="20"/>
        <v>xG Cukup Sedikit</v>
      </c>
      <c r="R185" t="str">
        <f t="shared" si="21"/>
        <v>Possession Cukup Sedikit</v>
      </c>
      <c r="S185" t="str">
        <f t="shared" si="22"/>
        <v>Total Pass Cukup Sedikit</v>
      </c>
      <c r="T185" t="str">
        <f t="shared" si="23"/>
        <v>Pass Sukses Cukup Sedikit</v>
      </c>
      <c r="U185" t="str">
        <f t="shared" si="24"/>
        <v>Total Shot Cukup Sedikit</v>
      </c>
      <c r="V185" t="str">
        <f t="shared" si="27"/>
        <v>Shot on Target Rendah</v>
      </c>
      <c r="W185" t="str">
        <f t="shared" si="28"/>
        <v>Fouls Normal</v>
      </c>
      <c r="X185" t="str">
        <f t="shared" si="29"/>
        <v>Corner Normal</v>
      </c>
      <c r="Y185" t="str">
        <f t="shared" si="25"/>
        <v>Yellow Card Rendah</v>
      </c>
      <c r="Z185" t="str">
        <f t="shared" si="26"/>
        <v>Red Card Rendah</v>
      </c>
    </row>
    <row r="186" spans="1:26" x14ac:dyDescent="0.25">
      <c r="A186" t="s">
        <v>51</v>
      </c>
      <c r="B186">
        <v>0.4</v>
      </c>
      <c r="C186">
        <v>46</v>
      </c>
      <c r="D186">
        <v>495</v>
      </c>
      <c r="E186">
        <v>416</v>
      </c>
      <c r="F186">
        <v>0</v>
      </c>
      <c r="G186" t="s">
        <v>40</v>
      </c>
      <c r="H186">
        <v>0</v>
      </c>
      <c r="I186" t="s">
        <v>40</v>
      </c>
      <c r="J186">
        <v>7</v>
      </c>
      <c r="K186">
        <v>0</v>
      </c>
      <c r="L186">
        <v>7</v>
      </c>
      <c r="M186">
        <v>3</v>
      </c>
      <c r="N186">
        <v>0</v>
      </c>
      <c r="O186">
        <v>0</v>
      </c>
      <c r="Q186" t="str">
        <f t="shared" si="20"/>
        <v>xG Sangat Sedikit</v>
      </c>
      <c r="R186" t="str">
        <f t="shared" si="21"/>
        <v>Possession Cukup Sedikit</v>
      </c>
      <c r="S186" t="str">
        <f t="shared" si="22"/>
        <v>Total Pass Cukup Sedikit</v>
      </c>
      <c r="T186" t="str">
        <f t="shared" si="23"/>
        <v>Pass Sukses Cukup Sedikit</v>
      </c>
      <c r="U186" t="str">
        <f t="shared" si="24"/>
        <v>Total Shot Sangat Sedikit</v>
      </c>
      <c r="V186" t="str">
        <f t="shared" si="27"/>
        <v>Shot on Target Rendah</v>
      </c>
      <c r="W186" t="str">
        <f t="shared" si="28"/>
        <v>Fouls Rendah</v>
      </c>
      <c r="X186" t="str">
        <f t="shared" si="29"/>
        <v>Corner Rendah</v>
      </c>
      <c r="Y186" t="str">
        <f t="shared" si="25"/>
        <v>Yellow Card Rendah</v>
      </c>
      <c r="Z186" t="str">
        <f t="shared" si="26"/>
        <v>Red Card Rendah</v>
      </c>
    </row>
    <row r="187" spans="1:26" x14ac:dyDescent="0.25">
      <c r="A187" t="s">
        <v>52</v>
      </c>
      <c r="B187">
        <v>1.8</v>
      </c>
      <c r="C187">
        <v>59</v>
      </c>
      <c r="D187">
        <v>523</v>
      </c>
      <c r="E187">
        <v>430</v>
      </c>
      <c r="F187">
        <v>2</v>
      </c>
      <c r="G187" t="s">
        <v>36</v>
      </c>
      <c r="H187">
        <v>1</v>
      </c>
      <c r="I187" t="s">
        <v>36</v>
      </c>
      <c r="J187">
        <v>20</v>
      </c>
      <c r="K187">
        <v>4</v>
      </c>
      <c r="L187">
        <v>9</v>
      </c>
      <c r="M187">
        <v>12</v>
      </c>
      <c r="N187">
        <v>2</v>
      </c>
      <c r="O187">
        <v>0</v>
      </c>
      <c r="Q187" t="str">
        <f t="shared" si="20"/>
        <v>xG Cukup Sedikit</v>
      </c>
      <c r="R187" t="str">
        <f t="shared" si="21"/>
        <v>Possession Cukup Banyak</v>
      </c>
      <c r="S187" t="str">
        <f t="shared" si="22"/>
        <v>Total Pass Cukup Banyak</v>
      </c>
      <c r="T187" t="str">
        <f t="shared" si="23"/>
        <v>Pass Sukses Cukup Sedikit</v>
      </c>
      <c r="U187" t="str">
        <f t="shared" si="24"/>
        <v>Total Shot Cukup Banyak</v>
      </c>
      <c r="V187" t="str">
        <f t="shared" si="27"/>
        <v>Shot on Target Normal</v>
      </c>
      <c r="W187" t="str">
        <f t="shared" si="28"/>
        <v>Fouls Normal</v>
      </c>
      <c r="X187" t="str">
        <f t="shared" si="29"/>
        <v>Corner Tinggi</v>
      </c>
      <c r="Y187" t="str">
        <f t="shared" si="25"/>
        <v>Yellow Card Rendah</v>
      </c>
      <c r="Z187" t="str">
        <f t="shared" si="26"/>
        <v>Red Card Rendah</v>
      </c>
    </row>
    <row r="188" spans="1:26" x14ac:dyDescent="0.25">
      <c r="A188" t="s">
        <v>38</v>
      </c>
      <c r="B188">
        <v>1.6</v>
      </c>
      <c r="C188">
        <v>24</v>
      </c>
      <c r="D188">
        <v>249</v>
      </c>
      <c r="E188">
        <v>157</v>
      </c>
      <c r="F188">
        <v>2</v>
      </c>
      <c r="G188" t="s">
        <v>35</v>
      </c>
      <c r="H188">
        <v>1</v>
      </c>
      <c r="I188" t="s">
        <v>35</v>
      </c>
      <c r="J188">
        <v>9</v>
      </c>
      <c r="K188">
        <v>6</v>
      </c>
      <c r="L188">
        <v>9</v>
      </c>
      <c r="M188">
        <v>4</v>
      </c>
      <c r="N188">
        <v>4</v>
      </c>
      <c r="O188">
        <v>0</v>
      </c>
      <c r="Q188" t="str">
        <f t="shared" si="20"/>
        <v>xG Cukup Sedikit</v>
      </c>
      <c r="R188" t="str">
        <f t="shared" si="21"/>
        <v>Possession Sangat Sedikit</v>
      </c>
      <c r="S188" t="str">
        <f t="shared" si="22"/>
        <v>Total Pass Sangat Sedikit</v>
      </c>
      <c r="T188" t="str">
        <f t="shared" si="23"/>
        <v>Pass Sukses Sangat Sedikit</v>
      </c>
      <c r="U188" t="str">
        <f t="shared" si="24"/>
        <v>Total Shot Sangat Sedikit</v>
      </c>
      <c r="V188" t="str">
        <f t="shared" si="27"/>
        <v>Shot on Target Tinggi</v>
      </c>
      <c r="W188" t="str">
        <f t="shared" si="28"/>
        <v>Fouls Normal</v>
      </c>
      <c r="X188" t="str">
        <f t="shared" si="29"/>
        <v>Corner Rendah</v>
      </c>
      <c r="Y188" t="str">
        <f t="shared" si="25"/>
        <v>Yellow Card Tinggi</v>
      </c>
      <c r="Z188" t="str">
        <f t="shared" si="26"/>
        <v>Red Card Rendah</v>
      </c>
    </row>
    <row r="189" spans="1:26" x14ac:dyDescent="0.25">
      <c r="A189" t="s">
        <v>33</v>
      </c>
      <c r="B189">
        <v>0.8</v>
      </c>
      <c r="C189">
        <v>52</v>
      </c>
      <c r="D189">
        <v>615</v>
      </c>
      <c r="E189">
        <v>525</v>
      </c>
      <c r="F189">
        <v>0</v>
      </c>
      <c r="G189" t="s">
        <v>40</v>
      </c>
      <c r="H189">
        <v>0</v>
      </c>
      <c r="I189" t="s">
        <v>40</v>
      </c>
      <c r="J189">
        <v>10</v>
      </c>
      <c r="K189">
        <v>0</v>
      </c>
      <c r="L189">
        <v>13</v>
      </c>
      <c r="M189">
        <v>2</v>
      </c>
      <c r="N189">
        <v>1</v>
      </c>
      <c r="O189">
        <v>0</v>
      </c>
      <c r="Q189" t="str">
        <f t="shared" si="20"/>
        <v>xG Sangat Sedikit</v>
      </c>
      <c r="R189" t="str">
        <f t="shared" si="21"/>
        <v>Possession Cukup Banyak</v>
      </c>
      <c r="S189" t="str">
        <f t="shared" si="22"/>
        <v>Total Pass Cukup Banyak</v>
      </c>
      <c r="T189" t="str">
        <f t="shared" si="23"/>
        <v>Pass Sukses Cukup Banyak</v>
      </c>
      <c r="U189" t="str">
        <f t="shared" si="24"/>
        <v>Total Shot Sangat Sedikit</v>
      </c>
      <c r="V189" t="str">
        <f t="shared" si="27"/>
        <v>Shot on Target Rendah</v>
      </c>
      <c r="W189" t="str">
        <f t="shared" si="28"/>
        <v>Fouls Tinggi</v>
      </c>
      <c r="X189" t="str">
        <f t="shared" si="29"/>
        <v>Corner Rendah</v>
      </c>
      <c r="Y189" t="str">
        <f t="shared" si="25"/>
        <v>Yellow Card Rendah</v>
      </c>
      <c r="Z189" t="str">
        <f t="shared" si="26"/>
        <v>Red Card Rendah</v>
      </c>
    </row>
    <row r="190" spans="1:26" x14ac:dyDescent="0.25">
      <c r="A190" t="s">
        <v>54</v>
      </c>
      <c r="B190">
        <v>0.3</v>
      </c>
      <c r="C190">
        <v>50</v>
      </c>
      <c r="D190">
        <v>511</v>
      </c>
      <c r="E190">
        <v>411</v>
      </c>
      <c r="F190">
        <v>1</v>
      </c>
      <c r="G190" t="s">
        <v>40</v>
      </c>
      <c r="H190">
        <v>1</v>
      </c>
      <c r="I190" t="s">
        <v>36</v>
      </c>
      <c r="J190">
        <v>5</v>
      </c>
      <c r="K190">
        <v>2</v>
      </c>
      <c r="L190">
        <v>6</v>
      </c>
      <c r="M190">
        <v>4</v>
      </c>
      <c r="N190">
        <v>1</v>
      </c>
      <c r="O190">
        <v>0</v>
      </c>
      <c r="Q190" t="str">
        <f t="shared" si="20"/>
        <v>xG Sangat Sedikit</v>
      </c>
      <c r="R190" t="str">
        <f t="shared" si="21"/>
        <v>Possession Cukup Sedikit</v>
      </c>
      <c r="S190" t="str">
        <f t="shared" si="22"/>
        <v>Total Pass Cukup Banyak</v>
      </c>
      <c r="T190" t="str">
        <f t="shared" si="23"/>
        <v>Pass Sukses Cukup Sedikit</v>
      </c>
      <c r="U190" t="str">
        <f t="shared" si="24"/>
        <v>Total Shot Sangat Sedikit</v>
      </c>
      <c r="V190" t="str">
        <f t="shared" si="27"/>
        <v>Shot on Target Rendah</v>
      </c>
      <c r="W190" t="str">
        <f t="shared" si="28"/>
        <v>Fouls Rendah</v>
      </c>
      <c r="X190" t="str">
        <f t="shared" si="29"/>
        <v>Corner Rendah</v>
      </c>
      <c r="Y190" t="str">
        <f t="shared" si="25"/>
        <v>Yellow Card Rendah</v>
      </c>
      <c r="Z190" t="str">
        <f t="shared" si="26"/>
        <v>Red Card Rendah</v>
      </c>
    </row>
    <row r="191" spans="1:26" x14ac:dyDescent="0.25">
      <c r="A191" t="s">
        <v>60</v>
      </c>
      <c r="B191">
        <v>0.9</v>
      </c>
      <c r="C191">
        <v>56</v>
      </c>
      <c r="D191">
        <v>512</v>
      </c>
      <c r="E191">
        <v>397</v>
      </c>
      <c r="F191">
        <v>1</v>
      </c>
      <c r="G191" t="s">
        <v>40</v>
      </c>
      <c r="H191">
        <v>1</v>
      </c>
      <c r="I191" t="s">
        <v>40</v>
      </c>
      <c r="J191">
        <v>13</v>
      </c>
      <c r="K191">
        <v>4</v>
      </c>
      <c r="L191">
        <v>11</v>
      </c>
      <c r="M191">
        <v>9</v>
      </c>
      <c r="N191">
        <v>1</v>
      </c>
      <c r="O191">
        <v>0</v>
      </c>
      <c r="Q191" t="str">
        <f t="shared" si="20"/>
        <v>xG Sangat Sedikit</v>
      </c>
      <c r="R191" t="str">
        <f t="shared" si="21"/>
        <v>Possession Cukup Banyak</v>
      </c>
      <c r="S191" t="str">
        <f t="shared" si="22"/>
        <v>Total Pass Cukup Banyak</v>
      </c>
      <c r="T191" t="str">
        <f t="shared" si="23"/>
        <v>Pass Sukses Cukup Sedikit</v>
      </c>
      <c r="U191" t="str">
        <f t="shared" si="24"/>
        <v>Total Shot Cukup Sedikit</v>
      </c>
      <c r="V191" t="str">
        <f t="shared" si="27"/>
        <v>Shot on Target Normal</v>
      </c>
      <c r="W191" t="str">
        <f t="shared" si="28"/>
        <v>Fouls Normal</v>
      </c>
      <c r="X191" t="str">
        <f t="shared" si="29"/>
        <v>Corner Tinggi</v>
      </c>
      <c r="Y191" t="str">
        <f t="shared" si="25"/>
        <v>Yellow Card Rendah</v>
      </c>
      <c r="Z191" t="str">
        <f t="shared" si="26"/>
        <v>Red Card Rendah</v>
      </c>
    </row>
    <row r="192" spans="1:26" x14ac:dyDescent="0.25">
      <c r="A192" t="s">
        <v>52</v>
      </c>
      <c r="B192">
        <v>1.4</v>
      </c>
      <c r="C192">
        <v>60</v>
      </c>
      <c r="D192">
        <v>657</v>
      </c>
      <c r="E192">
        <v>574</v>
      </c>
      <c r="F192">
        <v>2</v>
      </c>
      <c r="G192" t="s">
        <v>35</v>
      </c>
      <c r="H192">
        <v>0</v>
      </c>
      <c r="I192" t="s">
        <v>36</v>
      </c>
      <c r="J192">
        <v>13</v>
      </c>
      <c r="K192">
        <v>5</v>
      </c>
      <c r="L192">
        <v>10</v>
      </c>
      <c r="M192">
        <v>7</v>
      </c>
      <c r="N192">
        <v>0</v>
      </c>
      <c r="O192">
        <v>0</v>
      </c>
      <c r="Q192" t="str">
        <f t="shared" si="20"/>
        <v>xG Sangat Sedikit</v>
      </c>
      <c r="R192" t="str">
        <f t="shared" si="21"/>
        <v>Possession Cukup Banyak</v>
      </c>
      <c r="S192" t="str">
        <f t="shared" si="22"/>
        <v>Total Pass Cukup Banyak</v>
      </c>
      <c r="T192" t="str">
        <f t="shared" si="23"/>
        <v>Pass Sukses Cukup Banyak</v>
      </c>
      <c r="U192" t="str">
        <f t="shared" si="24"/>
        <v>Total Shot Cukup Sedikit</v>
      </c>
      <c r="V192" t="str">
        <f t="shared" si="27"/>
        <v>Shot on Target Tinggi</v>
      </c>
      <c r="W192" t="str">
        <f t="shared" si="28"/>
        <v>Fouls Normal</v>
      </c>
      <c r="X192" t="str">
        <f t="shared" si="29"/>
        <v>Corner Tinggi</v>
      </c>
      <c r="Y192" t="str">
        <f t="shared" si="25"/>
        <v>Yellow Card Rendah</v>
      </c>
      <c r="Z192" t="str">
        <f t="shared" si="26"/>
        <v>Red Card Rendah</v>
      </c>
    </row>
    <row r="193" spans="1:26" x14ac:dyDescent="0.25">
      <c r="A193" t="s">
        <v>49</v>
      </c>
      <c r="B193">
        <v>1.8</v>
      </c>
      <c r="C193">
        <v>58</v>
      </c>
      <c r="D193">
        <v>502</v>
      </c>
      <c r="E193">
        <v>369</v>
      </c>
      <c r="F193">
        <v>1</v>
      </c>
      <c r="G193" t="s">
        <v>35</v>
      </c>
      <c r="H193">
        <v>0</v>
      </c>
      <c r="I193" t="s">
        <v>36</v>
      </c>
      <c r="J193">
        <v>19</v>
      </c>
      <c r="K193">
        <v>8</v>
      </c>
      <c r="L193">
        <v>15</v>
      </c>
      <c r="M193">
        <v>9</v>
      </c>
      <c r="N193">
        <v>2</v>
      </c>
      <c r="O193">
        <v>0</v>
      </c>
      <c r="Q193" t="str">
        <f t="shared" si="20"/>
        <v>xG Cukup Sedikit</v>
      </c>
      <c r="R193" t="str">
        <f t="shared" si="21"/>
        <v>Possession Cukup Banyak</v>
      </c>
      <c r="S193" t="str">
        <f t="shared" si="22"/>
        <v>Total Pass Cukup Sedikit</v>
      </c>
      <c r="T193" t="str">
        <f t="shared" si="23"/>
        <v>Pass Sukses Cukup Sedikit</v>
      </c>
      <c r="U193" t="str">
        <f t="shared" si="24"/>
        <v>Total Shot Cukup Sedikit</v>
      </c>
      <c r="V193" t="str">
        <f t="shared" si="27"/>
        <v>Shot on Target Tinggi</v>
      </c>
      <c r="W193" t="str">
        <f t="shared" si="28"/>
        <v>Fouls Tinggi</v>
      </c>
      <c r="X193" t="str">
        <f t="shared" si="29"/>
        <v>Corner Tinggi</v>
      </c>
      <c r="Y193" t="str">
        <f t="shared" si="25"/>
        <v>Yellow Card Rendah</v>
      </c>
      <c r="Z193" t="str">
        <f t="shared" si="26"/>
        <v>Red Card Rendah</v>
      </c>
    </row>
    <row r="194" spans="1:26" x14ac:dyDescent="0.25">
      <c r="A194" t="s">
        <v>55</v>
      </c>
      <c r="B194">
        <v>1.1000000000000001</v>
      </c>
      <c r="C194">
        <v>39</v>
      </c>
      <c r="D194">
        <v>385</v>
      </c>
      <c r="E194">
        <v>283</v>
      </c>
      <c r="F194">
        <v>1</v>
      </c>
      <c r="G194" t="s">
        <v>36</v>
      </c>
      <c r="H194">
        <v>0</v>
      </c>
      <c r="I194" t="s">
        <v>40</v>
      </c>
      <c r="J194">
        <v>13</v>
      </c>
      <c r="K194">
        <v>6</v>
      </c>
      <c r="L194">
        <v>9</v>
      </c>
      <c r="M194">
        <v>6</v>
      </c>
      <c r="N194">
        <v>0</v>
      </c>
      <c r="O194">
        <v>0</v>
      </c>
      <c r="Q194" t="str">
        <f t="shared" si="20"/>
        <v>xG Sangat Sedikit</v>
      </c>
      <c r="R194" t="str">
        <f t="shared" si="21"/>
        <v>Possession Cukup Sedikit</v>
      </c>
      <c r="S194" t="str">
        <f t="shared" si="22"/>
        <v>Total Pass Cukup Sedikit</v>
      </c>
      <c r="T194" t="str">
        <f t="shared" si="23"/>
        <v>Pass Sukses Sangat Sedikit</v>
      </c>
      <c r="U194" t="str">
        <f t="shared" si="24"/>
        <v>Total Shot Cukup Sedikit</v>
      </c>
      <c r="V194" t="str">
        <f t="shared" si="27"/>
        <v>Shot on Target Tinggi</v>
      </c>
      <c r="W194" t="str">
        <f t="shared" si="28"/>
        <v>Fouls Normal</v>
      </c>
      <c r="X194" t="str">
        <f t="shared" si="29"/>
        <v>Corner Tinggi</v>
      </c>
      <c r="Y194" t="str">
        <f t="shared" si="25"/>
        <v>Yellow Card Rendah</v>
      </c>
      <c r="Z194" t="str">
        <f t="shared" si="26"/>
        <v>Red Card Rendah</v>
      </c>
    </row>
    <row r="195" spans="1:26" x14ac:dyDescent="0.25">
      <c r="A195" t="s">
        <v>58</v>
      </c>
      <c r="B195">
        <v>1.9</v>
      </c>
      <c r="C195">
        <v>56</v>
      </c>
      <c r="D195">
        <v>583</v>
      </c>
      <c r="E195">
        <v>510</v>
      </c>
      <c r="F195">
        <v>4</v>
      </c>
      <c r="G195" t="s">
        <v>35</v>
      </c>
      <c r="H195">
        <v>2</v>
      </c>
      <c r="I195" t="s">
        <v>35</v>
      </c>
      <c r="J195">
        <v>10</v>
      </c>
      <c r="K195">
        <v>7</v>
      </c>
      <c r="L195">
        <v>8</v>
      </c>
      <c r="M195">
        <v>7</v>
      </c>
      <c r="N195">
        <v>2</v>
      </c>
      <c r="O195">
        <v>0</v>
      </c>
      <c r="Q195" t="str">
        <f t="shared" ref="Q195:Q258" si="30">_xlfn.LET(
 _xlpm.x,B195,
 _xlpm.min,MIN($B$2:$B$761),
 _xlpm.max,MAX($B$2:$B$761),
 _xlpm.persen,(_xlpm.x-_xlpm.min)/(_xlpm.max-_xlpm.min)*100,
 IF(_xlpm.persen&lt;=25,"xG Sangat Sedikit",
   IF(_xlpm.persen&lt;=50,"xG Cukup Sedikit",
     IF(_xlpm.persen&lt;=75,"xG Cukup Banyak",
       "xG Sangat Banyak"))))</f>
        <v>xG Cukup Sedikit</v>
      </c>
      <c r="R195" t="str">
        <f t="shared" ref="R195:R258" si="31">_xlfn.LET(
 _xlpm.x,C195,
 _xlpm.min,MIN($C$2:$C$761),
 _xlpm.max,MAX($C$2:$C$761),
 _xlpm.persen,(_xlpm.x-_xlpm.min)/(_xlpm.max-_xlpm.min)*100,
 IF(_xlpm.persen&lt;=25,"Possession Sangat Sedikit",
   IF(_xlpm.persen&lt;=50,"Possession Cukup Sedikit",
     IF(_xlpm.persen&lt;=75,"Possession Cukup Banyak",
       "Possession Sangat Banyak"))))</f>
        <v>Possession Cukup Banyak</v>
      </c>
      <c r="S195" t="str">
        <f t="shared" ref="S195:S258" si="32">_xlfn.LET(
 _xlpm.x,D195,
 _xlpm.min,MIN($D$2:$D$761),
 _xlpm.max,MAX($D$2:$D$761),
 _xlpm.persen,(_xlpm.x-_xlpm.min)/(_xlpm.max-_xlpm.min)*100,
 IF(_xlpm.persen&lt;=25,"Total Pass Sangat Sedikit",
   IF(_xlpm.persen&lt;=50,"Total Pass Cukup Sedikit",
     IF(_xlpm.persen&lt;=75,"Total Pass Cukup Banyak",
       "Total Pass Sangat Banyak"))))</f>
        <v>Total Pass Cukup Banyak</v>
      </c>
      <c r="T195" t="str">
        <f t="shared" ref="T195:T258" si="33">_xlfn.LET(
 _xlpm.x,E195,
 _xlpm.min,MIN($E$2:$E$761),
 _xlpm.max,MAX($E$2:$E$761),
 _xlpm.persen,(_xlpm.x-_xlpm.min)/(_xlpm.max-_xlpm.min)*100,
 IF(_xlpm.persen&lt;=25,"Pass Sukses Sangat Sedikit",
   IF(_xlpm.persen&lt;=50,"Pass Sukses Cukup Sedikit",
     IF(_xlpm.persen&lt;=75,"Pass Sukses Cukup Banyak",
       "Pass Sukses Sangat Banyak"))))</f>
        <v>Pass Sukses Cukup Banyak</v>
      </c>
      <c r="U195" t="str">
        <f t="shared" ref="U195:U258" si="34">_xlfn.LET(
 _xlpm.x,J195,
 _xlpm.min,MIN($J$2:$J$761),
 _xlpm.max,MAX($J$2:$J$761),
 _xlpm.persen,(_xlpm.x-_xlpm.min)/(_xlpm.max-_xlpm.min)*100,
 IF(_xlpm.persen&lt;=25,"Total Shot Sangat Sedikit",
   IF(_xlpm.persen&lt;=50,"Total Shot Cukup Sedikit",
     IF(_xlpm.persen&lt;=75,"Total Shot Cukup Banyak",
       "Total Shot Sangat Banyak"))))</f>
        <v>Total Shot Sangat Sedikit</v>
      </c>
      <c r="V195" t="str">
        <f t="shared" si="27"/>
        <v>Shot on Target Tinggi</v>
      </c>
      <c r="W195" t="str">
        <f t="shared" si="28"/>
        <v>Fouls Rendah</v>
      </c>
      <c r="X195" t="str">
        <f t="shared" si="29"/>
        <v>Corner Tinggi</v>
      </c>
      <c r="Y195" t="str">
        <f t="shared" ref="Y195:Y258" si="35">IF(N195&lt;$Y$1,"Yellow Card Rendah","Yellow Card Tinggi")</f>
        <v>Yellow Card Rendah</v>
      </c>
      <c r="Z195" t="str">
        <f t="shared" ref="Z195:Z258" si="36">IF(O195&lt;$Z$1,"Red Card Rendah","Red Card Tinggi")</f>
        <v>Red Card Rendah</v>
      </c>
    </row>
    <row r="196" spans="1:26" x14ac:dyDescent="0.25">
      <c r="A196" t="s">
        <v>47</v>
      </c>
      <c r="B196">
        <v>0.3</v>
      </c>
      <c r="C196">
        <v>50</v>
      </c>
      <c r="D196">
        <v>494</v>
      </c>
      <c r="E196">
        <v>412</v>
      </c>
      <c r="F196">
        <v>0</v>
      </c>
      <c r="G196" t="s">
        <v>40</v>
      </c>
      <c r="H196">
        <v>0</v>
      </c>
      <c r="I196" t="s">
        <v>40</v>
      </c>
      <c r="J196">
        <v>8</v>
      </c>
      <c r="K196">
        <v>1</v>
      </c>
      <c r="L196">
        <v>10</v>
      </c>
      <c r="M196">
        <v>2</v>
      </c>
      <c r="N196">
        <v>2</v>
      </c>
      <c r="O196">
        <v>0</v>
      </c>
      <c r="Q196" t="str">
        <f t="shared" si="30"/>
        <v>xG Sangat Sedikit</v>
      </c>
      <c r="R196" t="str">
        <f t="shared" si="31"/>
        <v>Possession Cukup Sedikit</v>
      </c>
      <c r="S196" t="str">
        <f t="shared" si="32"/>
        <v>Total Pass Cukup Sedikit</v>
      </c>
      <c r="T196" t="str">
        <f t="shared" si="33"/>
        <v>Pass Sukses Cukup Sedikit</v>
      </c>
      <c r="U196" t="str">
        <f t="shared" si="34"/>
        <v>Total Shot Sangat Sedikit</v>
      </c>
      <c r="V196" t="str">
        <f t="shared" ref="V196:V259" si="37">IF(K196&gt;$V$1,"Shot on Target Tinggi",IF(K196&gt;($V$1/5*4),"Shot on Target Normal","Shot on Target Rendah"))</f>
        <v>Shot on Target Rendah</v>
      </c>
      <c r="W196" t="str">
        <f t="shared" ref="W196:W259" si="38">IF(L196&gt;$W$1,"Fouls Tinggi",IF(L196&gt;($W$1/5*4),"Fouls Normal","Fouls Rendah"))</f>
        <v>Fouls Normal</v>
      </c>
      <c r="X196" t="str">
        <f t="shared" ref="X196:X259" si="39">IF(M196&gt;$X$1,"Corner Tinggi",IF(M196&gt;($X$1/5*4),"Corner Normal","Corner Rendah"))</f>
        <v>Corner Rendah</v>
      </c>
      <c r="Y196" t="str">
        <f t="shared" si="35"/>
        <v>Yellow Card Rendah</v>
      </c>
      <c r="Z196" t="str">
        <f t="shared" si="36"/>
        <v>Red Card Rendah</v>
      </c>
    </row>
    <row r="197" spans="1:26" x14ac:dyDescent="0.25">
      <c r="A197" t="s">
        <v>45</v>
      </c>
      <c r="B197">
        <v>1.5</v>
      </c>
      <c r="C197">
        <v>45</v>
      </c>
      <c r="D197">
        <v>451</v>
      </c>
      <c r="E197">
        <v>379</v>
      </c>
      <c r="F197">
        <v>1</v>
      </c>
      <c r="G197" t="s">
        <v>36</v>
      </c>
      <c r="H197">
        <v>0</v>
      </c>
      <c r="I197" t="s">
        <v>40</v>
      </c>
      <c r="J197">
        <v>11</v>
      </c>
      <c r="K197">
        <v>4</v>
      </c>
      <c r="L197">
        <v>17</v>
      </c>
      <c r="M197">
        <v>2</v>
      </c>
      <c r="N197">
        <v>2</v>
      </c>
      <c r="O197">
        <v>0</v>
      </c>
      <c r="Q197" t="str">
        <f t="shared" si="30"/>
        <v>xG Cukup Sedikit</v>
      </c>
      <c r="R197" t="str">
        <f t="shared" si="31"/>
        <v>Possession Cukup Sedikit</v>
      </c>
      <c r="S197" t="str">
        <f t="shared" si="32"/>
        <v>Total Pass Cukup Sedikit</v>
      </c>
      <c r="T197" t="str">
        <f t="shared" si="33"/>
        <v>Pass Sukses Cukup Sedikit</v>
      </c>
      <c r="U197" t="str">
        <f t="shared" si="34"/>
        <v>Total Shot Cukup Sedikit</v>
      </c>
      <c r="V197" t="str">
        <f t="shared" si="37"/>
        <v>Shot on Target Normal</v>
      </c>
      <c r="W197" t="str">
        <f t="shared" si="38"/>
        <v>Fouls Tinggi</v>
      </c>
      <c r="X197" t="str">
        <f t="shared" si="39"/>
        <v>Corner Rendah</v>
      </c>
      <c r="Y197" t="str">
        <f t="shared" si="35"/>
        <v>Yellow Card Rendah</v>
      </c>
      <c r="Z197" t="str">
        <f t="shared" si="36"/>
        <v>Red Card Rendah</v>
      </c>
    </row>
    <row r="198" spans="1:26" x14ac:dyDescent="0.25">
      <c r="A198" t="s">
        <v>34</v>
      </c>
      <c r="B198">
        <v>2.2000000000000002</v>
      </c>
      <c r="C198">
        <v>73</v>
      </c>
      <c r="D198">
        <v>745</v>
      </c>
      <c r="E198">
        <v>633</v>
      </c>
      <c r="F198">
        <v>2</v>
      </c>
      <c r="G198" t="s">
        <v>36</v>
      </c>
      <c r="H198">
        <v>0</v>
      </c>
      <c r="I198" t="s">
        <v>40</v>
      </c>
      <c r="J198">
        <v>15</v>
      </c>
      <c r="K198">
        <v>4</v>
      </c>
      <c r="L198">
        <v>10</v>
      </c>
      <c r="M198">
        <v>9</v>
      </c>
      <c r="N198">
        <v>1</v>
      </c>
      <c r="O198">
        <v>0</v>
      </c>
      <c r="Q198" t="str">
        <f t="shared" si="30"/>
        <v>xG Cukup Sedikit</v>
      </c>
      <c r="R198" t="str">
        <f t="shared" si="31"/>
        <v>Possession Sangat Banyak</v>
      </c>
      <c r="S198" t="str">
        <f t="shared" si="32"/>
        <v>Total Pass Sangat Banyak</v>
      </c>
      <c r="T198" t="str">
        <f t="shared" si="33"/>
        <v>Pass Sukses Sangat Banyak</v>
      </c>
      <c r="U198" t="str">
        <f t="shared" si="34"/>
        <v>Total Shot Cukup Sedikit</v>
      </c>
      <c r="V198" t="str">
        <f t="shared" si="37"/>
        <v>Shot on Target Normal</v>
      </c>
      <c r="W198" t="str">
        <f t="shared" si="38"/>
        <v>Fouls Normal</v>
      </c>
      <c r="X198" t="str">
        <f t="shared" si="39"/>
        <v>Corner Tinggi</v>
      </c>
      <c r="Y198" t="str">
        <f t="shared" si="35"/>
        <v>Yellow Card Rendah</v>
      </c>
      <c r="Z198" t="str">
        <f t="shared" si="36"/>
        <v>Red Card Rendah</v>
      </c>
    </row>
    <row r="199" spans="1:26" x14ac:dyDescent="0.25">
      <c r="A199" t="s">
        <v>39</v>
      </c>
      <c r="B199">
        <v>2.7</v>
      </c>
      <c r="C199">
        <v>53</v>
      </c>
      <c r="D199">
        <v>477</v>
      </c>
      <c r="E199">
        <v>388</v>
      </c>
      <c r="F199">
        <v>2</v>
      </c>
      <c r="G199" t="s">
        <v>36</v>
      </c>
      <c r="H199">
        <v>0</v>
      </c>
      <c r="I199" t="s">
        <v>36</v>
      </c>
      <c r="J199">
        <v>19</v>
      </c>
      <c r="K199">
        <v>6</v>
      </c>
      <c r="L199">
        <v>10</v>
      </c>
      <c r="M199">
        <v>6</v>
      </c>
      <c r="N199">
        <v>2</v>
      </c>
      <c r="O199">
        <v>0</v>
      </c>
      <c r="Q199" t="str">
        <f t="shared" si="30"/>
        <v>xG Cukup Sedikit</v>
      </c>
      <c r="R199" t="str">
        <f t="shared" si="31"/>
        <v>Possession Cukup Banyak</v>
      </c>
      <c r="S199" t="str">
        <f t="shared" si="32"/>
        <v>Total Pass Cukup Sedikit</v>
      </c>
      <c r="T199" t="str">
        <f t="shared" si="33"/>
        <v>Pass Sukses Cukup Sedikit</v>
      </c>
      <c r="U199" t="str">
        <f t="shared" si="34"/>
        <v>Total Shot Cukup Sedikit</v>
      </c>
      <c r="V199" t="str">
        <f t="shared" si="37"/>
        <v>Shot on Target Tinggi</v>
      </c>
      <c r="W199" t="str">
        <f t="shared" si="38"/>
        <v>Fouls Normal</v>
      </c>
      <c r="X199" t="str">
        <f t="shared" si="39"/>
        <v>Corner Tinggi</v>
      </c>
      <c r="Y199" t="str">
        <f t="shared" si="35"/>
        <v>Yellow Card Rendah</v>
      </c>
      <c r="Z199" t="str">
        <f t="shared" si="36"/>
        <v>Red Card Rendah</v>
      </c>
    </row>
    <row r="200" spans="1:26" x14ac:dyDescent="0.25">
      <c r="A200" t="s">
        <v>43</v>
      </c>
      <c r="B200">
        <v>1.5</v>
      </c>
      <c r="C200">
        <v>60</v>
      </c>
      <c r="D200">
        <v>600</v>
      </c>
      <c r="E200">
        <v>491</v>
      </c>
      <c r="F200">
        <v>0</v>
      </c>
      <c r="G200" t="s">
        <v>40</v>
      </c>
      <c r="H200">
        <v>0</v>
      </c>
      <c r="I200" t="s">
        <v>40</v>
      </c>
      <c r="J200">
        <v>13</v>
      </c>
      <c r="K200">
        <v>6</v>
      </c>
      <c r="L200">
        <v>10</v>
      </c>
      <c r="M200">
        <v>5</v>
      </c>
      <c r="N200">
        <v>1</v>
      </c>
      <c r="O200">
        <v>0</v>
      </c>
      <c r="Q200" t="str">
        <f t="shared" si="30"/>
        <v>xG Cukup Sedikit</v>
      </c>
      <c r="R200" t="str">
        <f t="shared" si="31"/>
        <v>Possession Cukup Banyak</v>
      </c>
      <c r="S200" t="str">
        <f t="shared" si="32"/>
        <v>Total Pass Cukup Banyak</v>
      </c>
      <c r="T200" t="str">
        <f t="shared" si="33"/>
        <v>Pass Sukses Cukup Banyak</v>
      </c>
      <c r="U200" t="str">
        <f t="shared" si="34"/>
        <v>Total Shot Cukup Sedikit</v>
      </c>
      <c r="V200" t="str">
        <f t="shared" si="37"/>
        <v>Shot on Target Tinggi</v>
      </c>
      <c r="W200" t="str">
        <f t="shared" si="38"/>
        <v>Fouls Normal</v>
      </c>
      <c r="X200" t="str">
        <f t="shared" si="39"/>
        <v>Corner Normal</v>
      </c>
      <c r="Y200" t="str">
        <f t="shared" si="35"/>
        <v>Yellow Card Rendah</v>
      </c>
      <c r="Z200" t="str">
        <f t="shared" si="36"/>
        <v>Red Card Rendah</v>
      </c>
    </row>
    <row r="201" spans="1:26" x14ac:dyDescent="0.25">
      <c r="A201" t="s">
        <v>54</v>
      </c>
      <c r="B201">
        <v>2.5</v>
      </c>
      <c r="C201">
        <v>45</v>
      </c>
      <c r="D201">
        <v>456</v>
      </c>
      <c r="E201">
        <v>354</v>
      </c>
      <c r="F201">
        <v>2</v>
      </c>
      <c r="G201" t="s">
        <v>36</v>
      </c>
      <c r="H201">
        <v>0</v>
      </c>
      <c r="I201" t="s">
        <v>36</v>
      </c>
      <c r="J201">
        <v>18</v>
      </c>
      <c r="K201">
        <v>6</v>
      </c>
      <c r="L201">
        <v>4</v>
      </c>
      <c r="M201">
        <v>4</v>
      </c>
      <c r="N201">
        <v>0</v>
      </c>
      <c r="O201">
        <v>0</v>
      </c>
      <c r="Q201" t="str">
        <f t="shared" si="30"/>
        <v>xG Cukup Sedikit</v>
      </c>
      <c r="R201" t="str">
        <f t="shared" si="31"/>
        <v>Possession Cukup Sedikit</v>
      </c>
      <c r="S201" t="str">
        <f t="shared" si="32"/>
        <v>Total Pass Cukup Sedikit</v>
      </c>
      <c r="T201" t="str">
        <f t="shared" si="33"/>
        <v>Pass Sukses Cukup Sedikit</v>
      </c>
      <c r="U201" t="str">
        <f t="shared" si="34"/>
        <v>Total Shot Cukup Sedikit</v>
      </c>
      <c r="V201" t="str">
        <f t="shared" si="37"/>
        <v>Shot on Target Tinggi</v>
      </c>
      <c r="W201" t="str">
        <f t="shared" si="38"/>
        <v>Fouls Rendah</v>
      </c>
      <c r="X201" t="str">
        <f t="shared" si="39"/>
        <v>Corner Rendah</v>
      </c>
      <c r="Y201" t="str">
        <f t="shared" si="35"/>
        <v>Yellow Card Rendah</v>
      </c>
      <c r="Z201" t="str">
        <f t="shared" si="36"/>
        <v>Red Card Rendah</v>
      </c>
    </row>
    <row r="202" spans="1:26" x14ac:dyDescent="0.25">
      <c r="A202" t="s">
        <v>57</v>
      </c>
      <c r="B202">
        <v>2.5</v>
      </c>
      <c r="C202">
        <v>57</v>
      </c>
      <c r="D202">
        <v>470</v>
      </c>
      <c r="E202">
        <v>382</v>
      </c>
      <c r="F202">
        <v>2</v>
      </c>
      <c r="G202" t="s">
        <v>36</v>
      </c>
      <c r="H202">
        <v>1</v>
      </c>
      <c r="I202" t="s">
        <v>35</v>
      </c>
      <c r="J202">
        <v>26</v>
      </c>
      <c r="K202">
        <v>10</v>
      </c>
      <c r="L202">
        <v>15</v>
      </c>
      <c r="M202">
        <v>9</v>
      </c>
      <c r="N202">
        <v>2</v>
      </c>
      <c r="O202">
        <v>0</v>
      </c>
      <c r="Q202" t="str">
        <f t="shared" si="30"/>
        <v>xG Cukup Sedikit</v>
      </c>
      <c r="R202" t="str">
        <f t="shared" si="31"/>
        <v>Possession Cukup Banyak</v>
      </c>
      <c r="S202" t="str">
        <f t="shared" si="32"/>
        <v>Total Pass Cukup Sedikit</v>
      </c>
      <c r="T202" t="str">
        <f t="shared" si="33"/>
        <v>Pass Sukses Cukup Sedikit</v>
      </c>
      <c r="U202" t="str">
        <f t="shared" si="34"/>
        <v>Total Shot Cukup Banyak</v>
      </c>
      <c r="V202" t="str">
        <f t="shared" si="37"/>
        <v>Shot on Target Tinggi</v>
      </c>
      <c r="W202" t="str">
        <f t="shared" si="38"/>
        <v>Fouls Tinggi</v>
      </c>
      <c r="X202" t="str">
        <f t="shared" si="39"/>
        <v>Corner Tinggi</v>
      </c>
      <c r="Y202" t="str">
        <f t="shared" si="35"/>
        <v>Yellow Card Rendah</v>
      </c>
      <c r="Z202" t="str">
        <f t="shared" si="36"/>
        <v>Red Card Rendah</v>
      </c>
    </row>
    <row r="203" spans="1:26" x14ac:dyDescent="0.25">
      <c r="A203" t="s">
        <v>51</v>
      </c>
      <c r="B203">
        <v>1</v>
      </c>
      <c r="C203">
        <v>44</v>
      </c>
      <c r="D203">
        <v>442</v>
      </c>
      <c r="E203">
        <v>356</v>
      </c>
      <c r="F203">
        <v>3</v>
      </c>
      <c r="G203" t="s">
        <v>35</v>
      </c>
      <c r="H203">
        <v>2</v>
      </c>
      <c r="I203" t="s">
        <v>35</v>
      </c>
      <c r="J203">
        <v>4</v>
      </c>
      <c r="K203">
        <v>3</v>
      </c>
      <c r="L203">
        <v>9</v>
      </c>
      <c r="M203">
        <v>0</v>
      </c>
      <c r="N203">
        <v>3</v>
      </c>
      <c r="O203">
        <v>0</v>
      </c>
      <c r="Q203" t="str">
        <f t="shared" si="30"/>
        <v>xG Sangat Sedikit</v>
      </c>
      <c r="R203" t="str">
        <f t="shared" si="31"/>
        <v>Possession Cukup Sedikit</v>
      </c>
      <c r="S203" t="str">
        <f t="shared" si="32"/>
        <v>Total Pass Cukup Sedikit</v>
      </c>
      <c r="T203" t="str">
        <f t="shared" si="33"/>
        <v>Pass Sukses Cukup Sedikit</v>
      </c>
      <c r="U203" t="str">
        <f t="shared" si="34"/>
        <v>Total Shot Sangat Sedikit</v>
      </c>
      <c r="V203" t="str">
        <f t="shared" si="37"/>
        <v>Shot on Target Rendah</v>
      </c>
      <c r="W203" t="str">
        <f t="shared" si="38"/>
        <v>Fouls Normal</v>
      </c>
      <c r="X203" t="str">
        <f t="shared" si="39"/>
        <v>Corner Rendah</v>
      </c>
      <c r="Y203" t="str">
        <f t="shared" si="35"/>
        <v>Yellow Card Tinggi</v>
      </c>
      <c r="Z203" t="str">
        <f t="shared" si="36"/>
        <v>Red Card Rendah</v>
      </c>
    </row>
    <row r="204" spans="1:26" x14ac:dyDescent="0.25">
      <c r="A204" t="s">
        <v>48</v>
      </c>
      <c r="B204">
        <v>0.3</v>
      </c>
      <c r="C204">
        <v>30</v>
      </c>
      <c r="D204">
        <v>268</v>
      </c>
      <c r="E204">
        <v>168</v>
      </c>
      <c r="F204">
        <v>1</v>
      </c>
      <c r="G204" t="s">
        <v>36</v>
      </c>
      <c r="H204">
        <v>1</v>
      </c>
      <c r="I204" t="s">
        <v>35</v>
      </c>
      <c r="J204">
        <v>6</v>
      </c>
      <c r="K204">
        <v>3</v>
      </c>
      <c r="L204">
        <v>7</v>
      </c>
      <c r="M204">
        <v>0</v>
      </c>
      <c r="N204">
        <v>2</v>
      </c>
      <c r="O204">
        <v>0</v>
      </c>
      <c r="Q204" t="str">
        <f t="shared" si="30"/>
        <v>xG Sangat Sedikit</v>
      </c>
      <c r="R204" t="str">
        <f t="shared" si="31"/>
        <v>Possession Sangat Sedikit</v>
      </c>
      <c r="S204" t="str">
        <f t="shared" si="32"/>
        <v>Total Pass Sangat Sedikit</v>
      </c>
      <c r="T204" t="str">
        <f t="shared" si="33"/>
        <v>Pass Sukses Sangat Sedikit</v>
      </c>
      <c r="U204" t="str">
        <f t="shared" si="34"/>
        <v>Total Shot Sangat Sedikit</v>
      </c>
      <c r="V204" t="str">
        <f t="shared" si="37"/>
        <v>Shot on Target Rendah</v>
      </c>
      <c r="W204" t="str">
        <f t="shared" si="38"/>
        <v>Fouls Rendah</v>
      </c>
      <c r="X204" t="str">
        <f t="shared" si="39"/>
        <v>Corner Rendah</v>
      </c>
      <c r="Y204" t="str">
        <f t="shared" si="35"/>
        <v>Yellow Card Rendah</v>
      </c>
      <c r="Z204" t="str">
        <f t="shared" si="36"/>
        <v>Red Card Rendah</v>
      </c>
    </row>
    <row r="205" spans="1:26" x14ac:dyDescent="0.25">
      <c r="A205" t="s">
        <v>44</v>
      </c>
      <c r="B205">
        <v>1.1000000000000001</v>
      </c>
      <c r="C205">
        <v>50</v>
      </c>
      <c r="D205">
        <v>468</v>
      </c>
      <c r="E205">
        <v>363</v>
      </c>
      <c r="F205">
        <v>0</v>
      </c>
      <c r="G205" t="s">
        <v>40</v>
      </c>
      <c r="H205">
        <v>0</v>
      </c>
      <c r="I205" t="s">
        <v>36</v>
      </c>
      <c r="J205">
        <v>10</v>
      </c>
      <c r="K205">
        <v>3</v>
      </c>
      <c r="L205">
        <v>17</v>
      </c>
      <c r="M205">
        <v>8</v>
      </c>
      <c r="N205">
        <v>2</v>
      </c>
      <c r="O205">
        <v>0</v>
      </c>
      <c r="Q205" t="str">
        <f t="shared" si="30"/>
        <v>xG Sangat Sedikit</v>
      </c>
      <c r="R205" t="str">
        <f t="shared" si="31"/>
        <v>Possession Cukup Sedikit</v>
      </c>
      <c r="S205" t="str">
        <f t="shared" si="32"/>
        <v>Total Pass Cukup Sedikit</v>
      </c>
      <c r="T205" t="str">
        <f t="shared" si="33"/>
        <v>Pass Sukses Cukup Sedikit</v>
      </c>
      <c r="U205" t="str">
        <f t="shared" si="34"/>
        <v>Total Shot Sangat Sedikit</v>
      </c>
      <c r="V205" t="str">
        <f t="shared" si="37"/>
        <v>Shot on Target Rendah</v>
      </c>
      <c r="W205" t="str">
        <f t="shared" si="38"/>
        <v>Fouls Tinggi</v>
      </c>
      <c r="X205" t="str">
        <f t="shared" si="39"/>
        <v>Corner Tinggi</v>
      </c>
      <c r="Y205" t="str">
        <f t="shared" si="35"/>
        <v>Yellow Card Rendah</v>
      </c>
      <c r="Z205" t="str">
        <f t="shared" si="36"/>
        <v>Red Card Rendah</v>
      </c>
    </row>
    <row r="206" spans="1:26" x14ac:dyDescent="0.25">
      <c r="A206" t="s">
        <v>59</v>
      </c>
      <c r="B206">
        <v>1.7</v>
      </c>
      <c r="C206">
        <v>57</v>
      </c>
      <c r="D206">
        <v>656</v>
      </c>
      <c r="E206">
        <v>549</v>
      </c>
      <c r="F206">
        <v>0</v>
      </c>
      <c r="G206" t="s">
        <v>40</v>
      </c>
      <c r="H206">
        <v>0</v>
      </c>
      <c r="I206" t="s">
        <v>36</v>
      </c>
      <c r="J206">
        <v>21</v>
      </c>
      <c r="K206">
        <v>4</v>
      </c>
      <c r="L206">
        <v>7</v>
      </c>
      <c r="M206">
        <v>4</v>
      </c>
      <c r="N206">
        <v>0</v>
      </c>
      <c r="O206">
        <v>0</v>
      </c>
      <c r="Q206" t="str">
        <f t="shared" si="30"/>
        <v>xG Cukup Sedikit</v>
      </c>
      <c r="R206" t="str">
        <f t="shared" si="31"/>
        <v>Possession Cukup Banyak</v>
      </c>
      <c r="S206" t="str">
        <f t="shared" si="32"/>
        <v>Total Pass Cukup Banyak</v>
      </c>
      <c r="T206" t="str">
        <f t="shared" si="33"/>
        <v>Pass Sukses Cukup Banyak</v>
      </c>
      <c r="U206" t="str">
        <f t="shared" si="34"/>
        <v>Total Shot Cukup Banyak</v>
      </c>
      <c r="V206" t="str">
        <f t="shared" si="37"/>
        <v>Shot on Target Normal</v>
      </c>
      <c r="W206" t="str">
        <f t="shared" si="38"/>
        <v>Fouls Rendah</v>
      </c>
      <c r="X206" t="str">
        <f t="shared" si="39"/>
        <v>Corner Rendah</v>
      </c>
      <c r="Y206" t="str">
        <f t="shared" si="35"/>
        <v>Yellow Card Rendah</v>
      </c>
      <c r="Z206" t="str">
        <f t="shared" si="36"/>
        <v>Red Card Rendah</v>
      </c>
    </row>
    <row r="207" spans="1:26" x14ac:dyDescent="0.25">
      <c r="A207" t="s">
        <v>46</v>
      </c>
      <c r="B207">
        <v>2.1</v>
      </c>
      <c r="C207">
        <v>60</v>
      </c>
      <c r="D207">
        <v>626</v>
      </c>
      <c r="E207">
        <v>534</v>
      </c>
      <c r="F207">
        <v>3</v>
      </c>
      <c r="G207" t="s">
        <v>35</v>
      </c>
      <c r="H207">
        <v>1</v>
      </c>
      <c r="I207" t="s">
        <v>35</v>
      </c>
      <c r="J207">
        <v>17</v>
      </c>
      <c r="K207">
        <v>5</v>
      </c>
      <c r="L207">
        <v>10</v>
      </c>
      <c r="M207">
        <v>4</v>
      </c>
      <c r="N207">
        <v>0</v>
      </c>
      <c r="O207">
        <v>0</v>
      </c>
      <c r="Q207" t="str">
        <f t="shared" si="30"/>
        <v>xG Cukup Sedikit</v>
      </c>
      <c r="R207" t="str">
        <f t="shared" si="31"/>
        <v>Possession Cukup Banyak</v>
      </c>
      <c r="S207" t="str">
        <f t="shared" si="32"/>
        <v>Total Pass Cukup Banyak</v>
      </c>
      <c r="T207" t="str">
        <f t="shared" si="33"/>
        <v>Pass Sukses Cukup Banyak</v>
      </c>
      <c r="U207" t="str">
        <f t="shared" si="34"/>
        <v>Total Shot Cukup Sedikit</v>
      </c>
      <c r="V207" t="str">
        <f t="shared" si="37"/>
        <v>Shot on Target Tinggi</v>
      </c>
      <c r="W207" t="str">
        <f t="shared" si="38"/>
        <v>Fouls Normal</v>
      </c>
      <c r="X207" t="str">
        <f t="shared" si="39"/>
        <v>Corner Rendah</v>
      </c>
      <c r="Y207" t="str">
        <f t="shared" si="35"/>
        <v>Yellow Card Rendah</v>
      </c>
      <c r="Z207" t="str">
        <f t="shared" si="36"/>
        <v>Red Card Rendah</v>
      </c>
    </row>
    <row r="208" spans="1:26" x14ac:dyDescent="0.25">
      <c r="A208" t="s">
        <v>42</v>
      </c>
      <c r="B208">
        <v>1.4</v>
      </c>
      <c r="C208">
        <v>53</v>
      </c>
      <c r="D208">
        <v>469</v>
      </c>
      <c r="E208">
        <v>378</v>
      </c>
      <c r="F208">
        <v>2</v>
      </c>
      <c r="G208" t="s">
        <v>35</v>
      </c>
      <c r="H208">
        <v>2</v>
      </c>
      <c r="I208" t="s">
        <v>35</v>
      </c>
      <c r="J208">
        <v>14</v>
      </c>
      <c r="K208">
        <v>4</v>
      </c>
      <c r="L208">
        <v>16</v>
      </c>
      <c r="M208">
        <v>10</v>
      </c>
      <c r="N208">
        <v>3</v>
      </c>
      <c r="O208">
        <v>0</v>
      </c>
      <c r="Q208" t="str">
        <f t="shared" si="30"/>
        <v>xG Sangat Sedikit</v>
      </c>
      <c r="R208" t="str">
        <f t="shared" si="31"/>
        <v>Possession Cukup Banyak</v>
      </c>
      <c r="S208" t="str">
        <f t="shared" si="32"/>
        <v>Total Pass Cukup Sedikit</v>
      </c>
      <c r="T208" t="str">
        <f t="shared" si="33"/>
        <v>Pass Sukses Cukup Sedikit</v>
      </c>
      <c r="U208" t="str">
        <f t="shared" si="34"/>
        <v>Total Shot Cukup Sedikit</v>
      </c>
      <c r="V208" t="str">
        <f t="shared" si="37"/>
        <v>Shot on Target Normal</v>
      </c>
      <c r="W208" t="str">
        <f t="shared" si="38"/>
        <v>Fouls Tinggi</v>
      </c>
      <c r="X208" t="str">
        <f t="shared" si="39"/>
        <v>Corner Tinggi</v>
      </c>
      <c r="Y208" t="str">
        <f t="shared" si="35"/>
        <v>Yellow Card Tinggi</v>
      </c>
      <c r="Z208" t="str">
        <f t="shared" si="36"/>
        <v>Red Card Rendah</v>
      </c>
    </row>
    <row r="209" spans="1:26" x14ac:dyDescent="0.25">
      <c r="A209" t="s">
        <v>38</v>
      </c>
      <c r="B209">
        <v>0.3</v>
      </c>
      <c r="C209">
        <v>47</v>
      </c>
      <c r="D209">
        <v>437</v>
      </c>
      <c r="E209">
        <v>357</v>
      </c>
      <c r="F209">
        <v>0</v>
      </c>
      <c r="G209" t="s">
        <v>40</v>
      </c>
      <c r="H209">
        <v>0</v>
      </c>
      <c r="I209" t="s">
        <v>36</v>
      </c>
      <c r="J209">
        <v>5</v>
      </c>
      <c r="K209">
        <v>3</v>
      </c>
      <c r="L209">
        <v>13</v>
      </c>
      <c r="M209">
        <v>1</v>
      </c>
      <c r="N209">
        <v>2</v>
      </c>
      <c r="O209">
        <v>0</v>
      </c>
      <c r="Q209" t="str">
        <f t="shared" si="30"/>
        <v>xG Sangat Sedikit</v>
      </c>
      <c r="R209" t="str">
        <f t="shared" si="31"/>
        <v>Possession Cukup Sedikit</v>
      </c>
      <c r="S209" t="str">
        <f t="shared" si="32"/>
        <v>Total Pass Cukup Sedikit</v>
      </c>
      <c r="T209" t="str">
        <f t="shared" si="33"/>
        <v>Pass Sukses Cukup Sedikit</v>
      </c>
      <c r="U209" t="str">
        <f t="shared" si="34"/>
        <v>Total Shot Sangat Sedikit</v>
      </c>
      <c r="V209" t="str">
        <f t="shared" si="37"/>
        <v>Shot on Target Rendah</v>
      </c>
      <c r="W209" t="str">
        <f t="shared" si="38"/>
        <v>Fouls Tinggi</v>
      </c>
      <c r="X209" t="str">
        <f t="shared" si="39"/>
        <v>Corner Rendah</v>
      </c>
      <c r="Y209" t="str">
        <f t="shared" si="35"/>
        <v>Yellow Card Rendah</v>
      </c>
      <c r="Z209" t="str">
        <f t="shared" si="36"/>
        <v>Red Card Rendah</v>
      </c>
    </row>
    <row r="210" spans="1:26" x14ac:dyDescent="0.25">
      <c r="A210" t="s">
        <v>33</v>
      </c>
      <c r="B210">
        <v>3.4</v>
      </c>
      <c r="C210">
        <v>60</v>
      </c>
      <c r="D210">
        <v>628</v>
      </c>
      <c r="E210">
        <v>522</v>
      </c>
      <c r="F210">
        <v>3</v>
      </c>
      <c r="G210" t="s">
        <v>35</v>
      </c>
      <c r="H210">
        <v>0</v>
      </c>
      <c r="I210" t="s">
        <v>40</v>
      </c>
      <c r="J210">
        <v>23</v>
      </c>
      <c r="K210">
        <v>9</v>
      </c>
      <c r="L210">
        <v>7</v>
      </c>
      <c r="M210">
        <v>5</v>
      </c>
      <c r="N210">
        <v>1</v>
      </c>
      <c r="O210">
        <v>0</v>
      </c>
      <c r="Q210" t="str">
        <f t="shared" si="30"/>
        <v>xG Cukup Banyak</v>
      </c>
      <c r="R210" t="str">
        <f t="shared" si="31"/>
        <v>Possession Cukup Banyak</v>
      </c>
      <c r="S210" t="str">
        <f t="shared" si="32"/>
        <v>Total Pass Cukup Banyak</v>
      </c>
      <c r="T210" t="str">
        <f t="shared" si="33"/>
        <v>Pass Sukses Cukup Banyak</v>
      </c>
      <c r="U210" t="str">
        <f t="shared" si="34"/>
        <v>Total Shot Cukup Banyak</v>
      </c>
      <c r="V210" t="str">
        <f t="shared" si="37"/>
        <v>Shot on Target Tinggi</v>
      </c>
      <c r="W210" t="str">
        <f t="shared" si="38"/>
        <v>Fouls Rendah</v>
      </c>
      <c r="X210" t="str">
        <f t="shared" si="39"/>
        <v>Corner Normal</v>
      </c>
      <c r="Y210" t="str">
        <f t="shared" si="35"/>
        <v>Yellow Card Rendah</v>
      </c>
      <c r="Z210" t="str">
        <f t="shared" si="36"/>
        <v>Red Card Rendah</v>
      </c>
    </row>
    <row r="211" spans="1:26" x14ac:dyDescent="0.25">
      <c r="A211" t="s">
        <v>46</v>
      </c>
      <c r="B211">
        <v>0.8</v>
      </c>
      <c r="C211">
        <v>56</v>
      </c>
      <c r="D211">
        <v>459</v>
      </c>
      <c r="E211">
        <v>347</v>
      </c>
      <c r="F211">
        <v>1</v>
      </c>
      <c r="G211" t="s">
        <v>40</v>
      </c>
      <c r="H211">
        <v>1</v>
      </c>
      <c r="I211" t="s">
        <v>40</v>
      </c>
      <c r="J211">
        <v>13</v>
      </c>
      <c r="K211">
        <v>5</v>
      </c>
      <c r="L211">
        <v>7</v>
      </c>
      <c r="M211">
        <v>7</v>
      </c>
      <c r="N211">
        <v>1</v>
      </c>
      <c r="O211">
        <v>0</v>
      </c>
      <c r="Q211" t="str">
        <f t="shared" si="30"/>
        <v>xG Sangat Sedikit</v>
      </c>
      <c r="R211" t="str">
        <f t="shared" si="31"/>
        <v>Possession Cukup Banyak</v>
      </c>
      <c r="S211" t="str">
        <f t="shared" si="32"/>
        <v>Total Pass Cukup Sedikit</v>
      </c>
      <c r="T211" t="str">
        <f t="shared" si="33"/>
        <v>Pass Sukses Cukup Sedikit</v>
      </c>
      <c r="U211" t="str">
        <f t="shared" si="34"/>
        <v>Total Shot Cukup Sedikit</v>
      </c>
      <c r="V211" t="str">
        <f t="shared" si="37"/>
        <v>Shot on Target Tinggi</v>
      </c>
      <c r="W211" t="str">
        <f t="shared" si="38"/>
        <v>Fouls Rendah</v>
      </c>
      <c r="X211" t="str">
        <f t="shared" si="39"/>
        <v>Corner Tinggi</v>
      </c>
      <c r="Y211" t="str">
        <f t="shared" si="35"/>
        <v>Yellow Card Rendah</v>
      </c>
      <c r="Z211" t="str">
        <f t="shared" si="36"/>
        <v>Red Card Rendah</v>
      </c>
    </row>
    <row r="212" spans="1:26" x14ac:dyDescent="0.25">
      <c r="A212" t="s">
        <v>54</v>
      </c>
      <c r="B212">
        <v>0.7</v>
      </c>
      <c r="C212">
        <v>40</v>
      </c>
      <c r="D212">
        <v>349</v>
      </c>
      <c r="E212">
        <v>267</v>
      </c>
      <c r="F212">
        <v>0</v>
      </c>
      <c r="G212" t="s">
        <v>40</v>
      </c>
      <c r="H212">
        <v>0</v>
      </c>
      <c r="I212" t="s">
        <v>36</v>
      </c>
      <c r="J212">
        <v>11</v>
      </c>
      <c r="K212">
        <v>6</v>
      </c>
      <c r="L212">
        <v>6</v>
      </c>
      <c r="M212">
        <v>2</v>
      </c>
      <c r="N212">
        <v>2</v>
      </c>
      <c r="O212">
        <v>0</v>
      </c>
      <c r="Q212" t="str">
        <f t="shared" si="30"/>
        <v>xG Sangat Sedikit</v>
      </c>
      <c r="R212" t="str">
        <f t="shared" si="31"/>
        <v>Possession Cukup Sedikit</v>
      </c>
      <c r="S212" t="str">
        <f t="shared" si="32"/>
        <v>Total Pass Sangat Sedikit</v>
      </c>
      <c r="T212" t="str">
        <f t="shared" si="33"/>
        <v>Pass Sukses Sangat Sedikit</v>
      </c>
      <c r="U212" t="str">
        <f t="shared" si="34"/>
        <v>Total Shot Cukup Sedikit</v>
      </c>
      <c r="V212" t="str">
        <f t="shared" si="37"/>
        <v>Shot on Target Tinggi</v>
      </c>
      <c r="W212" t="str">
        <f t="shared" si="38"/>
        <v>Fouls Rendah</v>
      </c>
      <c r="X212" t="str">
        <f t="shared" si="39"/>
        <v>Corner Rendah</v>
      </c>
      <c r="Y212" t="str">
        <f t="shared" si="35"/>
        <v>Yellow Card Rendah</v>
      </c>
      <c r="Z212" t="str">
        <f t="shared" si="36"/>
        <v>Red Card Rendah</v>
      </c>
    </row>
    <row r="213" spans="1:26" x14ac:dyDescent="0.25">
      <c r="A213" t="s">
        <v>59</v>
      </c>
      <c r="B213">
        <v>0.6</v>
      </c>
      <c r="C213">
        <v>40</v>
      </c>
      <c r="D213">
        <v>420</v>
      </c>
      <c r="E213">
        <v>317</v>
      </c>
      <c r="F213">
        <v>0</v>
      </c>
      <c r="G213" t="s">
        <v>40</v>
      </c>
      <c r="H213">
        <v>0</v>
      </c>
      <c r="I213" t="s">
        <v>36</v>
      </c>
      <c r="J213">
        <v>8</v>
      </c>
      <c r="K213">
        <v>4</v>
      </c>
      <c r="L213">
        <v>8</v>
      </c>
      <c r="M213">
        <v>5</v>
      </c>
      <c r="N213">
        <v>3</v>
      </c>
      <c r="O213">
        <v>0</v>
      </c>
      <c r="Q213" t="str">
        <f t="shared" si="30"/>
        <v>xG Sangat Sedikit</v>
      </c>
      <c r="R213" t="str">
        <f t="shared" si="31"/>
        <v>Possession Cukup Sedikit</v>
      </c>
      <c r="S213" t="str">
        <f t="shared" si="32"/>
        <v>Total Pass Cukup Sedikit</v>
      </c>
      <c r="T213" t="str">
        <f t="shared" si="33"/>
        <v>Pass Sukses Cukup Sedikit</v>
      </c>
      <c r="U213" t="str">
        <f t="shared" si="34"/>
        <v>Total Shot Sangat Sedikit</v>
      </c>
      <c r="V213" t="str">
        <f t="shared" si="37"/>
        <v>Shot on Target Normal</v>
      </c>
      <c r="W213" t="str">
        <f t="shared" si="38"/>
        <v>Fouls Rendah</v>
      </c>
      <c r="X213" t="str">
        <f t="shared" si="39"/>
        <v>Corner Normal</v>
      </c>
      <c r="Y213" t="str">
        <f t="shared" si="35"/>
        <v>Yellow Card Tinggi</v>
      </c>
      <c r="Z213" t="str">
        <f t="shared" si="36"/>
        <v>Red Card Rendah</v>
      </c>
    </row>
    <row r="214" spans="1:26" x14ac:dyDescent="0.25">
      <c r="A214" t="s">
        <v>51</v>
      </c>
      <c r="B214">
        <v>0.3</v>
      </c>
      <c r="C214">
        <v>53</v>
      </c>
      <c r="D214">
        <v>576</v>
      </c>
      <c r="E214">
        <v>466</v>
      </c>
      <c r="F214">
        <v>0</v>
      </c>
      <c r="G214" t="s">
        <v>40</v>
      </c>
      <c r="H214">
        <v>0</v>
      </c>
      <c r="I214" t="s">
        <v>36</v>
      </c>
      <c r="J214">
        <v>7</v>
      </c>
      <c r="K214">
        <v>0</v>
      </c>
      <c r="L214">
        <v>13</v>
      </c>
      <c r="M214">
        <v>2</v>
      </c>
      <c r="N214">
        <v>1</v>
      </c>
      <c r="O214">
        <v>1</v>
      </c>
      <c r="Q214" t="str">
        <f t="shared" si="30"/>
        <v>xG Sangat Sedikit</v>
      </c>
      <c r="R214" t="str">
        <f t="shared" si="31"/>
        <v>Possession Cukup Banyak</v>
      </c>
      <c r="S214" t="str">
        <f t="shared" si="32"/>
        <v>Total Pass Cukup Banyak</v>
      </c>
      <c r="T214" t="str">
        <f t="shared" si="33"/>
        <v>Pass Sukses Cukup Banyak</v>
      </c>
      <c r="U214" t="str">
        <f t="shared" si="34"/>
        <v>Total Shot Sangat Sedikit</v>
      </c>
      <c r="V214" t="str">
        <f t="shared" si="37"/>
        <v>Shot on Target Rendah</v>
      </c>
      <c r="W214" t="str">
        <f t="shared" si="38"/>
        <v>Fouls Tinggi</v>
      </c>
      <c r="X214" t="str">
        <f t="shared" si="39"/>
        <v>Corner Rendah</v>
      </c>
      <c r="Y214" t="str">
        <f t="shared" si="35"/>
        <v>Yellow Card Rendah</v>
      </c>
      <c r="Z214" t="str">
        <f t="shared" si="36"/>
        <v>Red Card Tinggi</v>
      </c>
    </row>
    <row r="215" spans="1:26" x14ac:dyDescent="0.25">
      <c r="A215" t="s">
        <v>42</v>
      </c>
      <c r="B215">
        <v>1.3</v>
      </c>
      <c r="C215">
        <v>66</v>
      </c>
      <c r="D215">
        <v>543</v>
      </c>
      <c r="E215">
        <v>451</v>
      </c>
      <c r="F215">
        <v>2</v>
      </c>
      <c r="G215" t="s">
        <v>36</v>
      </c>
      <c r="H215">
        <v>1</v>
      </c>
      <c r="I215" t="s">
        <v>35</v>
      </c>
      <c r="J215">
        <v>18</v>
      </c>
      <c r="K215">
        <v>6</v>
      </c>
      <c r="L215">
        <v>10</v>
      </c>
      <c r="M215">
        <v>10</v>
      </c>
      <c r="N215">
        <v>2</v>
      </c>
      <c r="O215">
        <v>0</v>
      </c>
      <c r="Q215" t="str">
        <f t="shared" si="30"/>
        <v>xG Sangat Sedikit</v>
      </c>
      <c r="R215" t="str">
        <f t="shared" si="31"/>
        <v>Possession Sangat Banyak</v>
      </c>
      <c r="S215" t="str">
        <f t="shared" si="32"/>
        <v>Total Pass Cukup Banyak</v>
      </c>
      <c r="T215" t="str">
        <f t="shared" si="33"/>
        <v>Pass Sukses Cukup Banyak</v>
      </c>
      <c r="U215" t="str">
        <f t="shared" si="34"/>
        <v>Total Shot Cukup Sedikit</v>
      </c>
      <c r="V215" t="str">
        <f t="shared" si="37"/>
        <v>Shot on Target Tinggi</v>
      </c>
      <c r="W215" t="str">
        <f t="shared" si="38"/>
        <v>Fouls Normal</v>
      </c>
      <c r="X215" t="str">
        <f t="shared" si="39"/>
        <v>Corner Tinggi</v>
      </c>
      <c r="Y215" t="str">
        <f t="shared" si="35"/>
        <v>Yellow Card Rendah</v>
      </c>
      <c r="Z215" t="str">
        <f t="shared" si="36"/>
        <v>Red Card Rendah</v>
      </c>
    </row>
    <row r="216" spans="1:26" x14ac:dyDescent="0.25">
      <c r="A216" t="s">
        <v>44</v>
      </c>
      <c r="B216">
        <v>1.8</v>
      </c>
      <c r="C216">
        <v>36</v>
      </c>
      <c r="D216">
        <v>366</v>
      </c>
      <c r="E216">
        <v>289</v>
      </c>
      <c r="F216">
        <v>3</v>
      </c>
      <c r="G216" t="s">
        <v>35</v>
      </c>
      <c r="H216">
        <v>3</v>
      </c>
      <c r="I216" t="s">
        <v>35</v>
      </c>
      <c r="J216">
        <v>12</v>
      </c>
      <c r="K216">
        <v>6</v>
      </c>
      <c r="L216">
        <v>14</v>
      </c>
      <c r="M216">
        <v>3</v>
      </c>
      <c r="N216">
        <v>2</v>
      </c>
      <c r="O216">
        <v>0</v>
      </c>
      <c r="Q216" t="str">
        <f t="shared" si="30"/>
        <v>xG Cukup Sedikit</v>
      </c>
      <c r="R216" t="str">
        <f t="shared" si="31"/>
        <v>Possession Sangat Sedikit</v>
      </c>
      <c r="S216" t="str">
        <f t="shared" si="32"/>
        <v>Total Pass Cukup Sedikit</v>
      </c>
      <c r="T216" t="str">
        <f t="shared" si="33"/>
        <v>Pass Sukses Cukup Sedikit</v>
      </c>
      <c r="U216" t="str">
        <f t="shared" si="34"/>
        <v>Total Shot Cukup Sedikit</v>
      </c>
      <c r="V216" t="str">
        <f t="shared" si="37"/>
        <v>Shot on Target Tinggi</v>
      </c>
      <c r="W216" t="str">
        <f t="shared" si="38"/>
        <v>Fouls Tinggi</v>
      </c>
      <c r="X216" t="str">
        <f t="shared" si="39"/>
        <v>Corner Rendah</v>
      </c>
      <c r="Y216" t="str">
        <f t="shared" si="35"/>
        <v>Yellow Card Rendah</v>
      </c>
      <c r="Z216" t="str">
        <f t="shared" si="36"/>
        <v>Red Card Rendah</v>
      </c>
    </row>
    <row r="217" spans="1:26" x14ac:dyDescent="0.25">
      <c r="A217" t="s">
        <v>33</v>
      </c>
      <c r="B217">
        <v>1.5</v>
      </c>
      <c r="C217">
        <v>51</v>
      </c>
      <c r="D217">
        <v>497</v>
      </c>
      <c r="E217">
        <v>406</v>
      </c>
      <c r="F217">
        <v>1</v>
      </c>
      <c r="G217" t="s">
        <v>40</v>
      </c>
      <c r="H217">
        <v>1</v>
      </c>
      <c r="I217" t="s">
        <v>36</v>
      </c>
      <c r="J217">
        <v>10</v>
      </c>
      <c r="K217">
        <v>1</v>
      </c>
      <c r="L217">
        <v>13</v>
      </c>
      <c r="M217">
        <v>4</v>
      </c>
      <c r="N217">
        <v>3</v>
      </c>
      <c r="O217">
        <v>0</v>
      </c>
      <c r="Q217" t="str">
        <f t="shared" si="30"/>
        <v>xG Cukup Sedikit</v>
      </c>
      <c r="R217" t="str">
        <f t="shared" si="31"/>
        <v>Possession Cukup Banyak</v>
      </c>
      <c r="S217" t="str">
        <f t="shared" si="32"/>
        <v>Total Pass Cukup Sedikit</v>
      </c>
      <c r="T217" t="str">
        <f t="shared" si="33"/>
        <v>Pass Sukses Cukup Sedikit</v>
      </c>
      <c r="U217" t="str">
        <f t="shared" si="34"/>
        <v>Total Shot Sangat Sedikit</v>
      </c>
      <c r="V217" t="str">
        <f t="shared" si="37"/>
        <v>Shot on Target Rendah</v>
      </c>
      <c r="W217" t="str">
        <f t="shared" si="38"/>
        <v>Fouls Tinggi</v>
      </c>
      <c r="X217" t="str">
        <f t="shared" si="39"/>
        <v>Corner Rendah</v>
      </c>
      <c r="Y217" t="str">
        <f t="shared" si="35"/>
        <v>Yellow Card Tinggi</v>
      </c>
      <c r="Z217" t="str">
        <f t="shared" si="36"/>
        <v>Red Card Rendah</v>
      </c>
    </row>
    <row r="218" spans="1:26" x14ac:dyDescent="0.25">
      <c r="A218" t="s">
        <v>48</v>
      </c>
      <c r="B218">
        <v>1.8</v>
      </c>
      <c r="C218">
        <v>45</v>
      </c>
      <c r="D218">
        <v>423</v>
      </c>
      <c r="E218">
        <v>334</v>
      </c>
      <c r="F218">
        <v>3</v>
      </c>
      <c r="G218" t="s">
        <v>35</v>
      </c>
      <c r="H218">
        <v>3</v>
      </c>
      <c r="I218" t="s">
        <v>35</v>
      </c>
      <c r="J218">
        <v>14</v>
      </c>
      <c r="K218">
        <v>5</v>
      </c>
      <c r="L218">
        <v>4</v>
      </c>
      <c r="M218">
        <v>2</v>
      </c>
      <c r="N218">
        <v>0</v>
      </c>
      <c r="O218">
        <v>0</v>
      </c>
      <c r="Q218" t="str">
        <f t="shared" si="30"/>
        <v>xG Cukup Sedikit</v>
      </c>
      <c r="R218" t="str">
        <f t="shared" si="31"/>
        <v>Possession Cukup Sedikit</v>
      </c>
      <c r="S218" t="str">
        <f t="shared" si="32"/>
        <v>Total Pass Cukup Sedikit</v>
      </c>
      <c r="T218" t="str">
        <f t="shared" si="33"/>
        <v>Pass Sukses Cukup Sedikit</v>
      </c>
      <c r="U218" t="str">
        <f t="shared" si="34"/>
        <v>Total Shot Cukup Sedikit</v>
      </c>
      <c r="V218" t="str">
        <f t="shared" si="37"/>
        <v>Shot on Target Tinggi</v>
      </c>
      <c r="W218" t="str">
        <f t="shared" si="38"/>
        <v>Fouls Rendah</v>
      </c>
      <c r="X218" t="str">
        <f t="shared" si="39"/>
        <v>Corner Rendah</v>
      </c>
      <c r="Y218" t="str">
        <f t="shared" si="35"/>
        <v>Yellow Card Rendah</v>
      </c>
      <c r="Z218" t="str">
        <f t="shared" si="36"/>
        <v>Red Card Rendah</v>
      </c>
    </row>
    <row r="219" spans="1:26" x14ac:dyDescent="0.25">
      <c r="A219" t="s">
        <v>38</v>
      </c>
      <c r="B219">
        <v>0.5</v>
      </c>
      <c r="C219">
        <v>33</v>
      </c>
      <c r="D219">
        <v>378</v>
      </c>
      <c r="E219">
        <v>320</v>
      </c>
      <c r="F219">
        <v>0</v>
      </c>
      <c r="G219" t="s">
        <v>40</v>
      </c>
      <c r="H219">
        <v>0</v>
      </c>
      <c r="I219" t="s">
        <v>40</v>
      </c>
      <c r="J219">
        <v>8</v>
      </c>
      <c r="K219">
        <v>4</v>
      </c>
      <c r="L219">
        <v>4</v>
      </c>
      <c r="M219">
        <v>4</v>
      </c>
      <c r="N219">
        <v>0</v>
      </c>
      <c r="O219">
        <v>0</v>
      </c>
      <c r="Q219" t="str">
        <f t="shared" si="30"/>
        <v>xG Sangat Sedikit</v>
      </c>
      <c r="R219" t="str">
        <f t="shared" si="31"/>
        <v>Possession Sangat Sedikit</v>
      </c>
      <c r="S219" t="str">
        <f t="shared" si="32"/>
        <v>Total Pass Cukup Sedikit</v>
      </c>
      <c r="T219" t="str">
        <f t="shared" si="33"/>
        <v>Pass Sukses Cukup Sedikit</v>
      </c>
      <c r="U219" t="str">
        <f t="shared" si="34"/>
        <v>Total Shot Sangat Sedikit</v>
      </c>
      <c r="V219" t="str">
        <f t="shared" si="37"/>
        <v>Shot on Target Normal</v>
      </c>
      <c r="W219" t="str">
        <f t="shared" si="38"/>
        <v>Fouls Rendah</v>
      </c>
      <c r="X219" t="str">
        <f t="shared" si="39"/>
        <v>Corner Rendah</v>
      </c>
      <c r="Y219" t="str">
        <f t="shared" si="35"/>
        <v>Yellow Card Rendah</v>
      </c>
      <c r="Z219" t="str">
        <f t="shared" si="36"/>
        <v>Red Card Rendah</v>
      </c>
    </row>
    <row r="220" spans="1:26" x14ac:dyDescent="0.25">
      <c r="A220" t="s">
        <v>57</v>
      </c>
      <c r="B220">
        <v>3.1</v>
      </c>
      <c r="C220">
        <v>63</v>
      </c>
      <c r="D220">
        <v>624</v>
      </c>
      <c r="E220">
        <v>536</v>
      </c>
      <c r="F220">
        <v>3</v>
      </c>
      <c r="G220" t="s">
        <v>35</v>
      </c>
      <c r="H220">
        <v>1</v>
      </c>
      <c r="I220" t="s">
        <v>36</v>
      </c>
      <c r="J220">
        <v>19</v>
      </c>
      <c r="K220">
        <v>7</v>
      </c>
      <c r="L220">
        <v>8</v>
      </c>
      <c r="M220">
        <v>3</v>
      </c>
      <c r="N220">
        <v>4</v>
      </c>
      <c r="O220">
        <v>0</v>
      </c>
      <c r="Q220" t="str">
        <f t="shared" si="30"/>
        <v>xG Cukup Banyak</v>
      </c>
      <c r="R220" t="str">
        <f t="shared" si="31"/>
        <v>Possession Cukup Banyak</v>
      </c>
      <c r="S220" t="str">
        <f t="shared" si="32"/>
        <v>Total Pass Cukup Banyak</v>
      </c>
      <c r="T220" t="str">
        <f t="shared" si="33"/>
        <v>Pass Sukses Cukup Banyak</v>
      </c>
      <c r="U220" t="str">
        <f t="shared" si="34"/>
        <v>Total Shot Cukup Sedikit</v>
      </c>
      <c r="V220" t="str">
        <f t="shared" si="37"/>
        <v>Shot on Target Tinggi</v>
      </c>
      <c r="W220" t="str">
        <f t="shared" si="38"/>
        <v>Fouls Rendah</v>
      </c>
      <c r="X220" t="str">
        <f t="shared" si="39"/>
        <v>Corner Rendah</v>
      </c>
      <c r="Y220" t="str">
        <f t="shared" si="35"/>
        <v>Yellow Card Tinggi</v>
      </c>
      <c r="Z220" t="str">
        <f t="shared" si="36"/>
        <v>Red Card Rendah</v>
      </c>
    </row>
    <row r="221" spans="1:26" x14ac:dyDescent="0.25">
      <c r="A221" t="s">
        <v>49</v>
      </c>
      <c r="B221">
        <v>1.7</v>
      </c>
      <c r="C221">
        <v>50</v>
      </c>
      <c r="D221">
        <v>391</v>
      </c>
      <c r="E221">
        <v>301</v>
      </c>
      <c r="F221">
        <v>5</v>
      </c>
      <c r="G221" t="s">
        <v>35</v>
      </c>
      <c r="H221">
        <v>1</v>
      </c>
      <c r="I221" t="s">
        <v>35</v>
      </c>
      <c r="J221">
        <v>16</v>
      </c>
      <c r="K221">
        <v>10</v>
      </c>
      <c r="L221">
        <v>9</v>
      </c>
      <c r="M221">
        <v>3</v>
      </c>
      <c r="N221">
        <v>2</v>
      </c>
      <c r="O221">
        <v>0</v>
      </c>
      <c r="Q221" t="str">
        <f t="shared" si="30"/>
        <v>xG Cukup Sedikit</v>
      </c>
      <c r="R221" t="str">
        <f t="shared" si="31"/>
        <v>Possession Cukup Sedikit</v>
      </c>
      <c r="S221" t="str">
        <f t="shared" si="32"/>
        <v>Total Pass Cukup Sedikit</v>
      </c>
      <c r="T221" t="str">
        <f t="shared" si="33"/>
        <v>Pass Sukses Cukup Sedikit</v>
      </c>
      <c r="U221" t="str">
        <f t="shared" si="34"/>
        <v>Total Shot Cukup Sedikit</v>
      </c>
      <c r="V221" t="str">
        <f t="shared" si="37"/>
        <v>Shot on Target Tinggi</v>
      </c>
      <c r="W221" t="str">
        <f t="shared" si="38"/>
        <v>Fouls Normal</v>
      </c>
      <c r="X221" t="str">
        <f t="shared" si="39"/>
        <v>Corner Rendah</v>
      </c>
      <c r="Y221" t="str">
        <f t="shared" si="35"/>
        <v>Yellow Card Rendah</v>
      </c>
      <c r="Z221" t="str">
        <f t="shared" si="36"/>
        <v>Red Card Rendah</v>
      </c>
    </row>
    <row r="222" spans="1:26" x14ac:dyDescent="0.25">
      <c r="A222" t="s">
        <v>45</v>
      </c>
      <c r="B222">
        <v>0.7</v>
      </c>
      <c r="C222">
        <v>69</v>
      </c>
      <c r="D222">
        <v>696</v>
      </c>
      <c r="E222">
        <v>587</v>
      </c>
      <c r="F222">
        <v>0</v>
      </c>
      <c r="G222" t="s">
        <v>40</v>
      </c>
      <c r="H222">
        <v>0</v>
      </c>
      <c r="I222" t="s">
        <v>40</v>
      </c>
      <c r="J222">
        <v>16</v>
      </c>
      <c r="K222">
        <v>1</v>
      </c>
      <c r="L222">
        <v>8</v>
      </c>
      <c r="M222">
        <v>9</v>
      </c>
      <c r="N222">
        <v>3</v>
      </c>
      <c r="O222">
        <v>0</v>
      </c>
      <c r="Q222" t="str">
        <f t="shared" si="30"/>
        <v>xG Sangat Sedikit</v>
      </c>
      <c r="R222" t="str">
        <f t="shared" si="31"/>
        <v>Possession Sangat Banyak</v>
      </c>
      <c r="S222" t="str">
        <f t="shared" si="32"/>
        <v>Total Pass Sangat Banyak</v>
      </c>
      <c r="T222" t="str">
        <f t="shared" si="33"/>
        <v>Pass Sukses Cukup Banyak</v>
      </c>
      <c r="U222" t="str">
        <f t="shared" si="34"/>
        <v>Total Shot Cukup Sedikit</v>
      </c>
      <c r="V222" t="str">
        <f t="shared" si="37"/>
        <v>Shot on Target Rendah</v>
      </c>
      <c r="W222" t="str">
        <f t="shared" si="38"/>
        <v>Fouls Rendah</v>
      </c>
      <c r="X222" t="str">
        <f t="shared" si="39"/>
        <v>Corner Tinggi</v>
      </c>
      <c r="Y222" t="str">
        <f t="shared" si="35"/>
        <v>Yellow Card Tinggi</v>
      </c>
      <c r="Z222" t="str">
        <f t="shared" si="36"/>
        <v>Red Card Rendah</v>
      </c>
    </row>
    <row r="223" spans="1:26" x14ac:dyDescent="0.25">
      <c r="A223" t="s">
        <v>39</v>
      </c>
      <c r="B223">
        <v>2</v>
      </c>
      <c r="C223">
        <v>70</v>
      </c>
      <c r="D223">
        <v>790</v>
      </c>
      <c r="E223">
        <v>696</v>
      </c>
      <c r="F223">
        <v>4</v>
      </c>
      <c r="G223" t="s">
        <v>35</v>
      </c>
      <c r="H223">
        <v>3</v>
      </c>
      <c r="I223" t="s">
        <v>35</v>
      </c>
      <c r="J223">
        <v>16</v>
      </c>
      <c r="K223">
        <v>6</v>
      </c>
      <c r="L223">
        <v>10</v>
      </c>
      <c r="M223">
        <v>3</v>
      </c>
      <c r="N223">
        <v>0</v>
      </c>
      <c r="O223">
        <v>0</v>
      </c>
      <c r="Q223" t="str">
        <f t="shared" si="30"/>
        <v>xG Cukup Sedikit</v>
      </c>
      <c r="R223" t="str">
        <f t="shared" si="31"/>
        <v>Possession Sangat Banyak</v>
      </c>
      <c r="S223" t="str">
        <f t="shared" si="32"/>
        <v>Total Pass Sangat Banyak</v>
      </c>
      <c r="T223" t="str">
        <f t="shared" si="33"/>
        <v>Pass Sukses Sangat Banyak</v>
      </c>
      <c r="U223" t="str">
        <f t="shared" si="34"/>
        <v>Total Shot Cukup Sedikit</v>
      </c>
      <c r="V223" t="str">
        <f t="shared" si="37"/>
        <v>Shot on Target Tinggi</v>
      </c>
      <c r="W223" t="str">
        <f t="shared" si="38"/>
        <v>Fouls Normal</v>
      </c>
      <c r="X223" t="str">
        <f t="shared" si="39"/>
        <v>Corner Rendah</v>
      </c>
      <c r="Y223" t="str">
        <f t="shared" si="35"/>
        <v>Yellow Card Rendah</v>
      </c>
      <c r="Z223" t="str">
        <f t="shared" si="36"/>
        <v>Red Card Rendah</v>
      </c>
    </row>
    <row r="224" spans="1:26" x14ac:dyDescent="0.25">
      <c r="A224" t="s">
        <v>47</v>
      </c>
      <c r="B224">
        <v>0.8</v>
      </c>
      <c r="C224">
        <v>53</v>
      </c>
      <c r="D224">
        <v>509</v>
      </c>
      <c r="E224">
        <v>421</v>
      </c>
      <c r="F224">
        <v>1</v>
      </c>
      <c r="G224" t="s">
        <v>40</v>
      </c>
      <c r="H224">
        <v>1</v>
      </c>
      <c r="I224" t="s">
        <v>40</v>
      </c>
      <c r="J224">
        <v>12</v>
      </c>
      <c r="K224">
        <v>5</v>
      </c>
      <c r="L224">
        <v>10</v>
      </c>
      <c r="M224">
        <v>3</v>
      </c>
      <c r="N224">
        <v>1</v>
      </c>
      <c r="O224">
        <v>0</v>
      </c>
      <c r="Q224" t="str">
        <f t="shared" si="30"/>
        <v>xG Sangat Sedikit</v>
      </c>
      <c r="R224" t="str">
        <f t="shared" si="31"/>
        <v>Possession Cukup Banyak</v>
      </c>
      <c r="S224" t="str">
        <f t="shared" si="32"/>
        <v>Total Pass Cukup Banyak</v>
      </c>
      <c r="T224" t="str">
        <f t="shared" si="33"/>
        <v>Pass Sukses Cukup Sedikit</v>
      </c>
      <c r="U224" t="str">
        <f t="shared" si="34"/>
        <v>Total Shot Cukup Sedikit</v>
      </c>
      <c r="V224" t="str">
        <f t="shared" si="37"/>
        <v>Shot on Target Tinggi</v>
      </c>
      <c r="W224" t="str">
        <f t="shared" si="38"/>
        <v>Fouls Normal</v>
      </c>
      <c r="X224" t="str">
        <f t="shared" si="39"/>
        <v>Corner Rendah</v>
      </c>
      <c r="Y224" t="str">
        <f t="shared" si="35"/>
        <v>Yellow Card Rendah</v>
      </c>
      <c r="Z224" t="str">
        <f t="shared" si="36"/>
        <v>Red Card Rendah</v>
      </c>
    </row>
    <row r="225" spans="1:26" x14ac:dyDescent="0.25">
      <c r="A225" t="s">
        <v>43</v>
      </c>
      <c r="B225">
        <v>0.7</v>
      </c>
      <c r="C225">
        <v>51</v>
      </c>
      <c r="D225">
        <v>466</v>
      </c>
      <c r="E225">
        <v>384</v>
      </c>
      <c r="F225">
        <v>0</v>
      </c>
      <c r="G225" t="s">
        <v>40</v>
      </c>
      <c r="H225">
        <v>0</v>
      </c>
      <c r="I225" t="s">
        <v>36</v>
      </c>
      <c r="J225">
        <v>9</v>
      </c>
      <c r="K225">
        <v>4</v>
      </c>
      <c r="L225">
        <v>20</v>
      </c>
      <c r="M225">
        <v>1</v>
      </c>
      <c r="N225">
        <v>0</v>
      </c>
      <c r="O225">
        <v>1</v>
      </c>
      <c r="Q225" t="str">
        <f t="shared" si="30"/>
        <v>xG Sangat Sedikit</v>
      </c>
      <c r="R225" t="str">
        <f t="shared" si="31"/>
        <v>Possession Cukup Banyak</v>
      </c>
      <c r="S225" t="str">
        <f t="shared" si="32"/>
        <v>Total Pass Cukup Sedikit</v>
      </c>
      <c r="T225" t="str">
        <f t="shared" si="33"/>
        <v>Pass Sukses Cukup Sedikit</v>
      </c>
      <c r="U225" t="str">
        <f t="shared" si="34"/>
        <v>Total Shot Sangat Sedikit</v>
      </c>
      <c r="V225" t="str">
        <f t="shared" si="37"/>
        <v>Shot on Target Normal</v>
      </c>
      <c r="W225" t="str">
        <f t="shared" si="38"/>
        <v>Fouls Tinggi</v>
      </c>
      <c r="X225" t="str">
        <f t="shared" si="39"/>
        <v>Corner Rendah</v>
      </c>
      <c r="Y225" t="str">
        <f t="shared" si="35"/>
        <v>Yellow Card Rendah</v>
      </c>
      <c r="Z225" t="str">
        <f t="shared" si="36"/>
        <v>Red Card Tinggi</v>
      </c>
    </row>
    <row r="226" spans="1:26" x14ac:dyDescent="0.25">
      <c r="A226" t="s">
        <v>58</v>
      </c>
      <c r="B226">
        <v>2.2000000000000002</v>
      </c>
      <c r="C226">
        <v>56</v>
      </c>
      <c r="D226">
        <v>603</v>
      </c>
      <c r="E226">
        <v>514</v>
      </c>
      <c r="F226">
        <v>3</v>
      </c>
      <c r="G226" t="s">
        <v>35</v>
      </c>
      <c r="H226">
        <v>1</v>
      </c>
      <c r="I226" t="s">
        <v>36</v>
      </c>
      <c r="J226">
        <v>15</v>
      </c>
      <c r="K226">
        <v>6</v>
      </c>
      <c r="L226">
        <v>6</v>
      </c>
      <c r="M226">
        <v>2</v>
      </c>
      <c r="N226">
        <v>3</v>
      </c>
      <c r="O226">
        <v>0</v>
      </c>
      <c r="Q226" t="str">
        <f t="shared" si="30"/>
        <v>xG Cukup Sedikit</v>
      </c>
      <c r="R226" t="str">
        <f t="shared" si="31"/>
        <v>Possession Cukup Banyak</v>
      </c>
      <c r="S226" t="str">
        <f t="shared" si="32"/>
        <v>Total Pass Cukup Banyak</v>
      </c>
      <c r="T226" t="str">
        <f t="shared" si="33"/>
        <v>Pass Sukses Cukup Banyak</v>
      </c>
      <c r="U226" t="str">
        <f t="shared" si="34"/>
        <v>Total Shot Cukup Sedikit</v>
      </c>
      <c r="V226" t="str">
        <f t="shared" si="37"/>
        <v>Shot on Target Tinggi</v>
      </c>
      <c r="W226" t="str">
        <f t="shared" si="38"/>
        <v>Fouls Rendah</v>
      </c>
      <c r="X226" t="str">
        <f t="shared" si="39"/>
        <v>Corner Rendah</v>
      </c>
      <c r="Y226" t="str">
        <f t="shared" si="35"/>
        <v>Yellow Card Tinggi</v>
      </c>
      <c r="Z226" t="str">
        <f t="shared" si="36"/>
        <v>Red Card Rendah</v>
      </c>
    </row>
    <row r="227" spans="1:26" x14ac:dyDescent="0.25">
      <c r="A227" t="s">
        <v>55</v>
      </c>
      <c r="B227">
        <v>1.1000000000000001</v>
      </c>
      <c r="C227">
        <v>47</v>
      </c>
      <c r="D227">
        <v>350</v>
      </c>
      <c r="E227">
        <v>238</v>
      </c>
      <c r="F227">
        <v>1</v>
      </c>
      <c r="G227" t="s">
        <v>40</v>
      </c>
      <c r="H227">
        <v>0</v>
      </c>
      <c r="I227" t="s">
        <v>36</v>
      </c>
      <c r="J227">
        <v>16</v>
      </c>
      <c r="K227">
        <v>5</v>
      </c>
      <c r="L227">
        <v>8</v>
      </c>
      <c r="M227">
        <v>4</v>
      </c>
      <c r="N227">
        <v>2</v>
      </c>
      <c r="O227">
        <v>0</v>
      </c>
      <c r="Q227" t="str">
        <f t="shared" si="30"/>
        <v>xG Sangat Sedikit</v>
      </c>
      <c r="R227" t="str">
        <f t="shared" si="31"/>
        <v>Possession Cukup Sedikit</v>
      </c>
      <c r="S227" t="str">
        <f t="shared" si="32"/>
        <v>Total Pass Sangat Sedikit</v>
      </c>
      <c r="T227" t="str">
        <f t="shared" si="33"/>
        <v>Pass Sukses Sangat Sedikit</v>
      </c>
      <c r="U227" t="str">
        <f t="shared" si="34"/>
        <v>Total Shot Cukup Sedikit</v>
      </c>
      <c r="V227" t="str">
        <f t="shared" si="37"/>
        <v>Shot on Target Tinggi</v>
      </c>
      <c r="W227" t="str">
        <f t="shared" si="38"/>
        <v>Fouls Rendah</v>
      </c>
      <c r="X227" t="str">
        <f t="shared" si="39"/>
        <v>Corner Rendah</v>
      </c>
      <c r="Y227" t="str">
        <f t="shared" si="35"/>
        <v>Yellow Card Rendah</v>
      </c>
      <c r="Z227" t="str">
        <f t="shared" si="36"/>
        <v>Red Card Rendah</v>
      </c>
    </row>
    <row r="228" spans="1:26" x14ac:dyDescent="0.25">
      <c r="A228" t="s">
        <v>60</v>
      </c>
      <c r="B228">
        <v>1</v>
      </c>
      <c r="C228">
        <v>61</v>
      </c>
      <c r="D228">
        <v>605</v>
      </c>
      <c r="E228">
        <v>483</v>
      </c>
      <c r="F228">
        <v>1</v>
      </c>
      <c r="G228" t="s">
        <v>40</v>
      </c>
      <c r="H228">
        <v>1</v>
      </c>
      <c r="I228" t="s">
        <v>35</v>
      </c>
      <c r="J228">
        <v>15</v>
      </c>
      <c r="K228">
        <v>6</v>
      </c>
      <c r="L228">
        <v>6</v>
      </c>
      <c r="M228">
        <v>6</v>
      </c>
      <c r="N228">
        <v>1</v>
      </c>
      <c r="O228">
        <v>0</v>
      </c>
      <c r="Q228" t="str">
        <f t="shared" si="30"/>
        <v>xG Sangat Sedikit</v>
      </c>
      <c r="R228" t="str">
        <f t="shared" si="31"/>
        <v>Possession Cukup Banyak</v>
      </c>
      <c r="S228" t="str">
        <f t="shared" si="32"/>
        <v>Total Pass Cukup Banyak</v>
      </c>
      <c r="T228" t="str">
        <f t="shared" si="33"/>
        <v>Pass Sukses Cukup Banyak</v>
      </c>
      <c r="U228" t="str">
        <f t="shared" si="34"/>
        <v>Total Shot Cukup Sedikit</v>
      </c>
      <c r="V228" t="str">
        <f t="shared" si="37"/>
        <v>Shot on Target Tinggi</v>
      </c>
      <c r="W228" t="str">
        <f t="shared" si="38"/>
        <v>Fouls Rendah</v>
      </c>
      <c r="X228" t="str">
        <f t="shared" si="39"/>
        <v>Corner Tinggi</v>
      </c>
      <c r="Y228" t="str">
        <f t="shared" si="35"/>
        <v>Yellow Card Rendah</v>
      </c>
      <c r="Z228" t="str">
        <f t="shared" si="36"/>
        <v>Red Card Rendah</v>
      </c>
    </row>
    <row r="229" spans="1:26" x14ac:dyDescent="0.25">
      <c r="A229" t="s">
        <v>52</v>
      </c>
      <c r="B229">
        <v>0.9</v>
      </c>
      <c r="C229">
        <v>46</v>
      </c>
      <c r="D229">
        <v>416</v>
      </c>
      <c r="E229">
        <v>326</v>
      </c>
      <c r="F229">
        <v>1</v>
      </c>
      <c r="G229" t="s">
        <v>36</v>
      </c>
      <c r="H229">
        <v>1</v>
      </c>
      <c r="I229" t="s">
        <v>35</v>
      </c>
      <c r="J229">
        <v>14</v>
      </c>
      <c r="K229">
        <v>4</v>
      </c>
      <c r="L229">
        <v>13</v>
      </c>
      <c r="M229">
        <v>4</v>
      </c>
      <c r="N229">
        <v>2</v>
      </c>
      <c r="O229">
        <v>0</v>
      </c>
      <c r="Q229" t="str">
        <f t="shared" si="30"/>
        <v>xG Sangat Sedikit</v>
      </c>
      <c r="R229" t="str">
        <f t="shared" si="31"/>
        <v>Possession Cukup Sedikit</v>
      </c>
      <c r="S229" t="str">
        <f t="shared" si="32"/>
        <v>Total Pass Cukup Sedikit</v>
      </c>
      <c r="T229" t="str">
        <f t="shared" si="33"/>
        <v>Pass Sukses Cukup Sedikit</v>
      </c>
      <c r="U229" t="str">
        <f t="shared" si="34"/>
        <v>Total Shot Cukup Sedikit</v>
      </c>
      <c r="V229" t="str">
        <f t="shared" si="37"/>
        <v>Shot on Target Normal</v>
      </c>
      <c r="W229" t="str">
        <f t="shared" si="38"/>
        <v>Fouls Tinggi</v>
      </c>
      <c r="X229" t="str">
        <f t="shared" si="39"/>
        <v>Corner Rendah</v>
      </c>
      <c r="Y229" t="str">
        <f t="shared" si="35"/>
        <v>Yellow Card Rendah</v>
      </c>
      <c r="Z229" t="str">
        <f t="shared" si="36"/>
        <v>Red Card Rendah</v>
      </c>
    </row>
    <row r="230" spans="1:26" x14ac:dyDescent="0.25">
      <c r="A230" t="s">
        <v>34</v>
      </c>
      <c r="B230">
        <v>0.7</v>
      </c>
      <c r="C230">
        <v>51</v>
      </c>
      <c r="D230">
        <v>538</v>
      </c>
      <c r="E230">
        <v>437</v>
      </c>
      <c r="F230">
        <v>0</v>
      </c>
      <c r="G230" t="s">
        <v>40</v>
      </c>
      <c r="H230">
        <v>0</v>
      </c>
      <c r="I230" t="s">
        <v>36</v>
      </c>
      <c r="J230">
        <v>9</v>
      </c>
      <c r="K230">
        <v>3</v>
      </c>
      <c r="L230">
        <v>7</v>
      </c>
      <c r="M230">
        <v>3</v>
      </c>
      <c r="N230">
        <v>0</v>
      </c>
      <c r="O230">
        <v>0</v>
      </c>
      <c r="Q230" t="str">
        <f t="shared" si="30"/>
        <v>xG Sangat Sedikit</v>
      </c>
      <c r="R230" t="str">
        <f t="shared" si="31"/>
        <v>Possession Cukup Banyak</v>
      </c>
      <c r="S230" t="str">
        <f t="shared" si="32"/>
        <v>Total Pass Cukup Banyak</v>
      </c>
      <c r="T230" t="str">
        <f t="shared" si="33"/>
        <v>Pass Sukses Cukup Sedikit</v>
      </c>
      <c r="U230" t="str">
        <f t="shared" si="34"/>
        <v>Total Shot Sangat Sedikit</v>
      </c>
      <c r="V230" t="str">
        <f t="shared" si="37"/>
        <v>Shot on Target Rendah</v>
      </c>
      <c r="W230" t="str">
        <f t="shared" si="38"/>
        <v>Fouls Rendah</v>
      </c>
      <c r="X230" t="str">
        <f t="shared" si="39"/>
        <v>Corner Rendah</v>
      </c>
      <c r="Y230" t="str">
        <f t="shared" si="35"/>
        <v>Yellow Card Rendah</v>
      </c>
      <c r="Z230" t="str">
        <f t="shared" si="36"/>
        <v>Red Card Rendah</v>
      </c>
    </row>
    <row r="231" spans="1:26" x14ac:dyDescent="0.25">
      <c r="A231" t="s">
        <v>48</v>
      </c>
      <c r="B231">
        <v>3.3</v>
      </c>
      <c r="C231">
        <v>38</v>
      </c>
      <c r="D231">
        <v>352</v>
      </c>
      <c r="E231">
        <v>274</v>
      </c>
      <c r="F231">
        <v>7</v>
      </c>
      <c r="G231" t="s">
        <v>35</v>
      </c>
      <c r="H231">
        <v>3</v>
      </c>
      <c r="I231" t="s">
        <v>35</v>
      </c>
      <c r="J231">
        <v>14</v>
      </c>
      <c r="K231">
        <v>9</v>
      </c>
      <c r="L231">
        <v>8</v>
      </c>
      <c r="M231">
        <v>4</v>
      </c>
      <c r="N231">
        <v>1</v>
      </c>
      <c r="O231">
        <v>0</v>
      </c>
      <c r="Q231" t="str">
        <f t="shared" si="30"/>
        <v>xG Cukup Banyak</v>
      </c>
      <c r="R231" t="str">
        <f t="shared" si="31"/>
        <v>Possession Cukup Sedikit</v>
      </c>
      <c r="S231" t="str">
        <f t="shared" si="32"/>
        <v>Total Pass Sangat Sedikit</v>
      </c>
      <c r="T231" t="str">
        <f t="shared" si="33"/>
        <v>Pass Sukses Sangat Sedikit</v>
      </c>
      <c r="U231" t="str">
        <f t="shared" si="34"/>
        <v>Total Shot Cukup Sedikit</v>
      </c>
      <c r="V231" t="str">
        <f t="shared" si="37"/>
        <v>Shot on Target Tinggi</v>
      </c>
      <c r="W231" t="str">
        <f t="shared" si="38"/>
        <v>Fouls Rendah</v>
      </c>
      <c r="X231" t="str">
        <f t="shared" si="39"/>
        <v>Corner Rendah</v>
      </c>
      <c r="Y231" t="str">
        <f t="shared" si="35"/>
        <v>Yellow Card Rendah</v>
      </c>
      <c r="Z231" t="str">
        <f t="shared" si="36"/>
        <v>Red Card Rendah</v>
      </c>
    </row>
    <row r="232" spans="1:26" x14ac:dyDescent="0.25">
      <c r="A232" t="s">
        <v>49</v>
      </c>
      <c r="B232">
        <v>1.6</v>
      </c>
      <c r="C232">
        <v>49</v>
      </c>
      <c r="D232">
        <v>449</v>
      </c>
      <c r="E232">
        <v>346</v>
      </c>
      <c r="F232">
        <v>0</v>
      </c>
      <c r="G232" t="s">
        <v>40</v>
      </c>
      <c r="H232">
        <v>0</v>
      </c>
      <c r="I232" t="s">
        <v>40</v>
      </c>
      <c r="J232">
        <v>14</v>
      </c>
      <c r="K232">
        <v>3</v>
      </c>
      <c r="L232">
        <v>15</v>
      </c>
      <c r="M232">
        <v>3</v>
      </c>
      <c r="N232">
        <v>2</v>
      </c>
      <c r="O232">
        <v>0</v>
      </c>
      <c r="Q232" t="str">
        <f t="shared" si="30"/>
        <v>xG Cukup Sedikit</v>
      </c>
      <c r="R232" t="str">
        <f t="shared" si="31"/>
        <v>Possession Cukup Sedikit</v>
      </c>
      <c r="S232" t="str">
        <f t="shared" si="32"/>
        <v>Total Pass Cukup Sedikit</v>
      </c>
      <c r="T232" t="str">
        <f t="shared" si="33"/>
        <v>Pass Sukses Cukup Sedikit</v>
      </c>
      <c r="U232" t="str">
        <f t="shared" si="34"/>
        <v>Total Shot Cukup Sedikit</v>
      </c>
      <c r="V232" t="str">
        <f t="shared" si="37"/>
        <v>Shot on Target Rendah</v>
      </c>
      <c r="W232" t="str">
        <f t="shared" si="38"/>
        <v>Fouls Tinggi</v>
      </c>
      <c r="X232" t="str">
        <f t="shared" si="39"/>
        <v>Corner Rendah</v>
      </c>
      <c r="Y232" t="str">
        <f t="shared" si="35"/>
        <v>Yellow Card Rendah</v>
      </c>
      <c r="Z232" t="str">
        <f t="shared" si="36"/>
        <v>Red Card Rendah</v>
      </c>
    </row>
    <row r="233" spans="1:26" x14ac:dyDescent="0.25">
      <c r="A233" t="s">
        <v>44</v>
      </c>
      <c r="B233">
        <v>2.5</v>
      </c>
      <c r="C233">
        <v>48</v>
      </c>
      <c r="D233">
        <v>486</v>
      </c>
      <c r="E233">
        <v>385</v>
      </c>
      <c r="F233">
        <v>4</v>
      </c>
      <c r="G233" t="s">
        <v>35</v>
      </c>
      <c r="H233">
        <v>3</v>
      </c>
      <c r="I233" t="s">
        <v>35</v>
      </c>
      <c r="J233">
        <v>13</v>
      </c>
      <c r="K233">
        <v>7</v>
      </c>
      <c r="L233">
        <v>7</v>
      </c>
      <c r="M233">
        <v>5</v>
      </c>
      <c r="N233">
        <v>0</v>
      </c>
      <c r="O233">
        <v>0</v>
      </c>
      <c r="Q233" t="str">
        <f t="shared" si="30"/>
        <v>xG Cukup Sedikit</v>
      </c>
      <c r="R233" t="str">
        <f t="shared" si="31"/>
        <v>Possession Cukup Sedikit</v>
      </c>
      <c r="S233" t="str">
        <f t="shared" si="32"/>
        <v>Total Pass Cukup Sedikit</v>
      </c>
      <c r="T233" t="str">
        <f t="shared" si="33"/>
        <v>Pass Sukses Cukup Sedikit</v>
      </c>
      <c r="U233" t="str">
        <f t="shared" si="34"/>
        <v>Total Shot Cukup Sedikit</v>
      </c>
      <c r="V233" t="str">
        <f t="shared" si="37"/>
        <v>Shot on Target Tinggi</v>
      </c>
      <c r="W233" t="str">
        <f t="shared" si="38"/>
        <v>Fouls Rendah</v>
      </c>
      <c r="X233" t="str">
        <f t="shared" si="39"/>
        <v>Corner Normal</v>
      </c>
      <c r="Y233" t="str">
        <f t="shared" si="35"/>
        <v>Yellow Card Rendah</v>
      </c>
      <c r="Z233" t="str">
        <f t="shared" si="36"/>
        <v>Red Card Rendah</v>
      </c>
    </row>
    <row r="234" spans="1:26" x14ac:dyDescent="0.25">
      <c r="A234" t="s">
        <v>38</v>
      </c>
      <c r="B234">
        <v>1.8</v>
      </c>
      <c r="C234">
        <v>57</v>
      </c>
      <c r="D234">
        <v>578</v>
      </c>
      <c r="E234">
        <v>483</v>
      </c>
      <c r="F234">
        <v>1</v>
      </c>
      <c r="G234" t="s">
        <v>40</v>
      </c>
      <c r="H234">
        <v>1</v>
      </c>
      <c r="I234" t="s">
        <v>36</v>
      </c>
      <c r="J234">
        <v>15</v>
      </c>
      <c r="K234">
        <v>6</v>
      </c>
      <c r="L234">
        <v>11</v>
      </c>
      <c r="M234">
        <v>1</v>
      </c>
      <c r="N234">
        <v>0</v>
      </c>
      <c r="O234">
        <v>0</v>
      </c>
      <c r="Q234" t="str">
        <f t="shared" si="30"/>
        <v>xG Cukup Sedikit</v>
      </c>
      <c r="R234" t="str">
        <f t="shared" si="31"/>
        <v>Possession Cukup Banyak</v>
      </c>
      <c r="S234" t="str">
        <f t="shared" si="32"/>
        <v>Total Pass Cukup Banyak</v>
      </c>
      <c r="T234" t="str">
        <f t="shared" si="33"/>
        <v>Pass Sukses Cukup Banyak</v>
      </c>
      <c r="U234" t="str">
        <f t="shared" si="34"/>
        <v>Total Shot Cukup Sedikit</v>
      </c>
      <c r="V234" t="str">
        <f t="shared" si="37"/>
        <v>Shot on Target Tinggi</v>
      </c>
      <c r="W234" t="str">
        <f t="shared" si="38"/>
        <v>Fouls Normal</v>
      </c>
      <c r="X234" t="str">
        <f t="shared" si="39"/>
        <v>Corner Rendah</v>
      </c>
      <c r="Y234" t="str">
        <f t="shared" si="35"/>
        <v>Yellow Card Rendah</v>
      </c>
      <c r="Z234" t="str">
        <f t="shared" si="36"/>
        <v>Red Card Rendah</v>
      </c>
    </row>
    <row r="235" spans="1:26" x14ac:dyDescent="0.25">
      <c r="A235" t="s">
        <v>46</v>
      </c>
      <c r="B235">
        <v>0.8</v>
      </c>
      <c r="C235">
        <v>49</v>
      </c>
      <c r="D235">
        <v>454</v>
      </c>
      <c r="E235">
        <v>366</v>
      </c>
      <c r="F235">
        <v>1</v>
      </c>
      <c r="G235" t="s">
        <v>40</v>
      </c>
      <c r="H235">
        <v>1</v>
      </c>
      <c r="I235" t="s">
        <v>35</v>
      </c>
      <c r="J235">
        <v>11</v>
      </c>
      <c r="K235">
        <v>4</v>
      </c>
      <c r="L235">
        <v>10</v>
      </c>
      <c r="M235">
        <v>4</v>
      </c>
      <c r="N235">
        <v>4</v>
      </c>
      <c r="O235">
        <v>0</v>
      </c>
      <c r="Q235" t="str">
        <f t="shared" si="30"/>
        <v>xG Sangat Sedikit</v>
      </c>
      <c r="R235" t="str">
        <f t="shared" si="31"/>
        <v>Possession Cukup Sedikit</v>
      </c>
      <c r="S235" t="str">
        <f t="shared" si="32"/>
        <v>Total Pass Cukup Sedikit</v>
      </c>
      <c r="T235" t="str">
        <f t="shared" si="33"/>
        <v>Pass Sukses Cukup Sedikit</v>
      </c>
      <c r="U235" t="str">
        <f t="shared" si="34"/>
        <v>Total Shot Cukup Sedikit</v>
      </c>
      <c r="V235" t="str">
        <f t="shared" si="37"/>
        <v>Shot on Target Normal</v>
      </c>
      <c r="W235" t="str">
        <f t="shared" si="38"/>
        <v>Fouls Normal</v>
      </c>
      <c r="X235" t="str">
        <f t="shared" si="39"/>
        <v>Corner Rendah</v>
      </c>
      <c r="Y235" t="str">
        <f t="shared" si="35"/>
        <v>Yellow Card Tinggi</v>
      </c>
      <c r="Z235" t="str">
        <f t="shared" si="36"/>
        <v>Red Card Rendah</v>
      </c>
    </row>
    <row r="236" spans="1:26" x14ac:dyDescent="0.25">
      <c r="A236" t="s">
        <v>43</v>
      </c>
      <c r="B236">
        <v>1.6</v>
      </c>
      <c r="C236">
        <v>32</v>
      </c>
      <c r="D236">
        <v>284</v>
      </c>
      <c r="E236">
        <v>214</v>
      </c>
      <c r="F236">
        <v>2</v>
      </c>
      <c r="G236" t="s">
        <v>35</v>
      </c>
      <c r="H236">
        <v>1</v>
      </c>
      <c r="I236" t="s">
        <v>35</v>
      </c>
      <c r="J236">
        <v>8</v>
      </c>
      <c r="K236">
        <v>5</v>
      </c>
      <c r="L236">
        <v>20</v>
      </c>
      <c r="M236">
        <v>5</v>
      </c>
      <c r="N236">
        <v>2</v>
      </c>
      <c r="O236">
        <v>0</v>
      </c>
      <c r="Q236" t="str">
        <f t="shared" si="30"/>
        <v>xG Cukup Sedikit</v>
      </c>
      <c r="R236" t="str">
        <f t="shared" si="31"/>
        <v>Possession Sangat Sedikit</v>
      </c>
      <c r="S236" t="str">
        <f t="shared" si="32"/>
        <v>Total Pass Sangat Sedikit</v>
      </c>
      <c r="T236" t="str">
        <f t="shared" si="33"/>
        <v>Pass Sukses Sangat Sedikit</v>
      </c>
      <c r="U236" t="str">
        <f t="shared" si="34"/>
        <v>Total Shot Sangat Sedikit</v>
      </c>
      <c r="V236" t="str">
        <f t="shared" si="37"/>
        <v>Shot on Target Tinggi</v>
      </c>
      <c r="W236" t="str">
        <f t="shared" si="38"/>
        <v>Fouls Tinggi</v>
      </c>
      <c r="X236" t="str">
        <f t="shared" si="39"/>
        <v>Corner Normal</v>
      </c>
      <c r="Y236" t="str">
        <f t="shared" si="35"/>
        <v>Yellow Card Rendah</v>
      </c>
      <c r="Z236" t="str">
        <f t="shared" si="36"/>
        <v>Red Card Rendah</v>
      </c>
    </row>
    <row r="237" spans="1:26" x14ac:dyDescent="0.25">
      <c r="A237" t="s">
        <v>54</v>
      </c>
      <c r="B237">
        <v>2.1</v>
      </c>
      <c r="C237">
        <v>54</v>
      </c>
      <c r="D237">
        <v>534</v>
      </c>
      <c r="E237">
        <v>419</v>
      </c>
      <c r="F237">
        <v>0</v>
      </c>
      <c r="G237" t="s">
        <v>40</v>
      </c>
      <c r="H237">
        <v>0</v>
      </c>
      <c r="I237" t="s">
        <v>40</v>
      </c>
      <c r="J237">
        <v>20</v>
      </c>
      <c r="K237">
        <v>4</v>
      </c>
      <c r="L237">
        <v>4</v>
      </c>
      <c r="M237">
        <v>10</v>
      </c>
      <c r="N237">
        <v>0</v>
      </c>
      <c r="O237">
        <v>0</v>
      </c>
      <c r="Q237" t="str">
        <f t="shared" si="30"/>
        <v>xG Cukup Sedikit</v>
      </c>
      <c r="R237" t="str">
        <f t="shared" si="31"/>
        <v>Possession Cukup Banyak</v>
      </c>
      <c r="S237" t="str">
        <f t="shared" si="32"/>
        <v>Total Pass Cukup Banyak</v>
      </c>
      <c r="T237" t="str">
        <f t="shared" si="33"/>
        <v>Pass Sukses Cukup Sedikit</v>
      </c>
      <c r="U237" t="str">
        <f t="shared" si="34"/>
        <v>Total Shot Cukup Banyak</v>
      </c>
      <c r="V237" t="str">
        <f t="shared" si="37"/>
        <v>Shot on Target Normal</v>
      </c>
      <c r="W237" t="str">
        <f t="shared" si="38"/>
        <v>Fouls Rendah</v>
      </c>
      <c r="X237" t="str">
        <f t="shared" si="39"/>
        <v>Corner Tinggi</v>
      </c>
      <c r="Y237" t="str">
        <f t="shared" si="35"/>
        <v>Yellow Card Rendah</v>
      </c>
      <c r="Z237" t="str">
        <f t="shared" si="36"/>
        <v>Red Card Rendah</v>
      </c>
    </row>
    <row r="238" spans="1:26" x14ac:dyDescent="0.25">
      <c r="A238" t="s">
        <v>33</v>
      </c>
      <c r="B238">
        <v>1.1000000000000001</v>
      </c>
      <c r="C238">
        <v>66</v>
      </c>
      <c r="D238">
        <v>608</v>
      </c>
      <c r="E238">
        <v>484</v>
      </c>
      <c r="F238">
        <v>0</v>
      </c>
      <c r="G238" t="s">
        <v>40</v>
      </c>
      <c r="H238">
        <v>0</v>
      </c>
      <c r="I238" t="s">
        <v>36</v>
      </c>
      <c r="J238">
        <v>17</v>
      </c>
      <c r="K238">
        <v>2</v>
      </c>
      <c r="L238">
        <v>12</v>
      </c>
      <c r="M238">
        <v>11</v>
      </c>
      <c r="N238">
        <v>3</v>
      </c>
      <c r="O238">
        <v>0</v>
      </c>
      <c r="Q238" t="str">
        <f t="shared" si="30"/>
        <v>xG Sangat Sedikit</v>
      </c>
      <c r="R238" t="str">
        <f t="shared" si="31"/>
        <v>Possession Sangat Banyak</v>
      </c>
      <c r="S238" t="str">
        <f t="shared" si="32"/>
        <v>Total Pass Cukup Banyak</v>
      </c>
      <c r="T238" t="str">
        <f t="shared" si="33"/>
        <v>Pass Sukses Cukup Banyak</v>
      </c>
      <c r="U238" t="str">
        <f t="shared" si="34"/>
        <v>Total Shot Cukup Sedikit</v>
      </c>
      <c r="V238" t="str">
        <f t="shared" si="37"/>
        <v>Shot on Target Rendah</v>
      </c>
      <c r="W238" t="str">
        <f t="shared" si="38"/>
        <v>Fouls Tinggi</v>
      </c>
      <c r="X238" t="str">
        <f t="shared" si="39"/>
        <v>Corner Tinggi</v>
      </c>
      <c r="Y238" t="str">
        <f t="shared" si="35"/>
        <v>Yellow Card Tinggi</v>
      </c>
      <c r="Z238" t="str">
        <f t="shared" si="36"/>
        <v>Red Card Rendah</v>
      </c>
    </row>
    <row r="239" spans="1:26" x14ac:dyDescent="0.25">
      <c r="A239" t="s">
        <v>42</v>
      </c>
      <c r="B239">
        <v>1</v>
      </c>
      <c r="C239">
        <v>46</v>
      </c>
      <c r="D239">
        <v>430</v>
      </c>
      <c r="E239">
        <v>363</v>
      </c>
      <c r="F239">
        <v>5</v>
      </c>
      <c r="G239" t="s">
        <v>35</v>
      </c>
      <c r="H239">
        <v>1</v>
      </c>
      <c r="I239" t="s">
        <v>35</v>
      </c>
      <c r="J239">
        <v>12</v>
      </c>
      <c r="K239">
        <v>7</v>
      </c>
      <c r="L239">
        <v>6</v>
      </c>
      <c r="M239">
        <v>5</v>
      </c>
      <c r="N239">
        <v>2</v>
      </c>
      <c r="O239">
        <v>0</v>
      </c>
      <c r="Q239" t="str">
        <f t="shared" si="30"/>
        <v>xG Sangat Sedikit</v>
      </c>
      <c r="R239" t="str">
        <f t="shared" si="31"/>
        <v>Possession Cukup Sedikit</v>
      </c>
      <c r="S239" t="str">
        <f t="shared" si="32"/>
        <v>Total Pass Cukup Sedikit</v>
      </c>
      <c r="T239" t="str">
        <f t="shared" si="33"/>
        <v>Pass Sukses Cukup Sedikit</v>
      </c>
      <c r="U239" t="str">
        <f t="shared" si="34"/>
        <v>Total Shot Cukup Sedikit</v>
      </c>
      <c r="V239" t="str">
        <f t="shared" si="37"/>
        <v>Shot on Target Tinggi</v>
      </c>
      <c r="W239" t="str">
        <f t="shared" si="38"/>
        <v>Fouls Rendah</v>
      </c>
      <c r="X239" t="str">
        <f t="shared" si="39"/>
        <v>Corner Normal</v>
      </c>
      <c r="Y239" t="str">
        <f t="shared" si="35"/>
        <v>Yellow Card Rendah</v>
      </c>
      <c r="Z239" t="str">
        <f t="shared" si="36"/>
        <v>Red Card Rendah</v>
      </c>
    </row>
    <row r="240" spans="1:26" x14ac:dyDescent="0.25">
      <c r="A240" t="s">
        <v>57</v>
      </c>
      <c r="B240">
        <v>1.6</v>
      </c>
      <c r="C240">
        <v>68</v>
      </c>
      <c r="D240">
        <v>643</v>
      </c>
      <c r="E240">
        <v>545</v>
      </c>
      <c r="F240">
        <v>2</v>
      </c>
      <c r="G240" t="s">
        <v>35</v>
      </c>
      <c r="H240">
        <v>0</v>
      </c>
      <c r="I240" t="s">
        <v>40</v>
      </c>
      <c r="J240">
        <v>22</v>
      </c>
      <c r="K240">
        <v>3</v>
      </c>
      <c r="L240">
        <v>11</v>
      </c>
      <c r="M240">
        <v>4</v>
      </c>
      <c r="N240">
        <v>3</v>
      </c>
      <c r="O240">
        <v>0</v>
      </c>
      <c r="Q240" t="str">
        <f t="shared" si="30"/>
        <v>xG Cukup Sedikit</v>
      </c>
      <c r="R240" t="str">
        <f t="shared" si="31"/>
        <v>Possession Sangat Banyak</v>
      </c>
      <c r="S240" t="str">
        <f t="shared" si="32"/>
        <v>Total Pass Cukup Banyak</v>
      </c>
      <c r="T240" t="str">
        <f t="shared" si="33"/>
        <v>Pass Sukses Cukup Banyak</v>
      </c>
      <c r="U240" t="str">
        <f t="shared" si="34"/>
        <v>Total Shot Cukup Banyak</v>
      </c>
      <c r="V240" t="str">
        <f t="shared" si="37"/>
        <v>Shot on Target Rendah</v>
      </c>
      <c r="W240" t="str">
        <f t="shared" si="38"/>
        <v>Fouls Normal</v>
      </c>
      <c r="X240" t="str">
        <f t="shared" si="39"/>
        <v>Corner Rendah</v>
      </c>
      <c r="Y240" t="str">
        <f t="shared" si="35"/>
        <v>Yellow Card Tinggi</v>
      </c>
      <c r="Z240" t="str">
        <f t="shared" si="36"/>
        <v>Red Card Rendah</v>
      </c>
    </row>
    <row r="241" spans="1:26" x14ac:dyDescent="0.25">
      <c r="A241" t="s">
        <v>44</v>
      </c>
      <c r="B241">
        <v>1</v>
      </c>
      <c r="C241">
        <v>37</v>
      </c>
      <c r="D241">
        <v>348</v>
      </c>
      <c r="E241">
        <v>235</v>
      </c>
      <c r="F241">
        <v>2</v>
      </c>
      <c r="G241" t="s">
        <v>36</v>
      </c>
      <c r="H241">
        <v>1</v>
      </c>
      <c r="I241" t="s">
        <v>36</v>
      </c>
      <c r="J241">
        <v>10</v>
      </c>
      <c r="K241">
        <v>3</v>
      </c>
      <c r="L241">
        <v>9</v>
      </c>
      <c r="M241">
        <v>2</v>
      </c>
      <c r="N241">
        <v>2</v>
      </c>
      <c r="O241">
        <v>1</v>
      </c>
      <c r="Q241" t="str">
        <f t="shared" si="30"/>
        <v>xG Sangat Sedikit</v>
      </c>
      <c r="R241" t="str">
        <f t="shared" si="31"/>
        <v>Possession Cukup Sedikit</v>
      </c>
      <c r="S241" t="str">
        <f t="shared" si="32"/>
        <v>Total Pass Sangat Sedikit</v>
      </c>
      <c r="T241" t="str">
        <f t="shared" si="33"/>
        <v>Pass Sukses Sangat Sedikit</v>
      </c>
      <c r="U241" t="str">
        <f t="shared" si="34"/>
        <v>Total Shot Sangat Sedikit</v>
      </c>
      <c r="V241" t="str">
        <f t="shared" si="37"/>
        <v>Shot on Target Rendah</v>
      </c>
      <c r="W241" t="str">
        <f t="shared" si="38"/>
        <v>Fouls Normal</v>
      </c>
      <c r="X241" t="str">
        <f t="shared" si="39"/>
        <v>Corner Rendah</v>
      </c>
      <c r="Y241" t="str">
        <f t="shared" si="35"/>
        <v>Yellow Card Rendah</v>
      </c>
      <c r="Z241" t="str">
        <f t="shared" si="36"/>
        <v>Red Card Tinggi</v>
      </c>
    </row>
    <row r="242" spans="1:26" x14ac:dyDescent="0.25">
      <c r="A242" t="s">
        <v>45</v>
      </c>
      <c r="B242">
        <v>1.4</v>
      </c>
      <c r="C242">
        <v>31</v>
      </c>
      <c r="D242">
        <v>344</v>
      </c>
      <c r="E242">
        <v>265</v>
      </c>
      <c r="F242">
        <v>3</v>
      </c>
      <c r="G242" t="s">
        <v>35</v>
      </c>
      <c r="H242">
        <v>2</v>
      </c>
      <c r="I242" t="s">
        <v>35</v>
      </c>
      <c r="J242">
        <v>13</v>
      </c>
      <c r="K242">
        <v>5</v>
      </c>
      <c r="L242">
        <v>12</v>
      </c>
      <c r="M242">
        <v>2</v>
      </c>
      <c r="N242">
        <v>1</v>
      </c>
      <c r="O242">
        <v>0</v>
      </c>
      <c r="Q242" t="str">
        <f t="shared" si="30"/>
        <v>xG Sangat Sedikit</v>
      </c>
      <c r="R242" t="str">
        <f t="shared" si="31"/>
        <v>Possession Sangat Sedikit</v>
      </c>
      <c r="S242" t="str">
        <f t="shared" si="32"/>
        <v>Total Pass Sangat Sedikit</v>
      </c>
      <c r="T242" t="str">
        <f t="shared" si="33"/>
        <v>Pass Sukses Sangat Sedikit</v>
      </c>
      <c r="U242" t="str">
        <f t="shared" si="34"/>
        <v>Total Shot Cukup Sedikit</v>
      </c>
      <c r="V242" t="str">
        <f t="shared" si="37"/>
        <v>Shot on Target Tinggi</v>
      </c>
      <c r="W242" t="str">
        <f t="shared" si="38"/>
        <v>Fouls Tinggi</v>
      </c>
      <c r="X242" t="str">
        <f t="shared" si="39"/>
        <v>Corner Rendah</v>
      </c>
      <c r="Y242" t="str">
        <f t="shared" si="35"/>
        <v>Yellow Card Rendah</v>
      </c>
      <c r="Z242" t="str">
        <f t="shared" si="36"/>
        <v>Red Card Rendah</v>
      </c>
    </row>
    <row r="243" spans="1:26" x14ac:dyDescent="0.25">
      <c r="A243" t="s">
        <v>59</v>
      </c>
      <c r="B243">
        <v>0.2</v>
      </c>
      <c r="C243">
        <v>40</v>
      </c>
      <c r="D243">
        <v>362</v>
      </c>
      <c r="E243">
        <v>258</v>
      </c>
      <c r="F243">
        <v>0</v>
      </c>
      <c r="G243" t="s">
        <v>40</v>
      </c>
      <c r="H243">
        <v>0</v>
      </c>
      <c r="I243" t="s">
        <v>36</v>
      </c>
      <c r="J243">
        <v>6</v>
      </c>
      <c r="K243">
        <v>2</v>
      </c>
      <c r="L243">
        <v>9</v>
      </c>
      <c r="M243">
        <v>3</v>
      </c>
      <c r="N243">
        <v>2</v>
      </c>
      <c r="O243">
        <v>0</v>
      </c>
      <c r="Q243" t="str">
        <f t="shared" si="30"/>
        <v>xG Sangat Sedikit</v>
      </c>
      <c r="R243" t="str">
        <f t="shared" si="31"/>
        <v>Possession Cukup Sedikit</v>
      </c>
      <c r="S243" t="str">
        <f t="shared" si="32"/>
        <v>Total Pass Cukup Sedikit</v>
      </c>
      <c r="T243" t="str">
        <f t="shared" si="33"/>
        <v>Pass Sukses Sangat Sedikit</v>
      </c>
      <c r="U243" t="str">
        <f t="shared" si="34"/>
        <v>Total Shot Sangat Sedikit</v>
      </c>
      <c r="V243" t="str">
        <f t="shared" si="37"/>
        <v>Shot on Target Rendah</v>
      </c>
      <c r="W243" t="str">
        <f t="shared" si="38"/>
        <v>Fouls Normal</v>
      </c>
      <c r="X243" t="str">
        <f t="shared" si="39"/>
        <v>Corner Rendah</v>
      </c>
      <c r="Y243" t="str">
        <f t="shared" si="35"/>
        <v>Yellow Card Rendah</v>
      </c>
      <c r="Z243" t="str">
        <f t="shared" si="36"/>
        <v>Red Card Rendah</v>
      </c>
    </row>
    <row r="244" spans="1:26" x14ac:dyDescent="0.25">
      <c r="A244" t="s">
        <v>52</v>
      </c>
      <c r="B244">
        <v>2.4</v>
      </c>
      <c r="C244">
        <v>75</v>
      </c>
      <c r="D244">
        <v>715</v>
      </c>
      <c r="E244">
        <v>622</v>
      </c>
      <c r="F244">
        <v>1</v>
      </c>
      <c r="G244" t="s">
        <v>36</v>
      </c>
      <c r="H244">
        <v>0</v>
      </c>
      <c r="I244" t="s">
        <v>36</v>
      </c>
      <c r="J244">
        <v>25</v>
      </c>
      <c r="K244">
        <v>6</v>
      </c>
      <c r="L244">
        <v>7</v>
      </c>
      <c r="M244">
        <v>16</v>
      </c>
      <c r="N244">
        <v>0</v>
      </c>
      <c r="O244">
        <v>0</v>
      </c>
      <c r="Q244" t="str">
        <f t="shared" si="30"/>
        <v>xG Cukup Sedikit</v>
      </c>
      <c r="R244" t="str">
        <f t="shared" si="31"/>
        <v>Possession Sangat Banyak</v>
      </c>
      <c r="S244" t="str">
        <f t="shared" si="32"/>
        <v>Total Pass Sangat Banyak</v>
      </c>
      <c r="T244" t="str">
        <f t="shared" si="33"/>
        <v>Pass Sukses Sangat Banyak</v>
      </c>
      <c r="U244" t="str">
        <f t="shared" si="34"/>
        <v>Total Shot Cukup Banyak</v>
      </c>
      <c r="V244" t="str">
        <f t="shared" si="37"/>
        <v>Shot on Target Tinggi</v>
      </c>
      <c r="W244" t="str">
        <f t="shared" si="38"/>
        <v>Fouls Rendah</v>
      </c>
      <c r="X244" t="str">
        <f t="shared" si="39"/>
        <v>Corner Tinggi</v>
      </c>
      <c r="Y244" t="str">
        <f t="shared" si="35"/>
        <v>Yellow Card Rendah</v>
      </c>
      <c r="Z244" t="str">
        <f t="shared" si="36"/>
        <v>Red Card Rendah</v>
      </c>
    </row>
    <row r="245" spans="1:26" x14ac:dyDescent="0.25">
      <c r="A245" t="s">
        <v>34</v>
      </c>
      <c r="B245">
        <v>2.1</v>
      </c>
      <c r="C245">
        <v>55</v>
      </c>
      <c r="D245">
        <v>549</v>
      </c>
      <c r="E245">
        <v>464</v>
      </c>
      <c r="F245">
        <v>2</v>
      </c>
      <c r="G245" t="s">
        <v>35</v>
      </c>
      <c r="H245">
        <v>1</v>
      </c>
      <c r="I245" t="s">
        <v>36</v>
      </c>
      <c r="J245">
        <v>24</v>
      </c>
      <c r="K245">
        <v>10</v>
      </c>
      <c r="L245">
        <v>13</v>
      </c>
      <c r="M245">
        <v>8</v>
      </c>
      <c r="N245">
        <v>0</v>
      </c>
      <c r="O245">
        <v>0</v>
      </c>
      <c r="Q245" t="str">
        <f t="shared" si="30"/>
        <v>xG Cukup Sedikit</v>
      </c>
      <c r="R245" t="str">
        <f t="shared" si="31"/>
        <v>Possession Cukup Banyak</v>
      </c>
      <c r="S245" t="str">
        <f t="shared" si="32"/>
        <v>Total Pass Cukup Banyak</v>
      </c>
      <c r="T245" t="str">
        <f t="shared" si="33"/>
        <v>Pass Sukses Cukup Banyak</v>
      </c>
      <c r="U245" t="str">
        <f t="shared" si="34"/>
        <v>Total Shot Cukup Banyak</v>
      </c>
      <c r="V245" t="str">
        <f t="shared" si="37"/>
        <v>Shot on Target Tinggi</v>
      </c>
      <c r="W245" t="str">
        <f t="shared" si="38"/>
        <v>Fouls Tinggi</v>
      </c>
      <c r="X245" t="str">
        <f t="shared" si="39"/>
        <v>Corner Tinggi</v>
      </c>
      <c r="Y245" t="str">
        <f t="shared" si="35"/>
        <v>Yellow Card Rendah</v>
      </c>
      <c r="Z245" t="str">
        <f t="shared" si="36"/>
        <v>Red Card Rendah</v>
      </c>
    </row>
    <row r="246" spans="1:26" x14ac:dyDescent="0.25">
      <c r="A246" t="s">
        <v>58</v>
      </c>
      <c r="B246">
        <v>1.9</v>
      </c>
      <c r="C246">
        <v>61</v>
      </c>
      <c r="D246">
        <v>618</v>
      </c>
      <c r="E246">
        <v>564</v>
      </c>
      <c r="F246">
        <v>4</v>
      </c>
      <c r="G246" t="s">
        <v>35</v>
      </c>
      <c r="H246">
        <v>3</v>
      </c>
      <c r="I246" t="s">
        <v>35</v>
      </c>
      <c r="J246">
        <v>11</v>
      </c>
      <c r="K246">
        <v>7</v>
      </c>
      <c r="L246">
        <v>5</v>
      </c>
      <c r="M246">
        <v>7</v>
      </c>
      <c r="N246">
        <v>0</v>
      </c>
      <c r="O246">
        <v>0</v>
      </c>
      <c r="Q246" t="str">
        <f t="shared" si="30"/>
        <v>xG Cukup Sedikit</v>
      </c>
      <c r="R246" t="str">
        <f t="shared" si="31"/>
        <v>Possession Cukup Banyak</v>
      </c>
      <c r="S246" t="str">
        <f t="shared" si="32"/>
        <v>Total Pass Cukup Banyak</v>
      </c>
      <c r="T246" t="str">
        <f t="shared" si="33"/>
        <v>Pass Sukses Cukup Banyak</v>
      </c>
      <c r="U246" t="str">
        <f t="shared" si="34"/>
        <v>Total Shot Cukup Sedikit</v>
      </c>
      <c r="V246" t="str">
        <f t="shared" si="37"/>
        <v>Shot on Target Tinggi</v>
      </c>
      <c r="W246" t="str">
        <f t="shared" si="38"/>
        <v>Fouls Rendah</v>
      </c>
      <c r="X246" t="str">
        <f t="shared" si="39"/>
        <v>Corner Tinggi</v>
      </c>
      <c r="Y246" t="str">
        <f t="shared" si="35"/>
        <v>Yellow Card Rendah</v>
      </c>
      <c r="Z246" t="str">
        <f t="shared" si="36"/>
        <v>Red Card Rendah</v>
      </c>
    </row>
    <row r="247" spans="1:26" x14ac:dyDescent="0.25">
      <c r="A247" t="s">
        <v>47</v>
      </c>
      <c r="B247">
        <v>0.8</v>
      </c>
      <c r="C247">
        <v>44</v>
      </c>
      <c r="D247">
        <v>423</v>
      </c>
      <c r="E247">
        <v>325</v>
      </c>
      <c r="F247">
        <v>1</v>
      </c>
      <c r="G247" t="s">
        <v>40</v>
      </c>
      <c r="H247">
        <v>0</v>
      </c>
      <c r="I247" t="s">
        <v>40</v>
      </c>
      <c r="J247">
        <v>11</v>
      </c>
      <c r="K247">
        <v>4</v>
      </c>
      <c r="L247">
        <v>13</v>
      </c>
      <c r="M247">
        <v>4</v>
      </c>
      <c r="N247">
        <v>1</v>
      </c>
      <c r="O247">
        <v>0</v>
      </c>
      <c r="Q247" t="str">
        <f t="shared" si="30"/>
        <v>xG Sangat Sedikit</v>
      </c>
      <c r="R247" t="str">
        <f t="shared" si="31"/>
        <v>Possession Cukup Sedikit</v>
      </c>
      <c r="S247" t="str">
        <f t="shared" si="32"/>
        <v>Total Pass Cukup Sedikit</v>
      </c>
      <c r="T247" t="str">
        <f t="shared" si="33"/>
        <v>Pass Sukses Cukup Sedikit</v>
      </c>
      <c r="U247" t="str">
        <f t="shared" si="34"/>
        <v>Total Shot Cukup Sedikit</v>
      </c>
      <c r="V247" t="str">
        <f t="shared" si="37"/>
        <v>Shot on Target Normal</v>
      </c>
      <c r="W247" t="str">
        <f t="shared" si="38"/>
        <v>Fouls Tinggi</v>
      </c>
      <c r="X247" t="str">
        <f t="shared" si="39"/>
        <v>Corner Rendah</v>
      </c>
      <c r="Y247" t="str">
        <f t="shared" si="35"/>
        <v>Yellow Card Rendah</v>
      </c>
      <c r="Z247" t="str">
        <f t="shared" si="36"/>
        <v>Red Card Rendah</v>
      </c>
    </row>
    <row r="248" spans="1:26" x14ac:dyDescent="0.25">
      <c r="A248" t="s">
        <v>51</v>
      </c>
      <c r="B248">
        <v>0.8</v>
      </c>
      <c r="C248">
        <v>58</v>
      </c>
      <c r="D248">
        <v>559</v>
      </c>
      <c r="E248">
        <v>453</v>
      </c>
      <c r="F248">
        <v>0</v>
      </c>
      <c r="G248" t="s">
        <v>40</v>
      </c>
      <c r="H248">
        <v>0</v>
      </c>
      <c r="I248" t="s">
        <v>40</v>
      </c>
      <c r="J248">
        <v>13</v>
      </c>
      <c r="K248">
        <v>3</v>
      </c>
      <c r="L248">
        <v>10</v>
      </c>
      <c r="M248">
        <v>9</v>
      </c>
      <c r="N248">
        <v>1</v>
      </c>
      <c r="O248">
        <v>0</v>
      </c>
      <c r="Q248" t="str">
        <f t="shared" si="30"/>
        <v>xG Sangat Sedikit</v>
      </c>
      <c r="R248" t="str">
        <f t="shared" si="31"/>
        <v>Possession Cukup Banyak</v>
      </c>
      <c r="S248" t="str">
        <f t="shared" si="32"/>
        <v>Total Pass Cukup Banyak</v>
      </c>
      <c r="T248" t="str">
        <f t="shared" si="33"/>
        <v>Pass Sukses Cukup Banyak</v>
      </c>
      <c r="U248" t="str">
        <f t="shared" si="34"/>
        <v>Total Shot Cukup Sedikit</v>
      </c>
      <c r="V248" t="str">
        <f t="shared" si="37"/>
        <v>Shot on Target Rendah</v>
      </c>
      <c r="W248" t="str">
        <f t="shared" si="38"/>
        <v>Fouls Normal</v>
      </c>
      <c r="X248" t="str">
        <f t="shared" si="39"/>
        <v>Corner Tinggi</v>
      </c>
      <c r="Y248" t="str">
        <f t="shared" si="35"/>
        <v>Yellow Card Rendah</v>
      </c>
      <c r="Z248" t="str">
        <f t="shared" si="36"/>
        <v>Red Card Rendah</v>
      </c>
    </row>
    <row r="249" spans="1:26" x14ac:dyDescent="0.25">
      <c r="A249" t="s">
        <v>55</v>
      </c>
      <c r="B249">
        <v>1.6</v>
      </c>
      <c r="C249">
        <v>58</v>
      </c>
      <c r="D249">
        <v>568</v>
      </c>
      <c r="E249">
        <v>427</v>
      </c>
      <c r="F249">
        <v>1</v>
      </c>
      <c r="G249" t="s">
        <v>40</v>
      </c>
      <c r="H249">
        <v>0</v>
      </c>
      <c r="I249" t="s">
        <v>40</v>
      </c>
      <c r="J249">
        <v>17</v>
      </c>
      <c r="K249">
        <v>6</v>
      </c>
      <c r="L249">
        <v>9</v>
      </c>
      <c r="M249">
        <v>6</v>
      </c>
      <c r="N249">
        <v>0</v>
      </c>
      <c r="O249">
        <v>0</v>
      </c>
      <c r="Q249" t="str">
        <f t="shared" si="30"/>
        <v>xG Cukup Sedikit</v>
      </c>
      <c r="R249" t="str">
        <f t="shared" si="31"/>
        <v>Possession Cukup Banyak</v>
      </c>
      <c r="S249" t="str">
        <f t="shared" si="32"/>
        <v>Total Pass Cukup Banyak</v>
      </c>
      <c r="T249" t="str">
        <f t="shared" si="33"/>
        <v>Pass Sukses Cukup Sedikit</v>
      </c>
      <c r="U249" t="str">
        <f t="shared" si="34"/>
        <v>Total Shot Cukup Sedikit</v>
      </c>
      <c r="V249" t="str">
        <f t="shared" si="37"/>
        <v>Shot on Target Tinggi</v>
      </c>
      <c r="W249" t="str">
        <f t="shared" si="38"/>
        <v>Fouls Normal</v>
      </c>
      <c r="X249" t="str">
        <f t="shared" si="39"/>
        <v>Corner Tinggi</v>
      </c>
      <c r="Y249" t="str">
        <f t="shared" si="35"/>
        <v>Yellow Card Rendah</v>
      </c>
      <c r="Z249" t="str">
        <f t="shared" si="36"/>
        <v>Red Card Rendah</v>
      </c>
    </row>
    <row r="250" spans="1:26" x14ac:dyDescent="0.25">
      <c r="A250" t="s">
        <v>39</v>
      </c>
      <c r="B250">
        <v>1.7</v>
      </c>
      <c r="C250">
        <v>50</v>
      </c>
      <c r="D250">
        <v>489</v>
      </c>
      <c r="E250">
        <v>392</v>
      </c>
      <c r="F250">
        <v>2</v>
      </c>
      <c r="G250" t="s">
        <v>35</v>
      </c>
      <c r="H250">
        <v>2</v>
      </c>
      <c r="I250" t="s">
        <v>35</v>
      </c>
      <c r="J250">
        <v>10</v>
      </c>
      <c r="K250">
        <v>3</v>
      </c>
      <c r="L250">
        <v>15</v>
      </c>
      <c r="M250">
        <v>4</v>
      </c>
      <c r="N250">
        <v>2</v>
      </c>
      <c r="O250">
        <v>0</v>
      </c>
      <c r="Q250" t="str">
        <f t="shared" si="30"/>
        <v>xG Cukup Sedikit</v>
      </c>
      <c r="R250" t="str">
        <f t="shared" si="31"/>
        <v>Possession Cukup Sedikit</v>
      </c>
      <c r="S250" t="str">
        <f t="shared" si="32"/>
        <v>Total Pass Cukup Sedikit</v>
      </c>
      <c r="T250" t="str">
        <f t="shared" si="33"/>
        <v>Pass Sukses Cukup Sedikit</v>
      </c>
      <c r="U250" t="str">
        <f t="shared" si="34"/>
        <v>Total Shot Sangat Sedikit</v>
      </c>
      <c r="V250" t="str">
        <f t="shared" si="37"/>
        <v>Shot on Target Rendah</v>
      </c>
      <c r="W250" t="str">
        <f t="shared" si="38"/>
        <v>Fouls Tinggi</v>
      </c>
      <c r="X250" t="str">
        <f t="shared" si="39"/>
        <v>Corner Rendah</v>
      </c>
      <c r="Y250" t="str">
        <f t="shared" si="35"/>
        <v>Yellow Card Rendah</v>
      </c>
      <c r="Z250" t="str">
        <f t="shared" si="36"/>
        <v>Red Card Rendah</v>
      </c>
    </row>
    <row r="251" spans="1:26" x14ac:dyDescent="0.25">
      <c r="A251" t="s">
        <v>60</v>
      </c>
      <c r="B251">
        <v>2.2000000000000002</v>
      </c>
      <c r="C251">
        <v>55</v>
      </c>
      <c r="D251">
        <v>566</v>
      </c>
      <c r="E251">
        <v>482</v>
      </c>
      <c r="F251">
        <v>1</v>
      </c>
      <c r="G251" t="s">
        <v>35</v>
      </c>
      <c r="H251">
        <v>1</v>
      </c>
      <c r="I251" t="s">
        <v>35</v>
      </c>
      <c r="J251">
        <v>22</v>
      </c>
      <c r="K251">
        <v>7</v>
      </c>
      <c r="L251">
        <v>13</v>
      </c>
      <c r="M251">
        <v>10</v>
      </c>
      <c r="N251">
        <v>1</v>
      </c>
      <c r="O251">
        <v>0</v>
      </c>
      <c r="Q251" t="str">
        <f t="shared" si="30"/>
        <v>xG Cukup Sedikit</v>
      </c>
      <c r="R251" t="str">
        <f t="shared" si="31"/>
        <v>Possession Cukup Banyak</v>
      </c>
      <c r="S251" t="str">
        <f t="shared" si="32"/>
        <v>Total Pass Cukup Banyak</v>
      </c>
      <c r="T251" t="str">
        <f t="shared" si="33"/>
        <v>Pass Sukses Cukup Banyak</v>
      </c>
      <c r="U251" t="str">
        <f t="shared" si="34"/>
        <v>Total Shot Cukup Banyak</v>
      </c>
      <c r="V251" t="str">
        <f t="shared" si="37"/>
        <v>Shot on Target Tinggi</v>
      </c>
      <c r="W251" t="str">
        <f t="shared" si="38"/>
        <v>Fouls Tinggi</v>
      </c>
      <c r="X251" t="str">
        <f t="shared" si="39"/>
        <v>Corner Tinggi</v>
      </c>
      <c r="Y251" t="str">
        <f t="shared" si="35"/>
        <v>Yellow Card Rendah</v>
      </c>
      <c r="Z251" t="str">
        <f t="shared" si="36"/>
        <v>Red Card Rendah</v>
      </c>
    </row>
    <row r="252" spans="1:26" x14ac:dyDescent="0.25">
      <c r="A252" t="s">
        <v>52</v>
      </c>
      <c r="B252">
        <v>0.6</v>
      </c>
      <c r="C252">
        <v>52</v>
      </c>
      <c r="D252">
        <v>486</v>
      </c>
      <c r="E252">
        <v>394</v>
      </c>
      <c r="F252">
        <v>2</v>
      </c>
      <c r="G252" t="s">
        <v>36</v>
      </c>
      <c r="H252">
        <v>2</v>
      </c>
      <c r="I252" t="s">
        <v>35</v>
      </c>
      <c r="J252">
        <v>9</v>
      </c>
      <c r="K252">
        <v>4</v>
      </c>
      <c r="L252">
        <v>8</v>
      </c>
      <c r="M252">
        <v>6</v>
      </c>
      <c r="N252">
        <v>1</v>
      </c>
      <c r="O252">
        <v>0</v>
      </c>
      <c r="Q252" t="str">
        <f t="shared" si="30"/>
        <v>xG Sangat Sedikit</v>
      </c>
      <c r="R252" t="str">
        <f t="shared" si="31"/>
        <v>Possession Cukup Banyak</v>
      </c>
      <c r="S252" t="str">
        <f t="shared" si="32"/>
        <v>Total Pass Cukup Sedikit</v>
      </c>
      <c r="T252" t="str">
        <f t="shared" si="33"/>
        <v>Pass Sukses Cukup Sedikit</v>
      </c>
      <c r="U252" t="str">
        <f t="shared" si="34"/>
        <v>Total Shot Sangat Sedikit</v>
      </c>
      <c r="V252" t="str">
        <f t="shared" si="37"/>
        <v>Shot on Target Normal</v>
      </c>
      <c r="W252" t="str">
        <f t="shared" si="38"/>
        <v>Fouls Rendah</v>
      </c>
      <c r="X252" t="str">
        <f t="shared" si="39"/>
        <v>Corner Tinggi</v>
      </c>
      <c r="Y252" t="str">
        <f t="shared" si="35"/>
        <v>Yellow Card Rendah</v>
      </c>
      <c r="Z252" t="str">
        <f t="shared" si="36"/>
        <v>Red Card Rendah</v>
      </c>
    </row>
    <row r="253" spans="1:26" x14ac:dyDescent="0.25">
      <c r="A253" t="s">
        <v>59</v>
      </c>
      <c r="B253">
        <v>0.5</v>
      </c>
      <c r="C253">
        <v>48</v>
      </c>
      <c r="D253">
        <v>429</v>
      </c>
      <c r="E253">
        <v>333</v>
      </c>
      <c r="F253">
        <v>0</v>
      </c>
      <c r="G253" t="s">
        <v>40</v>
      </c>
      <c r="H253">
        <v>0</v>
      </c>
      <c r="I253" t="s">
        <v>40</v>
      </c>
      <c r="J253">
        <v>8</v>
      </c>
      <c r="K253">
        <v>3</v>
      </c>
      <c r="L253">
        <v>10</v>
      </c>
      <c r="M253">
        <v>5</v>
      </c>
      <c r="N253">
        <v>4</v>
      </c>
      <c r="O253">
        <v>0</v>
      </c>
      <c r="Q253" t="str">
        <f t="shared" si="30"/>
        <v>xG Sangat Sedikit</v>
      </c>
      <c r="R253" t="str">
        <f t="shared" si="31"/>
        <v>Possession Cukup Sedikit</v>
      </c>
      <c r="S253" t="str">
        <f t="shared" si="32"/>
        <v>Total Pass Cukup Sedikit</v>
      </c>
      <c r="T253" t="str">
        <f t="shared" si="33"/>
        <v>Pass Sukses Cukup Sedikit</v>
      </c>
      <c r="U253" t="str">
        <f t="shared" si="34"/>
        <v>Total Shot Sangat Sedikit</v>
      </c>
      <c r="V253" t="str">
        <f t="shared" si="37"/>
        <v>Shot on Target Rendah</v>
      </c>
      <c r="W253" t="str">
        <f t="shared" si="38"/>
        <v>Fouls Normal</v>
      </c>
      <c r="X253" t="str">
        <f t="shared" si="39"/>
        <v>Corner Normal</v>
      </c>
      <c r="Y253" t="str">
        <f t="shared" si="35"/>
        <v>Yellow Card Tinggi</v>
      </c>
      <c r="Z253" t="str">
        <f t="shared" si="36"/>
        <v>Red Card Rendah</v>
      </c>
    </row>
    <row r="254" spans="1:26" x14ac:dyDescent="0.25">
      <c r="A254" t="s">
        <v>44</v>
      </c>
      <c r="B254">
        <v>1.6</v>
      </c>
      <c r="C254">
        <v>38</v>
      </c>
      <c r="D254">
        <v>355</v>
      </c>
      <c r="E254">
        <v>256</v>
      </c>
      <c r="F254">
        <v>2</v>
      </c>
      <c r="G254" t="s">
        <v>36</v>
      </c>
      <c r="H254">
        <v>2</v>
      </c>
      <c r="I254" t="s">
        <v>35</v>
      </c>
      <c r="J254">
        <v>9</v>
      </c>
      <c r="K254">
        <v>8</v>
      </c>
      <c r="L254">
        <v>12</v>
      </c>
      <c r="M254">
        <v>7</v>
      </c>
      <c r="N254">
        <v>4</v>
      </c>
      <c r="O254">
        <v>0</v>
      </c>
      <c r="Q254" t="str">
        <f t="shared" si="30"/>
        <v>xG Cukup Sedikit</v>
      </c>
      <c r="R254" t="str">
        <f t="shared" si="31"/>
        <v>Possession Cukup Sedikit</v>
      </c>
      <c r="S254" t="str">
        <f t="shared" si="32"/>
        <v>Total Pass Sangat Sedikit</v>
      </c>
      <c r="T254" t="str">
        <f t="shared" si="33"/>
        <v>Pass Sukses Sangat Sedikit</v>
      </c>
      <c r="U254" t="str">
        <f t="shared" si="34"/>
        <v>Total Shot Sangat Sedikit</v>
      </c>
      <c r="V254" t="str">
        <f t="shared" si="37"/>
        <v>Shot on Target Tinggi</v>
      </c>
      <c r="W254" t="str">
        <f t="shared" si="38"/>
        <v>Fouls Tinggi</v>
      </c>
      <c r="X254" t="str">
        <f t="shared" si="39"/>
        <v>Corner Tinggi</v>
      </c>
      <c r="Y254" t="str">
        <f t="shared" si="35"/>
        <v>Yellow Card Tinggi</v>
      </c>
      <c r="Z254" t="str">
        <f t="shared" si="36"/>
        <v>Red Card Rendah</v>
      </c>
    </row>
    <row r="255" spans="1:26" x14ac:dyDescent="0.25">
      <c r="A255" t="s">
        <v>42</v>
      </c>
      <c r="B255">
        <v>1.2</v>
      </c>
      <c r="C255">
        <v>68</v>
      </c>
      <c r="D255">
        <v>694</v>
      </c>
      <c r="E255">
        <v>600</v>
      </c>
      <c r="F255">
        <v>0</v>
      </c>
      <c r="G255" t="s">
        <v>40</v>
      </c>
      <c r="H255">
        <v>0</v>
      </c>
      <c r="I255" t="s">
        <v>40</v>
      </c>
      <c r="J255">
        <v>20</v>
      </c>
      <c r="K255">
        <v>2</v>
      </c>
      <c r="L255">
        <v>16</v>
      </c>
      <c r="M255">
        <v>2</v>
      </c>
      <c r="N255">
        <v>1</v>
      </c>
      <c r="O255">
        <v>1</v>
      </c>
      <c r="Q255" t="str">
        <f t="shared" si="30"/>
        <v>xG Sangat Sedikit</v>
      </c>
      <c r="R255" t="str">
        <f t="shared" si="31"/>
        <v>Possession Sangat Banyak</v>
      </c>
      <c r="S255" t="str">
        <f t="shared" si="32"/>
        <v>Total Pass Sangat Banyak</v>
      </c>
      <c r="T255" t="str">
        <f t="shared" si="33"/>
        <v>Pass Sukses Sangat Banyak</v>
      </c>
      <c r="U255" t="str">
        <f t="shared" si="34"/>
        <v>Total Shot Cukup Banyak</v>
      </c>
      <c r="V255" t="str">
        <f t="shared" si="37"/>
        <v>Shot on Target Rendah</v>
      </c>
      <c r="W255" t="str">
        <f t="shared" si="38"/>
        <v>Fouls Tinggi</v>
      </c>
      <c r="X255" t="str">
        <f t="shared" si="39"/>
        <v>Corner Rendah</v>
      </c>
      <c r="Y255" t="str">
        <f t="shared" si="35"/>
        <v>Yellow Card Rendah</v>
      </c>
      <c r="Z255" t="str">
        <f t="shared" si="36"/>
        <v>Red Card Tinggi</v>
      </c>
    </row>
    <row r="256" spans="1:26" x14ac:dyDescent="0.25">
      <c r="A256" t="s">
        <v>49</v>
      </c>
      <c r="B256">
        <v>0.9</v>
      </c>
      <c r="C256">
        <v>46</v>
      </c>
      <c r="D256">
        <v>412</v>
      </c>
      <c r="E256">
        <v>298</v>
      </c>
      <c r="F256">
        <v>0</v>
      </c>
      <c r="G256" t="s">
        <v>40</v>
      </c>
      <c r="H256">
        <v>0</v>
      </c>
      <c r="I256" t="s">
        <v>40</v>
      </c>
      <c r="J256">
        <v>8</v>
      </c>
      <c r="K256">
        <v>3</v>
      </c>
      <c r="L256">
        <v>17</v>
      </c>
      <c r="M256">
        <v>6</v>
      </c>
      <c r="N256">
        <v>3</v>
      </c>
      <c r="O256">
        <v>1</v>
      </c>
      <c r="Q256" t="str">
        <f t="shared" si="30"/>
        <v>xG Sangat Sedikit</v>
      </c>
      <c r="R256" t="str">
        <f t="shared" si="31"/>
        <v>Possession Cukup Sedikit</v>
      </c>
      <c r="S256" t="str">
        <f t="shared" si="32"/>
        <v>Total Pass Cukup Sedikit</v>
      </c>
      <c r="T256" t="str">
        <f t="shared" si="33"/>
        <v>Pass Sukses Cukup Sedikit</v>
      </c>
      <c r="U256" t="str">
        <f t="shared" si="34"/>
        <v>Total Shot Sangat Sedikit</v>
      </c>
      <c r="V256" t="str">
        <f t="shared" si="37"/>
        <v>Shot on Target Rendah</v>
      </c>
      <c r="W256" t="str">
        <f t="shared" si="38"/>
        <v>Fouls Tinggi</v>
      </c>
      <c r="X256" t="str">
        <f t="shared" si="39"/>
        <v>Corner Tinggi</v>
      </c>
      <c r="Y256" t="str">
        <f t="shared" si="35"/>
        <v>Yellow Card Tinggi</v>
      </c>
      <c r="Z256" t="str">
        <f t="shared" si="36"/>
        <v>Red Card Tinggi</v>
      </c>
    </row>
    <row r="257" spans="1:26" x14ac:dyDescent="0.25">
      <c r="A257" t="s">
        <v>34</v>
      </c>
      <c r="B257">
        <v>0.2</v>
      </c>
      <c r="C257">
        <v>62</v>
      </c>
      <c r="D257">
        <v>588</v>
      </c>
      <c r="E257">
        <v>471</v>
      </c>
      <c r="F257">
        <v>0</v>
      </c>
      <c r="G257" t="s">
        <v>40</v>
      </c>
      <c r="H257">
        <v>0</v>
      </c>
      <c r="I257" t="s">
        <v>40</v>
      </c>
      <c r="J257">
        <v>10</v>
      </c>
      <c r="K257">
        <v>0</v>
      </c>
      <c r="L257">
        <v>10</v>
      </c>
      <c r="M257">
        <v>7</v>
      </c>
      <c r="N257">
        <v>1</v>
      </c>
      <c r="O257">
        <v>0</v>
      </c>
      <c r="Q257" t="str">
        <f t="shared" si="30"/>
        <v>xG Sangat Sedikit</v>
      </c>
      <c r="R257" t="str">
        <f t="shared" si="31"/>
        <v>Possession Cukup Banyak</v>
      </c>
      <c r="S257" t="str">
        <f t="shared" si="32"/>
        <v>Total Pass Cukup Banyak</v>
      </c>
      <c r="T257" t="str">
        <f t="shared" si="33"/>
        <v>Pass Sukses Cukup Banyak</v>
      </c>
      <c r="U257" t="str">
        <f t="shared" si="34"/>
        <v>Total Shot Sangat Sedikit</v>
      </c>
      <c r="V257" t="str">
        <f t="shared" si="37"/>
        <v>Shot on Target Rendah</v>
      </c>
      <c r="W257" t="str">
        <f t="shared" si="38"/>
        <v>Fouls Normal</v>
      </c>
      <c r="X257" t="str">
        <f t="shared" si="39"/>
        <v>Corner Tinggi</v>
      </c>
      <c r="Y257" t="str">
        <f t="shared" si="35"/>
        <v>Yellow Card Rendah</v>
      </c>
      <c r="Z257" t="str">
        <f t="shared" si="36"/>
        <v>Red Card Rendah</v>
      </c>
    </row>
    <row r="258" spans="1:26" x14ac:dyDescent="0.25">
      <c r="A258" t="s">
        <v>38</v>
      </c>
      <c r="B258">
        <v>1.1000000000000001</v>
      </c>
      <c r="C258">
        <v>42</v>
      </c>
      <c r="D258">
        <v>391</v>
      </c>
      <c r="E258">
        <v>312</v>
      </c>
      <c r="F258">
        <v>1</v>
      </c>
      <c r="G258" t="s">
        <v>40</v>
      </c>
      <c r="H258">
        <v>1</v>
      </c>
      <c r="I258" t="s">
        <v>40</v>
      </c>
      <c r="J258">
        <v>17</v>
      </c>
      <c r="K258">
        <v>5</v>
      </c>
      <c r="L258">
        <v>15</v>
      </c>
      <c r="M258">
        <v>4</v>
      </c>
      <c r="N258">
        <v>2</v>
      </c>
      <c r="O258">
        <v>0</v>
      </c>
      <c r="Q258" t="str">
        <f t="shared" si="30"/>
        <v>xG Sangat Sedikit</v>
      </c>
      <c r="R258" t="str">
        <f t="shared" si="31"/>
        <v>Possession Cukup Sedikit</v>
      </c>
      <c r="S258" t="str">
        <f t="shared" si="32"/>
        <v>Total Pass Cukup Sedikit</v>
      </c>
      <c r="T258" t="str">
        <f t="shared" si="33"/>
        <v>Pass Sukses Cukup Sedikit</v>
      </c>
      <c r="U258" t="str">
        <f t="shared" si="34"/>
        <v>Total Shot Cukup Sedikit</v>
      </c>
      <c r="V258" t="str">
        <f t="shared" si="37"/>
        <v>Shot on Target Tinggi</v>
      </c>
      <c r="W258" t="str">
        <f t="shared" si="38"/>
        <v>Fouls Tinggi</v>
      </c>
      <c r="X258" t="str">
        <f t="shared" si="39"/>
        <v>Corner Rendah</v>
      </c>
      <c r="Y258" t="str">
        <f t="shared" si="35"/>
        <v>Yellow Card Rendah</v>
      </c>
      <c r="Z258" t="str">
        <f t="shared" si="36"/>
        <v>Red Card Rendah</v>
      </c>
    </row>
    <row r="259" spans="1:26" x14ac:dyDescent="0.25">
      <c r="A259" t="s">
        <v>47</v>
      </c>
      <c r="B259">
        <v>0.1</v>
      </c>
      <c r="C259">
        <v>50</v>
      </c>
      <c r="D259">
        <v>467</v>
      </c>
      <c r="E259">
        <v>369</v>
      </c>
      <c r="F259">
        <v>0</v>
      </c>
      <c r="G259" t="s">
        <v>40</v>
      </c>
      <c r="H259">
        <v>0</v>
      </c>
      <c r="I259" t="s">
        <v>40</v>
      </c>
      <c r="J259">
        <v>6</v>
      </c>
      <c r="K259">
        <v>1</v>
      </c>
      <c r="L259">
        <v>11</v>
      </c>
      <c r="M259">
        <v>5</v>
      </c>
      <c r="N259">
        <v>2</v>
      </c>
      <c r="O259">
        <v>0</v>
      </c>
      <c r="Q259" t="str">
        <f t="shared" ref="Q259:Q322" si="40">_xlfn.LET(
 _xlpm.x,B259,
 _xlpm.min,MIN($B$2:$B$761),
 _xlpm.max,MAX($B$2:$B$761),
 _xlpm.persen,(_xlpm.x-_xlpm.min)/(_xlpm.max-_xlpm.min)*100,
 IF(_xlpm.persen&lt;=25,"xG Sangat Sedikit",
   IF(_xlpm.persen&lt;=50,"xG Cukup Sedikit",
     IF(_xlpm.persen&lt;=75,"xG Cukup Banyak",
       "xG Sangat Banyak"))))</f>
        <v>xG Sangat Sedikit</v>
      </c>
      <c r="R259" t="str">
        <f t="shared" ref="R259:R322" si="41">_xlfn.LET(
 _xlpm.x,C259,
 _xlpm.min,MIN($C$2:$C$761),
 _xlpm.max,MAX($C$2:$C$761),
 _xlpm.persen,(_xlpm.x-_xlpm.min)/(_xlpm.max-_xlpm.min)*100,
 IF(_xlpm.persen&lt;=25,"Possession Sangat Sedikit",
   IF(_xlpm.persen&lt;=50,"Possession Cukup Sedikit",
     IF(_xlpm.persen&lt;=75,"Possession Cukup Banyak",
       "Possession Sangat Banyak"))))</f>
        <v>Possession Cukup Sedikit</v>
      </c>
      <c r="S259" t="str">
        <f t="shared" ref="S259:S322" si="42">_xlfn.LET(
 _xlpm.x,D259,
 _xlpm.min,MIN($D$2:$D$761),
 _xlpm.max,MAX($D$2:$D$761),
 _xlpm.persen,(_xlpm.x-_xlpm.min)/(_xlpm.max-_xlpm.min)*100,
 IF(_xlpm.persen&lt;=25,"Total Pass Sangat Sedikit",
   IF(_xlpm.persen&lt;=50,"Total Pass Cukup Sedikit",
     IF(_xlpm.persen&lt;=75,"Total Pass Cukup Banyak",
       "Total Pass Sangat Banyak"))))</f>
        <v>Total Pass Cukup Sedikit</v>
      </c>
      <c r="T259" t="str">
        <f t="shared" ref="T259:T322" si="43">_xlfn.LET(
 _xlpm.x,E259,
 _xlpm.min,MIN($E$2:$E$761),
 _xlpm.max,MAX($E$2:$E$761),
 _xlpm.persen,(_xlpm.x-_xlpm.min)/(_xlpm.max-_xlpm.min)*100,
 IF(_xlpm.persen&lt;=25,"Pass Sukses Sangat Sedikit",
   IF(_xlpm.persen&lt;=50,"Pass Sukses Cukup Sedikit",
     IF(_xlpm.persen&lt;=75,"Pass Sukses Cukup Banyak",
       "Pass Sukses Sangat Banyak"))))</f>
        <v>Pass Sukses Cukup Sedikit</v>
      </c>
      <c r="U259" t="str">
        <f t="shared" ref="U259:U322" si="44">_xlfn.LET(
 _xlpm.x,J259,
 _xlpm.min,MIN($J$2:$J$761),
 _xlpm.max,MAX($J$2:$J$761),
 _xlpm.persen,(_xlpm.x-_xlpm.min)/(_xlpm.max-_xlpm.min)*100,
 IF(_xlpm.persen&lt;=25,"Total Shot Sangat Sedikit",
   IF(_xlpm.persen&lt;=50,"Total Shot Cukup Sedikit",
     IF(_xlpm.persen&lt;=75,"Total Shot Cukup Banyak",
       "Total Shot Sangat Banyak"))))</f>
        <v>Total Shot Sangat Sedikit</v>
      </c>
      <c r="V259" t="str">
        <f t="shared" si="37"/>
        <v>Shot on Target Rendah</v>
      </c>
      <c r="W259" t="str">
        <f t="shared" si="38"/>
        <v>Fouls Normal</v>
      </c>
      <c r="X259" t="str">
        <f t="shared" si="39"/>
        <v>Corner Normal</v>
      </c>
      <c r="Y259" t="str">
        <f t="shared" ref="Y259:Y322" si="45">IF(N259&lt;$Y$1,"Yellow Card Rendah","Yellow Card Tinggi")</f>
        <v>Yellow Card Rendah</v>
      </c>
      <c r="Z259" t="str">
        <f t="shared" ref="Z259:Z322" si="46">IF(O259&lt;$Z$1,"Red Card Rendah","Red Card Tinggi")</f>
        <v>Red Card Rendah</v>
      </c>
    </row>
    <row r="260" spans="1:26" x14ac:dyDescent="0.25">
      <c r="A260" t="s">
        <v>52</v>
      </c>
      <c r="B260">
        <v>2.2999999999999998</v>
      </c>
      <c r="C260">
        <v>52</v>
      </c>
      <c r="D260">
        <v>518</v>
      </c>
      <c r="E260">
        <v>441</v>
      </c>
      <c r="F260">
        <v>2</v>
      </c>
      <c r="G260" t="s">
        <v>35</v>
      </c>
      <c r="H260">
        <v>0</v>
      </c>
      <c r="I260" t="s">
        <v>40</v>
      </c>
      <c r="J260">
        <v>12</v>
      </c>
      <c r="K260">
        <v>6</v>
      </c>
      <c r="L260">
        <v>15</v>
      </c>
      <c r="M260">
        <v>2</v>
      </c>
      <c r="N260">
        <v>1</v>
      </c>
      <c r="O260">
        <v>0</v>
      </c>
      <c r="Q260" t="str">
        <f t="shared" si="40"/>
        <v>xG Cukup Sedikit</v>
      </c>
      <c r="R260" t="str">
        <f t="shared" si="41"/>
        <v>Possession Cukup Banyak</v>
      </c>
      <c r="S260" t="str">
        <f t="shared" si="42"/>
        <v>Total Pass Cukup Banyak</v>
      </c>
      <c r="T260" t="str">
        <f t="shared" si="43"/>
        <v>Pass Sukses Cukup Banyak</v>
      </c>
      <c r="U260" t="str">
        <f t="shared" si="44"/>
        <v>Total Shot Cukup Sedikit</v>
      </c>
      <c r="V260" t="str">
        <f t="shared" ref="V260:V323" si="47">IF(K260&gt;$V$1,"Shot on Target Tinggi",IF(K260&gt;($V$1/5*4),"Shot on Target Normal","Shot on Target Rendah"))</f>
        <v>Shot on Target Tinggi</v>
      </c>
      <c r="W260" t="str">
        <f t="shared" ref="W260:W323" si="48">IF(L260&gt;$W$1,"Fouls Tinggi",IF(L260&gt;($W$1/5*4),"Fouls Normal","Fouls Rendah"))</f>
        <v>Fouls Tinggi</v>
      </c>
      <c r="X260" t="str">
        <f t="shared" ref="X260:X323" si="49">IF(M260&gt;$X$1,"Corner Tinggi",IF(M260&gt;($X$1/5*4),"Corner Normal","Corner Rendah"))</f>
        <v>Corner Rendah</v>
      </c>
      <c r="Y260" t="str">
        <f t="shared" si="45"/>
        <v>Yellow Card Rendah</v>
      </c>
      <c r="Z260" t="str">
        <f t="shared" si="46"/>
        <v>Red Card Rendah</v>
      </c>
    </row>
    <row r="261" spans="1:26" x14ac:dyDescent="0.25">
      <c r="A261" t="s">
        <v>46</v>
      </c>
      <c r="B261">
        <v>2.9</v>
      </c>
      <c r="C261">
        <v>57</v>
      </c>
      <c r="D261">
        <v>512</v>
      </c>
      <c r="E261">
        <v>407</v>
      </c>
      <c r="F261">
        <v>4</v>
      </c>
      <c r="G261" t="s">
        <v>35</v>
      </c>
      <c r="H261">
        <v>4</v>
      </c>
      <c r="I261" t="s">
        <v>35</v>
      </c>
      <c r="J261">
        <v>13</v>
      </c>
      <c r="K261">
        <v>5</v>
      </c>
      <c r="L261">
        <v>11</v>
      </c>
      <c r="M261">
        <v>7</v>
      </c>
      <c r="N261">
        <v>1</v>
      </c>
      <c r="O261">
        <v>0</v>
      </c>
      <c r="Q261" t="str">
        <f t="shared" si="40"/>
        <v>xG Cukup Banyak</v>
      </c>
      <c r="R261" t="str">
        <f t="shared" si="41"/>
        <v>Possession Cukup Banyak</v>
      </c>
      <c r="S261" t="str">
        <f t="shared" si="42"/>
        <v>Total Pass Cukup Banyak</v>
      </c>
      <c r="T261" t="str">
        <f t="shared" si="43"/>
        <v>Pass Sukses Cukup Sedikit</v>
      </c>
      <c r="U261" t="str">
        <f t="shared" si="44"/>
        <v>Total Shot Cukup Sedikit</v>
      </c>
      <c r="V261" t="str">
        <f t="shared" si="47"/>
        <v>Shot on Target Tinggi</v>
      </c>
      <c r="W261" t="str">
        <f t="shared" si="48"/>
        <v>Fouls Normal</v>
      </c>
      <c r="X261" t="str">
        <f t="shared" si="49"/>
        <v>Corner Tinggi</v>
      </c>
      <c r="Y261" t="str">
        <f t="shared" si="45"/>
        <v>Yellow Card Rendah</v>
      </c>
      <c r="Z261" t="str">
        <f t="shared" si="46"/>
        <v>Red Card Rendah</v>
      </c>
    </row>
    <row r="262" spans="1:26" x14ac:dyDescent="0.25">
      <c r="A262" t="s">
        <v>58</v>
      </c>
      <c r="B262">
        <v>0.6</v>
      </c>
      <c r="C262">
        <v>66</v>
      </c>
      <c r="D262">
        <v>704</v>
      </c>
      <c r="E262">
        <v>627</v>
      </c>
      <c r="F262">
        <v>0</v>
      </c>
      <c r="G262" t="s">
        <v>40</v>
      </c>
      <c r="H262">
        <v>0</v>
      </c>
      <c r="I262" t="s">
        <v>40</v>
      </c>
      <c r="J262">
        <v>16</v>
      </c>
      <c r="K262">
        <v>5</v>
      </c>
      <c r="L262">
        <v>3</v>
      </c>
      <c r="M262">
        <v>7</v>
      </c>
      <c r="N262">
        <v>0</v>
      </c>
      <c r="O262">
        <v>0</v>
      </c>
      <c r="Q262" t="str">
        <f t="shared" si="40"/>
        <v>xG Sangat Sedikit</v>
      </c>
      <c r="R262" t="str">
        <f t="shared" si="41"/>
        <v>Possession Sangat Banyak</v>
      </c>
      <c r="S262" t="str">
        <f t="shared" si="42"/>
        <v>Total Pass Sangat Banyak</v>
      </c>
      <c r="T262" t="str">
        <f t="shared" si="43"/>
        <v>Pass Sukses Sangat Banyak</v>
      </c>
      <c r="U262" t="str">
        <f t="shared" si="44"/>
        <v>Total Shot Cukup Sedikit</v>
      </c>
      <c r="V262" t="str">
        <f t="shared" si="47"/>
        <v>Shot on Target Tinggi</v>
      </c>
      <c r="W262" t="str">
        <f t="shared" si="48"/>
        <v>Fouls Rendah</v>
      </c>
      <c r="X262" t="str">
        <f t="shared" si="49"/>
        <v>Corner Tinggi</v>
      </c>
      <c r="Y262" t="str">
        <f t="shared" si="45"/>
        <v>Yellow Card Rendah</v>
      </c>
      <c r="Z262" t="str">
        <f t="shared" si="46"/>
        <v>Red Card Rendah</v>
      </c>
    </row>
    <row r="263" spans="1:26" x14ac:dyDescent="0.25">
      <c r="A263" t="s">
        <v>45</v>
      </c>
      <c r="B263">
        <v>2.4</v>
      </c>
      <c r="C263">
        <v>44</v>
      </c>
      <c r="D263">
        <v>404</v>
      </c>
      <c r="E263">
        <v>285</v>
      </c>
      <c r="F263">
        <v>2</v>
      </c>
      <c r="G263" t="s">
        <v>35</v>
      </c>
      <c r="H263">
        <v>1</v>
      </c>
      <c r="I263" t="s">
        <v>35</v>
      </c>
      <c r="J263">
        <v>11</v>
      </c>
      <c r="K263">
        <v>4</v>
      </c>
      <c r="L263">
        <v>12</v>
      </c>
      <c r="M263">
        <v>1</v>
      </c>
      <c r="N263">
        <v>2</v>
      </c>
      <c r="O263">
        <v>0</v>
      </c>
      <c r="Q263" t="str">
        <f t="shared" si="40"/>
        <v>xG Cukup Sedikit</v>
      </c>
      <c r="R263" t="str">
        <f t="shared" si="41"/>
        <v>Possession Cukup Sedikit</v>
      </c>
      <c r="S263" t="str">
        <f t="shared" si="42"/>
        <v>Total Pass Cukup Sedikit</v>
      </c>
      <c r="T263" t="str">
        <f t="shared" si="43"/>
        <v>Pass Sukses Cukup Sedikit</v>
      </c>
      <c r="U263" t="str">
        <f t="shared" si="44"/>
        <v>Total Shot Cukup Sedikit</v>
      </c>
      <c r="V263" t="str">
        <f t="shared" si="47"/>
        <v>Shot on Target Normal</v>
      </c>
      <c r="W263" t="str">
        <f t="shared" si="48"/>
        <v>Fouls Tinggi</v>
      </c>
      <c r="X263" t="str">
        <f t="shared" si="49"/>
        <v>Corner Rendah</v>
      </c>
      <c r="Y263" t="str">
        <f t="shared" si="45"/>
        <v>Yellow Card Rendah</v>
      </c>
      <c r="Z263" t="str">
        <f t="shared" si="46"/>
        <v>Red Card Rendah</v>
      </c>
    </row>
    <row r="264" spans="1:26" x14ac:dyDescent="0.25">
      <c r="A264" t="s">
        <v>55</v>
      </c>
      <c r="B264">
        <v>4.3</v>
      </c>
      <c r="C264">
        <v>36</v>
      </c>
      <c r="D264">
        <v>290</v>
      </c>
      <c r="E264">
        <v>202</v>
      </c>
      <c r="F264">
        <v>4</v>
      </c>
      <c r="G264" t="s">
        <v>35</v>
      </c>
      <c r="H264">
        <v>1</v>
      </c>
      <c r="I264" t="s">
        <v>35</v>
      </c>
      <c r="J264">
        <v>19</v>
      </c>
      <c r="K264">
        <v>6</v>
      </c>
      <c r="L264">
        <v>19</v>
      </c>
      <c r="M264">
        <v>3</v>
      </c>
      <c r="N264">
        <v>3</v>
      </c>
      <c r="O264">
        <v>0</v>
      </c>
      <c r="Q264" t="str">
        <f t="shared" si="40"/>
        <v>xG Sangat Banyak</v>
      </c>
      <c r="R264" t="str">
        <f t="shared" si="41"/>
        <v>Possession Sangat Sedikit</v>
      </c>
      <c r="S264" t="str">
        <f t="shared" si="42"/>
        <v>Total Pass Sangat Sedikit</v>
      </c>
      <c r="T264" t="str">
        <f t="shared" si="43"/>
        <v>Pass Sukses Sangat Sedikit</v>
      </c>
      <c r="U264" t="str">
        <f t="shared" si="44"/>
        <v>Total Shot Cukup Sedikit</v>
      </c>
      <c r="V264" t="str">
        <f t="shared" si="47"/>
        <v>Shot on Target Tinggi</v>
      </c>
      <c r="W264" t="str">
        <f t="shared" si="48"/>
        <v>Fouls Tinggi</v>
      </c>
      <c r="X264" t="str">
        <f t="shared" si="49"/>
        <v>Corner Rendah</v>
      </c>
      <c r="Y264" t="str">
        <f t="shared" si="45"/>
        <v>Yellow Card Tinggi</v>
      </c>
      <c r="Z264" t="str">
        <f t="shared" si="46"/>
        <v>Red Card Rendah</v>
      </c>
    </row>
    <row r="265" spans="1:26" x14ac:dyDescent="0.25">
      <c r="A265" t="s">
        <v>43</v>
      </c>
      <c r="B265">
        <v>1.3</v>
      </c>
      <c r="C265">
        <v>60</v>
      </c>
      <c r="D265">
        <v>625</v>
      </c>
      <c r="E265">
        <v>535</v>
      </c>
      <c r="F265">
        <v>1</v>
      </c>
      <c r="G265" t="s">
        <v>40</v>
      </c>
      <c r="H265">
        <v>1</v>
      </c>
      <c r="I265" t="s">
        <v>36</v>
      </c>
      <c r="J265">
        <v>18</v>
      </c>
      <c r="K265">
        <v>5</v>
      </c>
      <c r="L265">
        <v>8</v>
      </c>
      <c r="M265">
        <v>7</v>
      </c>
      <c r="N265">
        <v>1</v>
      </c>
      <c r="O265">
        <v>0</v>
      </c>
      <c r="Q265" t="str">
        <f t="shared" si="40"/>
        <v>xG Sangat Sedikit</v>
      </c>
      <c r="R265" t="str">
        <f t="shared" si="41"/>
        <v>Possession Cukup Banyak</v>
      </c>
      <c r="S265" t="str">
        <f t="shared" si="42"/>
        <v>Total Pass Cukup Banyak</v>
      </c>
      <c r="T265" t="str">
        <f t="shared" si="43"/>
        <v>Pass Sukses Cukup Banyak</v>
      </c>
      <c r="U265" t="str">
        <f t="shared" si="44"/>
        <v>Total Shot Cukup Sedikit</v>
      </c>
      <c r="V265" t="str">
        <f t="shared" si="47"/>
        <v>Shot on Target Tinggi</v>
      </c>
      <c r="W265" t="str">
        <f t="shared" si="48"/>
        <v>Fouls Rendah</v>
      </c>
      <c r="X265" t="str">
        <f t="shared" si="49"/>
        <v>Corner Tinggi</v>
      </c>
      <c r="Y265" t="str">
        <f t="shared" si="45"/>
        <v>Yellow Card Rendah</v>
      </c>
      <c r="Z265" t="str">
        <f t="shared" si="46"/>
        <v>Red Card Rendah</v>
      </c>
    </row>
    <row r="266" spans="1:26" x14ac:dyDescent="0.25">
      <c r="A266" t="s">
        <v>57</v>
      </c>
      <c r="B266">
        <v>2.4</v>
      </c>
      <c r="C266">
        <v>60</v>
      </c>
      <c r="D266">
        <v>648</v>
      </c>
      <c r="E266">
        <v>585</v>
      </c>
      <c r="F266">
        <v>4</v>
      </c>
      <c r="G266" t="s">
        <v>35</v>
      </c>
      <c r="H266">
        <v>3</v>
      </c>
      <c r="I266" t="s">
        <v>35</v>
      </c>
      <c r="J266">
        <v>19</v>
      </c>
      <c r="K266">
        <v>10</v>
      </c>
      <c r="L266">
        <v>6</v>
      </c>
      <c r="M266">
        <v>4</v>
      </c>
      <c r="N266">
        <v>1</v>
      </c>
      <c r="O266">
        <v>0</v>
      </c>
      <c r="Q266" t="str">
        <f t="shared" si="40"/>
        <v>xG Cukup Sedikit</v>
      </c>
      <c r="R266" t="str">
        <f t="shared" si="41"/>
        <v>Possession Cukup Banyak</v>
      </c>
      <c r="S266" t="str">
        <f t="shared" si="42"/>
        <v>Total Pass Cukup Banyak</v>
      </c>
      <c r="T266" t="str">
        <f t="shared" si="43"/>
        <v>Pass Sukses Cukup Banyak</v>
      </c>
      <c r="U266" t="str">
        <f t="shared" si="44"/>
        <v>Total Shot Cukup Sedikit</v>
      </c>
      <c r="V266" t="str">
        <f t="shared" si="47"/>
        <v>Shot on Target Tinggi</v>
      </c>
      <c r="W266" t="str">
        <f t="shared" si="48"/>
        <v>Fouls Rendah</v>
      </c>
      <c r="X266" t="str">
        <f t="shared" si="49"/>
        <v>Corner Rendah</v>
      </c>
      <c r="Y266" t="str">
        <f t="shared" si="45"/>
        <v>Yellow Card Rendah</v>
      </c>
      <c r="Z266" t="str">
        <f t="shared" si="46"/>
        <v>Red Card Rendah</v>
      </c>
    </row>
    <row r="267" spans="1:26" x14ac:dyDescent="0.25">
      <c r="A267" t="s">
        <v>54</v>
      </c>
      <c r="B267">
        <v>1.4</v>
      </c>
      <c r="C267">
        <v>52</v>
      </c>
      <c r="D267">
        <v>507</v>
      </c>
      <c r="E267">
        <v>411</v>
      </c>
      <c r="F267">
        <v>1</v>
      </c>
      <c r="G267" t="s">
        <v>36</v>
      </c>
      <c r="H267">
        <v>1</v>
      </c>
      <c r="I267" t="s">
        <v>35</v>
      </c>
      <c r="J267">
        <v>12</v>
      </c>
      <c r="K267">
        <v>3</v>
      </c>
      <c r="L267">
        <v>3</v>
      </c>
      <c r="M267">
        <v>2</v>
      </c>
      <c r="N267">
        <v>2</v>
      </c>
      <c r="O267">
        <v>0</v>
      </c>
      <c r="Q267" t="str">
        <f t="shared" si="40"/>
        <v>xG Sangat Sedikit</v>
      </c>
      <c r="R267" t="str">
        <f t="shared" si="41"/>
        <v>Possession Cukup Banyak</v>
      </c>
      <c r="S267" t="str">
        <f t="shared" si="42"/>
        <v>Total Pass Cukup Sedikit</v>
      </c>
      <c r="T267" t="str">
        <f t="shared" si="43"/>
        <v>Pass Sukses Cukup Sedikit</v>
      </c>
      <c r="U267" t="str">
        <f t="shared" si="44"/>
        <v>Total Shot Cukup Sedikit</v>
      </c>
      <c r="V267" t="str">
        <f t="shared" si="47"/>
        <v>Shot on Target Rendah</v>
      </c>
      <c r="W267" t="str">
        <f t="shared" si="48"/>
        <v>Fouls Rendah</v>
      </c>
      <c r="X267" t="str">
        <f t="shared" si="49"/>
        <v>Corner Rendah</v>
      </c>
      <c r="Y267" t="str">
        <f t="shared" si="45"/>
        <v>Yellow Card Rendah</v>
      </c>
      <c r="Z267" t="str">
        <f t="shared" si="46"/>
        <v>Red Card Rendah</v>
      </c>
    </row>
    <row r="268" spans="1:26" x14ac:dyDescent="0.25">
      <c r="A268" t="s">
        <v>33</v>
      </c>
      <c r="B268">
        <v>0.7</v>
      </c>
      <c r="C268">
        <v>45</v>
      </c>
      <c r="D268">
        <v>397</v>
      </c>
      <c r="E268">
        <v>313</v>
      </c>
      <c r="F268">
        <v>3</v>
      </c>
      <c r="G268" t="s">
        <v>35</v>
      </c>
      <c r="H268">
        <v>2</v>
      </c>
      <c r="I268" t="s">
        <v>36</v>
      </c>
      <c r="J268">
        <v>10</v>
      </c>
      <c r="K268">
        <v>6</v>
      </c>
      <c r="L268">
        <v>9</v>
      </c>
      <c r="M268">
        <v>5</v>
      </c>
      <c r="N268">
        <v>4</v>
      </c>
      <c r="O268">
        <v>1</v>
      </c>
      <c r="Q268" t="str">
        <f t="shared" si="40"/>
        <v>xG Sangat Sedikit</v>
      </c>
      <c r="R268" t="str">
        <f t="shared" si="41"/>
        <v>Possession Cukup Sedikit</v>
      </c>
      <c r="S268" t="str">
        <f t="shared" si="42"/>
        <v>Total Pass Cukup Sedikit</v>
      </c>
      <c r="T268" t="str">
        <f t="shared" si="43"/>
        <v>Pass Sukses Cukup Sedikit</v>
      </c>
      <c r="U268" t="str">
        <f t="shared" si="44"/>
        <v>Total Shot Sangat Sedikit</v>
      </c>
      <c r="V268" t="str">
        <f t="shared" si="47"/>
        <v>Shot on Target Tinggi</v>
      </c>
      <c r="W268" t="str">
        <f t="shared" si="48"/>
        <v>Fouls Normal</v>
      </c>
      <c r="X268" t="str">
        <f t="shared" si="49"/>
        <v>Corner Normal</v>
      </c>
      <c r="Y268" t="str">
        <f t="shared" si="45"/>
        <v>Yellow Card Tinggi</v>
      </c>
      <c r="Z268" t="str">
        <f t="shared" si="46"/>
        <v>Red Card Tinggi</v>
      </c>
    </row>
    <row r="269" spans="1:26" x14ac:dyDescent="0.25">
      <c r="A269" t="s">
        <v>48</v>
      </c>
      <c r="B269">
        <v>0.4</v>
      </c>
      <c r="C269">
        <v>36</v>
      </c>
      <c r="D269">
        <v>303</v>
      </c>
      <c r="E269">
        <v>213</v>
      </c>
      <c r="F269">
        <v>0</v>
      </c>
      <c r="G269" t="s">
        <v>36</v>
      </c>
      <c r="H269">
        <v>0</v>
      </c>
      <c r="I269" t="s">
        <v>36</v>
      </c>
      <c r="J269">
        <v>6</v>
      </c>
      <c r="K269">
        <v>2</v>
      </c>
      <c r="L269">
        <v>10</v>
      </c>
      <c r="M269">
        <v>3</v>
      </c>
      <c r="N269">
        <v>1</v>
      </c>
      <c r="O269">
        <v>0</v>
      </c>
      <c r="Q269" t="str">
        <f t="shared" si="40"/>
        <v>xG Sangat Sedikit</v>
      </c>
      <c r="R269" t="str">
        <f t="shared" si="41"/>
        <v>Possession Sangat Sedikit</v>
      </c>
      <c r="S269" t="str">
        <f t="shared" si="42"/>
        <v>Total Pass Sangat Sedikit</v>
      </c>
      <c r="T269" t="str">
        <f t="shared" si="43"/>
        <v>Pass Sukses Sangat Sedikit</v>
      </c>
      <c r="U269" t="str">
        <f t="shared" si="44"/>
        <v>Total Shot Sangat Sedikit</v>
      </c>
      <c r="V269" t="str">
        <f t="shared" si="47"/>
        <v>Shot on Target Rendah</v>
      </c>
      <c r="W269" t="str">
        <f t="shared" si="48"/>
        <v>Fouls Normal</v>
      </c>
      <c r="X269" t="str">
        <f t="shared" si="49"/>
        <v>Corner Rendah</v>
      </c>
      <c r="Y269" t="str">
        <f t="shared" si="45"/>
        <v>Yellow Card Rendah</v>
      </c>
      <c r="Z269" t="str">
        <f t="shared" si="46"/>
        <v>Red Card Rendah</v>
      </c>
    </row>
    <row r="270" spans="1:26" x14ac:dyDescent="0.25">
      <c r="A270" t="s">
        <v>60</v>
      </c>
      <c r="B270">
        <v>1.3</v>
      </c>
      <c r="C270">
        <v>55</v>
      </c>
      <c r="D270">
        <v>569</v>
      </c>
      <c r="E270">
        <v>497</v>
      </c>
      <c r="F270">
        <v>0</v>
      </c>
      <c r="G270" t="s">
        <v>40</v>
      </c>
      <c r="H270">
        <v>0</v>
      </c>
      <c r="I270" t="s">
        <v>40</v>
      </c>
      <c r="J270">
        <v>11</v>
      </c>
      <c r="K270">
        <v>6</v>
      </c>
      <c r="L270">
        <v>12</v>
      </c>
      <c r="M270">
        <v>8</v>
      </c>
      <c r="N270">
        <v>3</v>
      </c>
      <c r="O270">
        <v>0</v>
      </c>
      <c r="Q270" t="str">
        <f t="shared" si="40"/>
        <v>xG Sangat Sedikit</v>
      </c>
      <c r="R270" t="str">
        <f t="shared" si="41"/>
        <v>Possession Cukup Banyak</v>
      </c>
      <c r="S270" t="str">
        <f t="shared" si="42"/>
        <v>Total Pass Cukup Banyak</v>
      </c>
      <c r="T270" t="str">
        <f t="shared" si="43"/>
        <v>Pass Sukses Cukup Banyak</v>
      </c>
      <c r="U270" t="str">
        <f t="shared" si="44"/>
        <v>Total Shot Cukup Sedikit</v>
      </c>
      <c r="V270" t="str">
        <f t="shared" si="47"/>
        <v>Shot on Target Tinggi</v>
      </c>
      <c r="W270" t="str">
        <f t="shared" si="48"/>
        <v>Fouls Tinggi</v>
      </c>
      <c r="X270" t="str">
        <f t="shared" si="49"/>
        <v>Corner Tinggi</v>
      </c>
      <c r="Y270" t="str">
        <f t="shared" si="45"/>
        <v>Yellow Card Tinggi</v>
      </c>
      <c r="Z270" t="str">
        <f t="shared" si="46"/>
        <v>Red Card Rendah</v>
      </c>
    </row>
    <row r="271" spans="1:26" x14ac:dyDescent="0.25">
      <c r="A271" t="s">
        <v>39</v>
      </c>
      <c r="B271">
        <v>1.7</v>
      </c>
      <c r="C271">
        <v>61</v>
      </c>
      <c r="D271">
        <v>623</v>
      </c>
      <c r="E271">
        <v>555</v>
      </c>
      <c r="F271">
        <v>2</v>
      </c>
      <c r="G271" t="s">
        <v>35</v>
      </c>
      <c r="H271">
        <v>1</v>
      </c>
      <c r="I271" t="s">
        <v>35</v>
      </c>
      <c r="J271">
        <v>12</v>
      </c>
      <c r="K271">
        <v>3</v>
      </c>
      <c r="L271">
        <v>12</v>
      </c>
      <c r="M271">
        <v>4</v>
      </c>
      <c r="N271">
        <v>0</v>
      </c>
      <c r="O271">
        <v>0</v>
      </c>
      <c r="Q271" t="str">
        <f t="shared" si="40"/>
        <v>xG Cukup Sedikit</v>
      </c>
      <c r="R271" t="str">
        <f t="shared" si="41"/>
        <v>Possession Cukup Banyak</v>
      </c>
      <c r="S271" t="str">
        <f t="shared" si="42"/>
        <v>Total Pass Cukup Banyak</v>
      </c>
      <c r="T271" t="str">
        <f t="shared" si="43"/>
        <v>Pass Sukses Cukup Banyak</v>
      </c>
      <c r="U271" t="str">
        <f t="shared" si="44"/>
        <v>Total Shot Cukup Sedikit</v>
      </c>
      <c r="V271" t="str">
        <f t="shared" si="47"/>
        <v>Shot on Target Rendah</v>
      </c>
      <c r="W271" t="str">
        <f t="shared" si="48"/>
        <v>Fouls Tinggi</v>
      </c>
      <c r="X271" t="str">
        <f t="shared" si="49"/>
        <v>Corner Rendah</v>
      </c>
      <c r="Y271" t="str">
        <f t="shared" si="45"/>
        <v>Yellow Card Rendah</v>
      </c>
      <c r="Z271" t="str">
        <f t="shared" si="46"/>
        <v>Red Card Rendah</v>
      </c>
    </row>
    <row r="272" spans="1:26" x14ac:dyDescent="0.25">
      <c r="A272" t="s">
        <v>51</v>
      </c>
      <c r="B272">
        <v>1.3</v>
      </c>
      <c r="C272">
        <v>58</v>
      </c>
      <c r="D272">
        <v>686</v>
      </c>
      <c r="E272">
        <v>602</v>
      </c>
      <c r="F272">
        <v>2</v>
      </c>
      <c r="G272" t="s">
        <v>35</v>
      </c>
      <c r="H272">
        <v>2</v>
      </c>
      <c r="I272" t="s">
        <v>35</v>
      </c>
      <c r="J272">
        <v>8</v>
      </c>
      <c r="K272">
        <v>2</v>
      </c>
      <c r="L272">
        <v>12</v>
      </c>
      <c r="M272">
        <v>3</v>
      </c>
      <c r="N272">
        <v>0</v>
      </c>
      <c r="O272">
        <v>0</v>
      </c>
      <c r="Q272" t="str">
        <f t="shared" si="40"/>
        <v>xG Sangat Sedikit</v>
      </c>
      <c r="R272" t="str">
        <f t="shared" si="41"/>
        <v>Possession Cukup Banyak</v>
      </c>
      <c r="S272" t="str">
        <f t="shared" si="42"/>
        <v>Total Pass Sangat Banyak</v>
      </c>
      <c r="T272" t="str">
        <f t="shared" si="43"/>
        <v>Pass Sukses Sangat Banyak</v>
      </c>
      <c r="U272" t="str">
        <f t="shared" si="44"/>
        <v>Total Shot Sangat Sedikit</v>
      </c>
      <c r="V272" t="str">
        <f t="shared" si="47"/>
        <v>Shot on Target Rendah</v>
      </c>
      <c r="W272" t="str">
        <f t="shared" si="48"/>
        <v>Fouls Tinggi</v>
      </c>
      <c r="X272" t="str">
        <f t="shared" si="49"/>
        <v>Corner Rendah</v>
      </c>
      <c r="Y272" t="str">
        <f t="shared" si="45"/>
        <v>Yellow Card Rendah</v>
      </c>
      <c r="Z272" t="str">
        <f t="shared" si="46"/>
        <v>Red Card Rendah</v>
      </c>
    </row>
    <row r="273" spans="1:26" x14ac:dyDescent="0.25">
      <c r="A273" t="s">
        <v>48</v>
      </c>
      <c r="B273">
        <v>0.7</v>
      </c>
      <c r="C273">
        <v>31</v>
      </c>
      <c r="D273">
        <v>299</v>
      </c>
      <c r="E273">
        <v>230</v>
      </c>
      <c r="F273">
        <v>1</v>
      </c>
      <c r="G273" t="s">
        <v>35</v>
      </c>
      <c r="H273">
        <v>0</v>
      </c>
      <c r="I273" t="s">
        <v>36</v>
      </c>
      <c r="J273">
        <v>9</v>
      </c>
      <c r="K273">
        <v>4</v>
      </c>
      <c r="L273">
        <v>9</v>
      </c>
      <c r="M273">
        <v>3</v>
      </c>
      <c r="N273">
        <v>3</v>
      </c>
      <c r="O273">
        <v>0</v>
      </c>
      <c r="Q273" t="str">
        <f t="shared" si="40"/>
        <v>xG Sangat Sedikit</v>
      </c>
      <c r="R273" t="str">
        <f t="shared" si="41"/>
        <v>Possession Sangat Sedikit</v>
      </c>
      <c r="S273" t="str">
        <f t="shared" si="42"/>
        <v>Total Pass Sangat Sedikit</v>
      </c>
      <c r="T273" t="str">
        <f t="shared" si="43"/>
        <v>Pass Sukses Sangat Sedikit</v>
      </c>
      <c r="U273" t="str">
        <f t="shared" si="44"/>
        <v>Total Shot Sangat Sedikit</v>
      </c>
      <c r="V273" t="str">
        <f t="shared" si="47"/>
        <v>Shot on Target Normal</v>
      </c>
      <c r="W273" t="str">
        <f t="shared" si="48"/>
        <v>Fouls Normal</v>
      </c>
      <c r="X273" t="str">
        <f t="shared" si="49"/>
        <v>Corner Rendah</v>
      </c>
      <c r="Y273" t="str">
        <f t="shared" si="45"/>
        <v>Yellow Card Tinggi</v>
      </c>
      <c r="Z273" t="str">
        <f t="shared" si="46"/>
        <v>Red Card Rendah</v>
      </c>
    </row>
    <row r="274" spans="1:26" x14ac:dyDescent="0.25">
      <c r="A274" t="s">
        <v>45</v>
      </c>
      <c r="B274">
        <v>1.5</v>
      </c>
      <c r="C274">
        <v>53</v>
      </c>
      <c r="D274">
        <v>550</v>
      </c>
      <c r="E274">
        <v>463</v>
      </c>
      <c r="F274">
        <v>2</v>
      </c>
      <c r="G274" t="s">
        <v>35</v>
      </c>
      <c r="H274">
        <v>1</v>
      </c>
      <c r="I274" t="s">
        <v>36</v>
      </c>
      <c r="J274">
        <v>9</v>
      </c>
      <c r="K274">
        <v>4</v>
      </c>
      <c r="L274">
        <v>6</v>
      </c>
      <c r="M274">
        <v>3</v>
      </c>
      <c r="N274">
        <v>0</v>
      </c>
      <c r="O274">
        <v>0</v>
      </c>
      <c r="Q274" t="str">
        <f t="shared" si="40"/>
        <v>xG Cukup Sedikit</v>
      </c>
      <c r="R274" t="str">
        <f t="shared" si="41"/>
        <v>Possession Cukup Banyak</v>
      </c>
      <c r="S274" t="str">
        <f t="shared" si="42"/>
        <v>Total Pass Cukup Banyak</v>
      </c>
      <c r="T274" t="str">
        <f t="shared" si="43"/>
        <v>Pass Sukses Cukup Banyak</v>
      </c>
      <c r="U274" t="str">
        <f t="shared" si="44"/>
        <v>Total Shot Sangat Sedikit</v>
      </c>
      <c r="V274" t="str">
        <f t="shared" si="47"/>
        <v>Shot on Target Normal</v>
      </c>
      <c r="W274" t="str">
        <f t="shared" si="48"/>
        <v>Fouls Rendah</v>
      </c>
      <c r="X274" t="str">
        <f t="shared" si="49"/>
        <v>Corner Rendah</v>
      </c>
      <c r="Y274" t="str">
        <f t="shared" si="45"/>
        <v>Yellow Card Rendah</v>
      </c>
      <c r="Z274" t="str">
        <f t="shared" si="46"/>
        <v>Red Card Rendah</v>
      </c>
    </row>
    <row r="275" spans="1:26" x14ac:dyDescent="0.25">
      <c r="A275" t="s">
        <v>55</v>
      </c>
      <c r="B275">
        <v>3.2</v>
      </c>
      <c r="C275">
        <v>55</v>
      </c>
      <c r="D275">
        <v>459</v>
      </c>
      <c r="E275">
        <v>336</v>
      </c>
      <c r="F275">
        <v>1</v>
      </c>
      <c r="G275" t="s">
        <v>35</v>
      </c>
      <c r="H275">
        <v>0</v>
      </c>
      <c r="I275" t="s">
        <v>36</v>
      </c>
      <c r="J275">
        <v>19</v>
      </c>
      <c r="K275">
        <v>4</v>
      </c>
      <c r="L275">
        <v>8</v>
      </c>
      <c r="M275">
        <v>5</v>
      </c>
      <c r="N275">
        <v>4</v>
      </c>
      <c r="O275">
        <v>0</v>
      </c>
      <c r="Q275" t="str">
        <f t="shared" si="40"/>
        <v>xG Cukup Banyak</v>
      </c>
      <c r="R275" t="str">
        <f t="shared" si="41"/>
        <v>Possession Cukup Banyak</v>
      </c>
      <c r="S275" t="str">
        <f t="shared" si="42"/>
        <v>Total Pass Cukup Sedikit</v>
      </c>
      <c r="T275" t="str">
        <f t="shared" si="43"/>
        <v>Pass Sukses Cukup Sedikit</v>
      </c>
      <c r="U275" t="str">
        <f t="shared" si="44"/>
        <v>Total Shot Cukup Sedikit</v>
      </c>
      <c r="V275" t="str">
        <f t="shared" si="47"/>
        <v>Shot on Target Normal</v>
      </c>
      <c r="W275" t="str">
        <f t="shared" si="48"/>
        <v>Fouls Rendah</v>
      </c>
      <c r="X275" t="str">
        <f t="shared" si="49"/>
        <v>Corner Normal</v>
      </c>
      <c r="Y275" t="str">
        <f t="shared" si="45"/>
        <v>Yellow Card Tinggi</v>
      </c>
      <c r="Z275" t="str">
        <f t="shared" si="46"/>
        <v>Red Card Rendah</v>
      </c>
    </row>
    <row r="276" spans="1:26" x14ac:dyDescent="0.25">
      <c r="A276" t="s">
        <v>39</v>
      </c>
      <c r="B276">
        <v>3.9</v>
      </c>
      <c r="C276">
        <v>71</v>
      </c>
      <c r="D276">
        <v>700</v>
      </c>
      <c r="E276">
        <v>623</v>
      </c>
      <c r="F276">
        <v>3</v>
      </c>
      <c r="G276" t="s">
        <v>35</v>
      </c>
      <c r="H276">
        <v>0</v>
      </c>
      <c r="I276" t="s">
        <v>40</v>
      </c>
      <c r="J276">
        <v>28</v>
      </c>
      <c r="K276">
        <v>7</v>
      </c>
      <c r="L276">
        <v>10</v>
      </c>
      <c r="M276">
        <v>6</v>
      </c>
      <c r="N276">
        <v>2</v>
      </c>
      <c r="O276">
        <v>0</v>
      </c>
      <c r="Q276" t="str">
        <f t="shared" si="40"/>
        <v>xG Cukup Banyak</v>
      </c>
      <c r="R276" t="str">
        <f t="shared" si="41"/>
        <v>Possession Sangat Banyak</v>
      </c>
      <c r="S276" t="str">
        <f t="shared" si="42"/>
        <v>Total Pass Sangat Banyak</v>
      </c>
      <c r="T276" t="str">
        <f t="shared" si="43"/>
        <v>Pass Sukses Sangat Banyak</v>
      </c>
      <c r="U276" t="str">
        <f t="shared" si="44"/>
        <v>Total Shot Cukup Banyak</v>
      </c>
      <c r="V276" t="str">
        <f t="shared" si="47"/>
        <v>Shot on Target Tinggi</v>
      </c>
      <c r="W276" t="str">
        <f t="shared" si="48"/>
        <v>Fouls Normal</v>
      </c>
      <c r="X276" t="str">
        <f t="shared" si="49"/>
        <v>Corner Tinggi</v>
      </c>
      <c r="Y276" t="str">
        <f t="shared" si="45"/>
        <v>Yellow Card Rendah</v>
      </c>
      <c r="Z276" t="str">
        <f t="shared" si="46"/>
        <v>Red Card Rendah</v>
      </c>
    </row>
    <row r="277" spans="1:26" x14ac:dyDescent="0.25">
      <c r="A277" t="s">
        <v>54</v>
      </c>
      <c r="B277">
        <v>0.8</v>
      </c>
      <c r="C277">
        <v>59</v>
      </c>
      <c r="D277">
        <v>505</v>
      </c>
      <c r="E277">
        <v>415</v>
      </c>
      <c r="F277">
        <v>0</v>
      </c>
      <c r="G277" t="s">
        <v>40</v>
      </c>
      <c r="H277">
        <v>0</v>
      </c>
      <c r="I277" t="s">
        <v>36</v>
      </c>
      <c r="J277">
        <v>13</v>
      </c>
      <c r="K277">
        <v>3</v>
      </c>
      <c r="L277">
        <v>10</v>
      </c>
      <c r="M277">
        <v>6</v>
      </c>
      <c r="N277">
        <v>2</v>
      </c>
      <c r="O277">
        <v>0</v>
      </c>
      <c r="Q277" t="str">
        <f t="shared" si="40"/>
        <v>xG Sangat Sedikit</v>
      </c>
      <c r="R277" t="str">
        <f t="shared" si="41"/>
        <v>Possession Cukup Banyak</v>
      </c>
      <c r="S277" t="str">
        <f t="shared" si="42"/>
        <v>Total Pass Cukup Sedikit</v>
      </c>
      <c r="T277" t="str">
        <f t="shared" si="43"/>
        <v>Pass Sukses Cukup Sedikit</v>
      </c>
      <c r="U277" t="str">
        <f t="shared" si="44"/>
        <v>Total Shot Cukup Sedikit</v>
      </c>
      <c r="V277" t="str">
        <f t="shared" si="47"/>
        <v>Shot on Target Rendah</v>
      </c>
      <c r="W277" t="str">
        <f t="shared" si="48"/>
        <v>Fouls Normal</v>
      </c>
      <c r="X277" t="str">
        <f t="shared" si="49"/>
        <v>Corner Tinggi</v>
      </c>
      <c r="Y277" t="str">
        <f t="shared" si="45"/>
        <v>Yellow Card Rendah</v>
      </c>
      <c r="Z277" t="str">
        <f t="shared" si="46"/>
        <v>Red Card Rendah</v>
      </c>
    </row>
    <row r="278" spans="1:26" x14ac:dyDescent="0.25">
      <c r="A278" t="s">
        <v>43</v>
      </c>
      <c r="B278">
        <v>0.8</v>
      </c>
      <c r="C278">
        <v>66</v>
      </c>
      <c r="D278">
        <v>643</v>
      </c>
      <c r="E278">
        <v>554</v>
      </c>
      <c r="F278">
        <v>1</v>
      </c>
      <c r="G278" t="s">
        <v>36</v>
      </c>
      <c r="H278">
        <v>1</v>
      </c>
      <c r="I278" t="s">
        <v>36</v>
      </c>
      <c r="J278">
        <v>11</v>
      </c>
      <c r="K278">
        <v>3</v>
      </c>
      <c r="L278">
        <v>11</v>
      </c>
      <c r="M278">
        <v>5</v>
      </c>
      <c r="N278">
        <v>2</v>
      </c>
      <c r="O278">
        <v>0</v>
      </c>
      <c r="Q278" t="str">
        <f t="shared" si="40"/>
        <v>xG Sangat Sedikit</v>
      </c>
      <c r="R278" t="str">
        <f t="shared" si="41"/>
        <v>Possession Sangat Banyak</v>
      </c>
      <c r="S278" t="str">
        <f t="shared" si="42"/>
        <v>Total Pass Cukup Banyak</v>
      </c>
      <c r="T278" t="str">
        <f t="shared" si="43"/>
        <v>Pass Sukses Cukup Banyak</v>
      </c>
      <c r="U278" t="str">
        <f t="shared" si="44"/>
        <v>Total Shot Cukup Sedikit</v>
      </c>
      <c r="V278" t="str">
        <f t="shared" si="47"/>
        <v>Shot on Target Rendah</v>
      </c>
      <c r="W278" t="str">
        <f t="shared" si="48"/>
        <v>Fouls Normal</v>
      </c>
      <c r="X278" t="str">
        <f t="shared" si="49"/>
        <v>Corner Normal</v>
      </c>
      <c r="Y278" t="str">
        <f t="shared" si="45"/>
        <v>Yellow Card Rendah</v>
      </c>
      <c r="Z278" t="str">
        <f t="shared" si="46"/>
        <v>Red Card Rendah</v>
      </c>
    </row>
    <row r="279" spans="1:26" x14ac:dyDescent="0.25">
      <c r="A279" t="s">
        <v>57</v>
      </c>
      <c r="B279">
        <v>1.7</v>
      </c>
      <c r="C279">
        <v>56</v>
      </c>
      <c r="D279">
        <v>584</v>
      </c>
      <c r="E279">
        <v>488</v>
      </c>
      <c r="F279">
        <v>1</v>
      </c>
      <c r="G279" t="s">
        <v>35</v>
      </c>
      <c r="H279">
        <v>0</v>
      </c>
      <c r="I279" t="s">
        <v>36</v>
      </c>
      <c r="J279">
        <v>20</v>
      </c>
      <c r="K279">
        <v>7</v>
      </c>
      <c r="L279">
        <v>12</v>
      </c>
      <c r="M279">
        <v>12</v>
      </c>
      <c r="N279">
        <v>1</v>
      </c>
      <c r="O279">
        <v>0</v>
      </c>
      <c r="Q279" t="str">
        <f t="shared" si="40"/>
        <v>xG Cukup Sedikit</v>
      </c>
      <c r="R279" t="str">
        <f t="shared" si="41"/>
        <v>Possession Cukup Banyak</v>
      </c>
      <c r="S279" t="str">
        <f t="shared" si="42"/>
        <v>Total Pass Cukup Banyak</v>
      </c>
      <c r="T279" t="str">
        <f t="shared" si="43"/>
        <v>Pass Sukses Cukup Banyak</v>
      </c>
      <c r="U279" t="str">
        <f t="shared" si="44"/>
        <v>Total Shot Cukup Banyak</v>
      </c>
      <c r="V279" t="str">
        <f t="shared" si="47"/>
        <v>Shot on Target Tinggi</v>
      </c>
      <c r="W279" t="str">
        <f t="shared" si="48"/>
        <v>Fouls Tinggi</v>
      </c>
      <c r="X279" t="str">
        <f t="shared" si="49"/>
        <v>Corner Tinggi</v>
      </c>
      <c r="Y279" t="str">
        <f t="shared" si="45"/>
        <v>Yellow Card Rendah</v>
      </c>
      <c r="Z279" t="str">
        <f t="shared" si="46"/>
        <v>Red Card Rendah</v>
      </c>
    </row>
    <row r="280" spans="1:26" x14ac:dyDescent="0.25">
      <c r="A280" t="s">
        <v>60</v>
      </c>
      <c r="B280">
        <v>1.5</v>
      </c>
      <c r="C280">
        <v>61</v>
      </c>
      <c r="D280">
        <v>587</v>
      </c>
      <c r="E280">
        <v>475</v>
      </c>
      <c r="F280">
        <v>2</v>
      </c>
      <c r="G280" t="s">
        <v>36</v>
      </c>
      <c r="H280">
        <v>0</v>
      </c>
      <c r="I280" t="s">
        <v>40</v>
      </c>
      <c r="J280">
        <v>12</v>
      </c>
      <c r="K280">
        <v>4</v>
      </c>
      <c r="L280">
        <v>15</v>
      </c>
      <c r="M280">
        <v>3</v>
      </c>
      <c r="N280">
        <v>3</v>
      </c>
      <c r="O280">
        <v>0</v>
      </c>
      <c r="Q280" t="str">
        <f t="shared" si="40"/>
        <v>xG Cukup Sedikit</v>
      </c>
      <c r="R280" t="str">
        <f t="shared" si="41"/>
        <v>Possession Cukup Banyak</v>
      </c>
      <c r="S280" t="str">
        <f t="shared" si="42"/>
        <v>Total Pass Cukup Banyak</v>
      </c>
      <c r="T280" t="str">
        <f t="shared" si="43"/>
        <v>Pass Sukses Cukup Banyak</v>
      </c>
      <c r="U280" t="str">
        <f t="shared" si="44"/>
        <v>Total Shot Cukup Sedikit</v>
      </c>
      <c r="V280" t="str">
        <f t="shared" si="47"/>
        <v>Shot on Target Normal</v>
      </c>
      <c r="W280" t="str">
        <f t="shared" si="48"/>
        <v>Fouls Tinggi</v>
      </c>
      <c r="X280" t="str">
        <f t="shared" si="49"/>
        <v>Corner Rendah</v>
      </c>
      <c r="Y280" t="str">
        <f t="shared" si="45"/>
        <v>Yellow Card Tinggi</v>
      </c>
      <c r="Z280" t="str">
        <f t="shared" si="46"/>
        <v>Red Card Rendah</v>
      </c>
    </row>
    <row r="281" spans="1:26" x14ac:dyDescent="0.25">
      <c r="A281" t="s">
        <v>33</v>
      </c>
      <c r="B281">
        <v>1.5</v>
      </c>
      <c r="C281">
        <v>32</v>
      </c>
      <c r="D281">
        <v>298</v>
      </c>
      <c r="E281">
        <v>219</v>
      </c>
      <c r="F281">
        <v>1</v>
      </c>
      <c r="G281" t="s">
        <v>36</v>
      </c>
      <c r="H281">
        <v>1</v>
      </c>
      <c r="I281" t="s">
        <v>35</v>
      </c>
      <c r="J281">
        <v>10</v>
      </c>
      <c r="K281">
        <v>6</v>
      </c>
      <c r="L281">
        <v>8</v>
      </c>
      <c r="M281">
        <v>2</v>
      </c>
      <c r="N281">
        <v>0</v>
      </c>
      <c r="O281">
        <v>0</v>
      </c>
      <c r="Q281" t="str">
        <f t="shared" si="40"/>
        <v>xG Cukup Sedikit</v>
      </c>
      <c r="R281" t="str">
        <f t="shared" si="41"/>
        <v>Possession Sangat Sedikit</v>
      </c>
      <c r="S281" t="str">
        <f t="shared" si="42"/>
        <v>Total Pass Sangat Sedikit</v>
      </c>
      <c r="T281" t="str">
        <f t="shared" si="43"/>
        <v>Pass Sukses Sangat Sedikit</v>
      </c>
      <c r="U281" t="str">
        <f t="shared" si="44"/>
        <v>Total Shot Sangat Sedikit</v>
      </c>
      <c r="V281" t="str">
        <f t="shared" si="47"/>
        <v>Shot on Target Tinggi</v>
      </c>
      <c r="W281" t="str">
        <f t="shared" si="48"/>
        <v>Fouls Rendah</v>
      </c>
      <c r="X281" t="str">
        <f t="shared" si="49"/>
        <v>Corner Rendah</v>
      </c>
      <c r="Y281" t="str">
        <f t="shared" si="45"/>
        <v>Yellow Card Rendah</v>
      </c>
      <c r="Z281" t="str">
        <f t="shared" si="46"/>
        <v>Red Card Rendah</v>
      </c>
    </row>
    <row r="282" spans="1:26" x14ac:dyDescent="0.25">
      <c r="A282" t="s">
        <v>51</v>
      </c>
      <c r="B282">
        <v>0.7</v>
      </c>
      <c r="C282">
        <v>51</v>
      </c>
      <c r="D282">
        <v>505</v>
      </c>
      <c r="E282">
        <v>393</v>
      </c>
      <c r="F282">
        <v>0</v>
      </c>
      <c r="G282" t="s">
        <v>40</v>
      </c>
      <c r="H282">
        <v>0</v>
      </c>
      <c r="I282" t="s">
        <v>36</v>
      </c>
      <c r="J282">
        <v>9</v>
      </c>
      <c r="K282">
        <v>2</v>
      </c>
      <c r="L282">
        <v>7</v>
      </c>
      <c r="M282">
        <v>3</v>
      </c>
      <c r="N282">
        <v>0</v>
      </c>
      <c r="O282">
        <v>0</v>
      </c>
      <c r="Q282" t="str">
        <f t="shared" si="40"/>
        <v>xG Sangat Sedikit</v>
      </c>
      <c r="R282" t="str">
        <f t="shared" si="41"/>
        <v>Possession Cukup Banyak</v>
      </c>
      <c r="S282" t="str">
        <f t="shared" si="42"/>
        <v>Total Pass Cukup Sedikit</v>
      </c>
      <c r="T282" t="str">
        <f t="shared" si="43"/>
        <v>Pass Sukses Cukup Sedikit</v>
      </c>
      <c r="U282" t="str">
        <f t="shared" si="44"/>
        <v>Total Shot Sangat Sedikit</v>
      </c>
      <c r="V282" t="str">
        <f t="shared" si="47"/>
        <v>Shot on Target Rendah</v>
      </c>
      <c r="W282" t="str">
        <f t="shared" si="48"/>
        <v>Fouls Rendah</v>
      </c>
      <c r="X282" t="str">
        <f t="shared" si="49"/>
        <v>Corner Rendah</v>
      </c>
      <c r="Y282" t="str">
        <f t="shared" si="45"/>
        <v>Yellow Card Rendah</v>
      </c>
      <c r="Z282" t="str">
        <f t="shared" si="46"/>
        <v>Red Card Rendah</v>
      </c>
    </row>
    <row r="283" spans="1:26" x14ac:dyDescent="0.25">
      <c r="A283" t="s">
        <v>44</v>
      </c>
      <c r="B283">
        <v>1</v>
      </c>
      <c r="C283">
        <v>54</v>
      </c>
      <c r="D283">
        <v>550</v>
      </c>
      <c r="E283">
        <v>446</v>
      </c>
      <c r="F283">
        <v>1</v>
      </c>
      <c r="G283" t="s">
        <v>36</v>
      </c>
      <c r="H283">
        <v>0</v>
      </c>
      <c r="I283" t="s">
        <v>36</v>
      </c>
      <c r="J283">
        <v>13</v>
      </c>
      <c r="K283">
        <v>5</v>
      </c>
      <c r="L283">
        <v>12</v>
      </c>
      <c r="M283">
        <v>6</v>
      </c>
      <c r="N283">
        <v>1</v>
      </c>
      <c r="O283">
        <v>0</v>
      </c>
      <c r="Q283" t="str">
        <f t="shared" si="40"/>
        <v>xG Sangat Sedikit</v>
      </c>
      <c r="R283" t="str">
        <f t="shared" si="41"/>
        <v>Possession Cukup Banyak</v>
      </c>
      <c r="S283" t="str">
        <f t="shared" si="42"/>
        <v>Total Pass Cukup Banyak</v>
      </c>
      <c r="T283" t="str">
        <f t="shared" si="43"/>
        <v>Pass Sukses Cukup Banyak</v>
      </c>
      <c r="U283" t="str">
        <f t="shared" si="44"/>
        <v>Total Shot Cukup Sedikit</v>
      </c>
      <c r="V283" t="str">
        <f t="shared" si="47"/>
        <v>Shot on Target Tinggi</v>
      </c>
      <c r="W283" t="str">
        <f t="shared" si="48"/>
        <v>Fouls Tinggi</v>
      </c>
      <c r="X283" t="str">
        <f t="shared" si="49"/>
        <v>Corner Tinggi</v>
      </c>
      <c r="Y283" t="str">
        <f t="shared" si="45"/>
        <v>Yellow Card Rendah</v>
      </c>
      <c r="Z283" t="str">
        <f t="shared" si="46"/>
        <v>Red Card Rendah</v>
      </c>
    </row>
    <row r="284" spans="1:26" x14ac:dyDescent="0.25">
      <c r="A284" t="s">
        <v>38</v>
      </c>
      <c r="B284">
        <v>0.4</v>
      </c>
      <c r="C284">
        <v>55</v>
      </c>
      <c r="D284">
        <v>480</v>
      </c>
      <c r="E284">
        <v>391</v>
      </c>
      <c r="F284">
        <v>2</v>
      </c>
      <c r="G284" t="s">
        <v>40</v>
      </c>
      <c r="H284">
        <v>0</v>
      </c>
      <c r="I284" t="s">
        <v>40</v>
      </c>
      <c r="J284">
        <v>11</v>
      </c>
      <c r="K284">
        <v>4</v>
      </c>
      <c r="L284">
        <v>4</v>
      </c>
      <c r="M284">
        <v>6</v>
      </c>
      <c r="N284">
        <v>1</v>
      </c>
      <c r="O284">
        <v>0</v>
      </c>
      <c r="Q284" t="str">
        <f t="shared" si="40"/>
        <v>xG Sangat Sedikit</v>
      </c>
      <c r="R284" t="str">
        <f t="shared" si="41"/>
        <v>Possession Cukup Banyak</v>
      </c>
      <c r="S284" t="str">
        <f t="shared" si="42"/>
        <v>Total Pass Cukup Sedikit</v>
      </c>
      <c r="T284" t="str">
        <f t="shared" si="43"/>
        <v>Pass Sukses Cukup Sedikit</v>
      </c>
      <c r="U284" t="str">
        <f t="shared" si="44"/>
        <v>Total Shot Cukup Sedikit</v>
      </c>
      <c r="V284" t="str">
        <f t="shared" si="47"/>
        <v>Shot on Target Normal</v>
      </c>
      <c r="W284" t="str">
        <f t="shared" si="48"/>
        <v>Fouls Rendah</v>
      </c>
      <c r="X284" t="str">
        <f t="shared" si="49"/>
        <v>Corner Tinggi</v>
      </c>
      <c r="Y284" t="str">
        <f t="shared" si="45"/>
        <v>Yellow Card Rendah</v>
      </c>
      <c r="Z284" t="str">
        <f t="shared" si="46"/>
        <v>Red Card Rendah</v>
      </c>
    </row>
    <row r="285" spans="1:26" x14ac:dyDescent="0.25">
      <c r="A285" t="s">
        <v>58</v>
      </c>
      <c r="B285">
        <v>1.7</v>
      </c>
      <c r="C285">
        <v>60</v>
      </c>
      <c r="D285">
        <v>535</v>
      </c>
      <c r="E285">
        <v>443</v>
      </c>
      <c r="F285">
        <v>2</v>
      </c>
      <c r="G285" t="s">
        <v>36</v>
      </c>
      <c r="H285">
        <v>2</v>
      </c>
      <c r="I285" t="s">
        <v>35</v>
      </c>
      <c r="J285">
        <v>11</v>
      </c>
      <c r="K285">
        <v>3</v>
      </c>
      <c r="L285">
        <v>10</v>
      </c>
      <c r="M285">
        <v>4</v>
      </c>
      <c r="N285">
        <v>2</v>
      </c>
      <c r="O285">
        <v>0</v>
      </c>
      <c r="Q285" t="str">
        <f t="shared" si="40"/>
        <v>xG Cukup Sedikit</v>
      </c>
      <c r="R285" t="str">
        <f t="shared" si="41"/>
        <v>Possession Cukup Banyak</v>
      </c>
      <c r="S285" t="str">
        <f t="shared" si="42"/>
        <v>Total Pass Cukup Banyak</v>
      </c>
      <c r="T285" t="str">
        <f t="shared" si="43"/>
        <v>Pass Sukses Cukup Banyak</v>
      </c>
      <c r="U285" t="str">
        <f t="shared" si="44"/>
        <v>Total Shot Cukup Sedikit</v>
      </c>
      <c r="V285" t="str">
        <f t="shared" si="47"/>
        <v>Shot on Target Rendah</v>
      </c>
      <c r="W285" t="str">
        <f t="shared" si="48"/>
        <v>Fouls Normal</v>
      </c>
      <c r="X285" t="str">
        <f t="shared" si="49"/>
        <v>Corner Rendah</v>
      </c>
      <c r="Y285" t="str">
        <f t="shared" si="45"/>
        <v>Yellow Card Rendah</v>
      </c>
      <c r="Z285" t="str">
        <f t="shared" si="46"/>
        <v>Red Card Rendah</v>
      </c>
    </row>
    <row r="286" spans="1:26" x14ac:dyDescent="0.25">
      <c r="A286" t="s">
        <v>47</v>
      </c>
      <c r="B286">
        <v>1.3</v>
      </c>
      <c r="C286">
        <v>60</v>
      </c>
      <c r="D286">
        <v>645</v>
      </c>
      <c r="E286">
        <v>564</v>
      </c>
      <c r="F286">
        <v>1</v>
      </c>
      <c r="G286" t="s">
        <v>40</v>
      </c>
      <c r="H286">
        <v>0</v>
      </c>
      <c r="I286" t="s">
        <v>40</v>
      </c>
      <c r="J286">
        <v>10</v>
      </c>
      <c r="K286">
        <v>3</v>
      </c>
      <c r="L286">
        <v>12</v>
      </c>
      <c r="M286">
        <v>5</v>
      </c>
      <c r="N286">
        <v>0</v>
      </c>
      <c r="O286">
        <v>0</v>
      </c>
      <c r="Q286" t="str">
        <f t="shared" si="40"/>
        <v>xG Sangat Sedikit</v>
      </c>
      <c r="R286" t="str">
        <f t="shared" si="41"/>
        <v>Possession Cukup Banyak</v>
      </c>
      <c r="S286" t="str">
        <f t="shared" si="42"/>
        <v>Total Pass Cukup Banyak</v>
      </c>
      <c r="T286" t="str">
        <f t="shared" si="43"/>
        <v>Pass Sukses Cukup Banyak</v>
      </c>
      <c r="U286" t="str">
        <f t="shared" si="44"/>
        <v>Total Shot Sangat Sedikit</v>
      </c>
      <c r="V286" t="str">
        <f t="shared" si="47"/>
        <v>Shot on Target Rendah</v>
      </c>
      <c r="W286" t="str">
        <f t="shared" si="48"/>
        <v>Fouls Tinggi</v>
      </c>
      <c r="X286" t="str">
        <f t="shared" si="49"/>
        <v>Corner Normal</v>
      </c>
      <c r="Y286" t="str">
        <f t="shared" si="45"/>
        <v>Yellow Card Rendah</v>
      </c>
      <c r="Z286" t="str">
        <f t="shared" si="46"/>
        <v>Red Card Rendah</v>
      </c>
    </row>
    <row r="287" spans="1:26" x14ac:dyDescent="0.25">
      <c r="A287" t="s">
        <v>49</v>
      </c>
      <c r="B287">
        <v>1.6</v>
      </c>
      <c r="C287">
        <v>58</v>
      </c>
      <c r="D287">
        <v>539</v>
      </c>
      <c r="E287">
        <v>422</v>
      </c>
      <c r="F287">
        <v>1</v>
      </c>
      <c r="G287" t="s">
        <v>40</v>
      </c>
      <c r="H287">
        <v>1</v>
      </c>
      <c r="I287" t="s">
        <v>36</v>
      </c>
      <c r="J287">
        <v>17</v>
      </c>
      <c r="K287">
        <v>5</v>
      </c>
      <c r="L287">
        <v>13</v>
      </c>
      <c r="M287">
        <v>4</v>
      </c>
      <c r="N287">
        <v>3</v>
      </c>
      <c r="O287">
        <v>0</v>
      </c>
      <c r="Q287" t="str">
        <f t="shared" si="40"/>
        <v>xG Cukup Sedikit</v>
      </c>
      <c r="R287" t="str">
        <f t="shared" si="41"/>
        <v>Possession Cukup Banyak</v>
      </c>
      <c r="S287" t="str">
        <f t="shared" si="42"/>
        <v>Total Pass Cukup Banyak</v>
      </c>
      <c r="T287" t="str">
        <f t="shared" si="43"/>
        <v>Pass Sukses Cukup Sedikit</v>
      </c>
      <c r="U287" t="str">
        <f t="shared" si="44"/>
        <v>Total Shot Cukup Sedikit</v>
      </c>
      <c r="V287" t="str">
        <f t="shared" si="47"/>
        <v>Shot on Target Tinggi</v>
      </c>
      <c r="W287" t="str">
        <f t="shared" si="48"/>
        <v>Fouls Tinggi</v>
      </c>
      <c r="X287" t="str">
        <f t="shared" si="49"/>
        <v>Corner Rendah</v>
      </c>
      <c r="Y287" t="str">
        <f t="shared" si="45"/>
        <v>Yellow Card Tinggi</v>
      </c>
      <c r="Z287" t="str">
        <f t="shared" si="46"/>
        <v>Red Card Rendah</v>
      </c>
    </row>
    <row r="288" spans="1:26" x14ac:dyDescent="0.25">
      <c r="A288" t="s">
        <v>42</v>
      </c>
      <c r="B288">
        <v>0.7</v>
      </c>
      <c r="C288">
        <v>42</v>
      </c>
      <c r="D288">
        <v>390</v>
      </c>
      <c r="E288">
        <v>322</v>
      </c>
      <c r="F288">
        <v>1</v>
      </c>
      <c r="G288" t="s">
        <v>35</v>
      </c>
      <c r="H288">
        <v>1</v>
      </c>
      <c r="I288" t="s">
        <v>35</v>
      </c>
      <c r="J288">
        <v>12</v>
      </c>
      <c r="K288">
        <v>4</v>
      </c>
      <c r="L288">
        <v>10</v>
      </c>
      <c r="M288">
        <v>5</v>
      </c>
      <c r="N288">
        <v>3</v>
      </c>
      <c r="O288">
        <v>0</v>
      </c>
      <c r="Q288" t="str">
        <f t="shared" si="40"/>
        <v>xG Sangat Sedikit</v>
      </c>
      <c r="R288" t="str">
        <f t="shared" si="41"/>
        <v>Possession Cukup Sedikit</v>
      </c>
      <c r="S288" t="str">
        <f t="shared" si="42"/>
        <v>Total Pass Cukup Sedikit</v>
      </c>
      <c r="T288" t="str">
        <f t="shared" si="43"/>
        <v>Pass Sukses Cukup Sedikit</v>
      </c>
      <c r="U288" t="str">
        <f t="shared" si="44"/>
        <v>Total Shot Cukup Sedikit</v>
      </c>
      <c r="V288" t="str">
        <f t="shared" si="47"/>
        <v>Shot on Target Normal</v>
      </c>
      <c r="W288" t="str">
        <f t="shared" si="48"/>
        <v>Fouls Normal</v>
      </c>
      <c r="X288" t="str">
        <f t="shared" si="49"/>
        <v>Corner Normal</v>
      </c>
      <c r="Y288" t="str">
        <f t="shared" si="45"/>
        <v>Yellow Card Tinggi</v>
      </c>
      <c r="Z288" t="str">
        <f t="shared" si="46"/>
        <v>Red Card Rendah</v>
      </c>
    </row>
    <row r="289" spans="1:26" x14ac:dyDescent="0.25">
      <c r="A289" t="s">
        <v>34</v>
      </c>
      <c r="B289">
        <v>1</v>
      </c>
      <c r="C289">
        <v>57</v>
      </c>
      <c r="D289">
        <v>590</v>
      </c>
      <c r="E289">
        <v>481</v>
      </c>
      <c r="F289">
        <v>2</v>
      </c>
      <c r="G289" t="s">
        <v>35</v>
      </c>
      <c r="H289">
        <v>0</v>
      </c>
      <c r="I289" t="s">
        <v>36</v>
      </c>
      <c r="J289">
        <v>13</v>
      </c>
      <c r="K289">
        <v>4</v>
      </c>
      <c r="L289">
        <v>13</v>
      </c>
      <c r="M289">
        <v>6</v>
      </c>
      <c r="N289">
        <v>0</v>
      </c>
      <c r="O289">
        <v>0</v>
      </c>
      <c r="Q289" t="str">
        <f t="shared" si="40"/>
        <v>xG Sangat Sedikit</v>
      </c>
      <c r="R289" t="str">
        <f t="shared" si="41"/>
        <v>Possession Cukup Banyak</v>
      </c>
      <c r="S289" t="str">
        <f t="shared" si="42"/>
        <v>Total Pass Cukup Banyak</v>
      </c>
      <c r="T289" t="str">
        <f t="shared" si="43"/>
        <v>Pass Sukses Cukup Banyak</v>
      </c>
      <c r="U289" t="str">
        <f t="shared" si="44"/>
        <v>Total Shot Cukup Sedikit</v>
      </c>
      <c r="V289" t="str">
        <f t="shared" si="47"/>
        <v>Shot on Target Normal</v>
      </c>
      <c r="W289" t="str">
        <f t="shared" si="48"/>
        <v>Fouls Tinggi</v>
      </c>
      <c r="X289" t="str">
        <f t="shared" si="49"/>
        <v>Corner Tinggi</v>
      </c>
      <c r="Y289" t="str">
        <f t="shared" si="45"/>
        <v>Yellow Card Rendah</v>
      </c>
      <c r="Z289" t="str">
        <f t="shared" si="46"/>
        <v>Red Card Rendah</v>
      </c>
    </row>
    <row r="290" spans="1:26" x14ac:dyDescent="0.25">
      <c r="A290" t="s">
        <v>59</v>
      </c>
      <c r="B290">
        <v>1</v>
      </c>
      <c r="C290">
        <v>53</v>
      </c>
      <c r="D290">
        <v>575</v>
      </c>
      <c r="E290">
        <v>455</v>
      </c>
      <c r="F290">
        <v>0</v>
      </c>
      <c r="G290" t="s">
        <v>40</v>
      </c>
      <c r="H290">
        <v>0</v>
      </c>
      <c r="I290" t="s">
        <v>40</v>
      </c>
      <c r="J290">
        <v>11</v>
      </c>
      <c r="K290">
        <v>3</v>
      </c>
      <c r="L290">
        <v>6</v>
      </c>
      <c r="M290">
        <v>6</v>
      </c>
      <c r="N290">
        <v>2</v>
      </c>
      <c r="O290">
        <v>0</v>
      </c>
      <c r="Q290" t="str">
        <f t="shared" si="40"/>
        <v>xG Sangat Sedikit</v>
      </c>
      <c r="R290" t="str">
        <f t="shared" si="41"/>
        <v>Possession Cukup Banyak</v>
      </c>
      <c r="S290" t="str">
        <f t="shared" si="42"/>
        <v>Total Pass Cukup Banyak</v>
      </c>
      <c r="T290" t="str">
        <f t="shared" si="43"/>
        <v>Pass Sukses Cukup Banyak</v>
      </c>
      <c r="U290" t="str">
        <f t="shared" si="44"/>
        <v>Total Shot Cukup Sedikit</v>
      </c>
      <c r="V290" t="str">
        <f t="shared" si="47"/>
        <v>Shot on Target Rendah</v>
      </c>
      <c r="W290" t="str">
        <f t="shared" si="48"/>
        <v>Fouls Rendah</v>
      </c>
      <c r="X290" t="str">
        <f t="shared" si="49"/>
        <v>Corner Tinggi</v>
      </c>
      <c r="Y290" t="str">
        <f t="shared" si="45"/>
        <v>Yellow Card Rendah</v>
      </c>
      <c r="Z290" t="str">
        <f t="shared" si="46"/>
        <v>Red Card Rendah</v>
      </c>
    </row>
    <row r="291" spans="1:26" x14ac:dyDescent="0.25">
      <c r="A291" t="s">
        <v>42</v>
      </c>
      <c r="B291">
        <v>2.2000000000000002</v>
      </c>
      <c r="C291">
        <v>51</v>
      </c>
      <c r="D291">
        <v>528</v>
      </c>
      <c r="E291">
        <v>454</v>
      </c>
      <c r="F291">
        <v>2</v>
      </c>
      <c r="G291" t="s">
        <v>35</v>
      </c>
      <c r="H291">
        <v>1</v>
      </c>
      <c r="I291" t="s">
        <v>35</v>
      </c>
      <c r="J291">
        <v>17</v>
      </c>
      <c r="K291">
        <v>4</v>
      </c>
      <c r="L291">
        <v>2</v>
      </c>
      <c r="M291">
        <v>5</v>
      </c>
      <c r="N291">
        <v>1</v>
      </c>
      <c r="O291">
        <v>0</v>
      </c>
      <c r="Q291" t="str">
        <f t="shared" si="40"/>
        <v>xG Cukup Sedikit</v>
      </c>
      <c r="R291" t="str">
        <f t="shared" si="41"/>
        <v>Possession Cukup Banyak</v>
      </c>
      <c r="S291" t="str">
        <f t="shared" si="42"/>
        <v>Total Pass Cukup Banyak</v>
      </c>
      <c r="T291" t="str">
        <f t="shared" si="43"/>
        <v>Pass Sukses Cukup Banyak</v>
      </c>
      <c r="U291" t="str">
        <f t="shared" si="44"/>
        <v>Total Shot Cukup Sedikit</v>
      </c>
      <c r="V291" t="str">
        <f t="shared" si="47"/>
        <v>Shot on Target Normal</v>
      </c>
      <c r="W291" t="str">
        <f t="shared" si="48"/>
        <v>Fouls Rendah</v>
      </c>
      <c r="X291" t="str">
        <f t="shared" si="49"/>
        <v>Corner Normal</v>
      </c>
      <c r="Y291" t="str">
        <f t="shared" si="45"/>
        <v>Yellow Card Rendah</v>
      </c>
      <c r="Z291" t="str">
        <f t="shared" si="46"/>
        <v>Red Card Rendah</v>
      </c>
    </row>
    <row r="292" spans="1:26" x14ac:dyDescent="0.25">
      <c r="A292" t="s">
        <v>43</v>
      </c>
      <c r="B292">
        <v>1.2</v>
      </c>
      <c r="C292">
        <v>42</v>
      </c>
      <c r="D292">
        <v>447</v>
      </c>
      <c r="E292">
        <v>359</v>
      </c>
      <c r="F292">
        <v>1</v>
      </c>
      <c r="G292" t="s">
        <v>35</v>
      </c>
      <c r="H292">
        <v>1</v>
      </c>
      <c r="I292" t="s">
        <v>35</v>
      </c>
      <c r="J292">
        <v>9</v>
      </c>
      <c r="K292">
        <v>2</v>
      </c>
      <c r="L292">
        <v>16</v>
      </c>
      <c r="M292">
        <v>1</v>
      </c>
      <c r="N292">
        <v>4</v>
      </c>
      <c r="O292">
        <v>0</v>
      </c>
      <c r="Q292" t="str">
        <f t="shared" si="40"/>
        <v>xG Sangat Sedikit</v>
      </c>
      <c r="R292" t="str">
        <f t="shared" si="41"/>
        <v>Possession Cukup Sedikit</v>
      </c>
      <c r="S292" t="str">
        <f t="shared" si="42"/>
        <v>Total Pass Cukup Sedikit</v>
      </c>
      <c r="T292" t="str">
        <f t="shared" si="43"/>
        <v>Pass Sukses Cukup Sedikit</v>
      </c>
      <c r="U292" t="str">
        <f t="shared" si="44"/>
        <v>Total Shot Sangat Sedikit</v>
      </c>
      <c r="V292" t="str">
        <f t="shared" si="47"/>
        <v>Shot on Target Rendah</v>
      </c>
      <c r="W292" t="str">
        <f t="shared" si="48"/>
        <v>Fouls Tinggi</v>
      </c>
      <c r="X292" t="str">
        <f t="shared" si="49"/>
        <v>Corner Rendah</v>
      </c>
      <c r="Y292" t="str">
        <f t="shared" si="45"/>
        <v>Yellow Card Tinggi</v>
      </c>
      <c r="Z292" t="str">
        <f t="shared" si="46"/>
        <v>Red Card Rendah</v>
      </c>
    </row>
    <row r="293" spans="1:26" x14ac:dyDescent="0.25">
      <c r="A293" t="s">
        <v>48</v>
      </c>
      <c r="B293">
        <v>0.5</v>
      </c>
      <c r="C293">
        <v>32</v>
      </c>
      <c r="D293">
        <v>336</v>
      </c>
      <c r="E293">
        <v>241</v>
      </c>
      <c r="F293">
        <v>1</v>
      </c>
      <c r="G293" t="s">
        <v>35</v>
      </c>
      <c r="H293">
        <v>1</v>
      </c>
      <c r="I293" t="s">
        <v>35</v>
      </c>
      <c r="J293">
        <v>8</v>
      </c>
      <c r="K293">
        <v>2</v>
      </c>
      <c r="L293">
        <v>5</v>
      </c>
      <c r="M293">
        <v>3</v>
      </c>
      <c r="N293">
        <v>1</v>
      </c>
      <c r="O293">
        <v>0</v>
      </c>
      <c r="Q293" t="str">
        <f t="shared" si="40"/>
        <v>xG Sangat Sedikit</v>
      </c>
      <c r="R293" t="str">
        <f t="shared" si="41"/>
        <v>Possession Sangat Sedikit</v>
      </c>
      <c r="S293" t="str">
        <f t="shared" si="42"/>
        <v>Total Pass Sangat Sedikit</v>
      </c>
      <c r="T293" t="str">
        <f t="shared" si="43"/>
        <v>Pass Sukses Sangat Sedikit</v>
      </c>
      <c r="U293" t="str">
        <f t="shared" si="44"/>
        <v>Total Shot Sangat Sedikit</v>
      </c>
      <c r="V293" t="str">
        <f t="shared" si="47"/>
        <v>Shot on Target Rendah</v>
      </c>
      <c r="W293" t="str">
        <f t="shared" si="48"/>
        <v>Fouls Rendah</v>
      </c>
      <c r="X293" t="str">
        <f t="shared" si="49"/>
        <v>Corner Rendah</v>
      </c>
      <c r="Y293" t="str">
        <f t="shared" si="45"/>
        <v>Yellow Card Rendah</v>
      </c>
      <c r="Z293" t="str">
        <f t="shared" si="46"/>
        <v>Red Card Rendah</v>
      </c>
    </row>
    <row r="294" spans="1:26" x14ac:dyDescent="0.25">
      <c r="A294" t="s">
        <v>49</v>
      </c>
      <c r="B294">
        <v>1.8</v>
      </c>
      <c r="C294">
        <v>63</v>
      </c>
      <c r="D294">
        <v>581</v>
      </c>
      <c r="E294">
        <v>453</v>
      </c>
      <c r="F294">
        <v>1</v>
      </c>
      <c r="G294" t="s">
        <v>40</v>
      </c>
      <c r="H294">
        <v>0</v>
      </c>
      <c r="I294" t="s">
        <v>40</v>
      </c>
      <c r="J294">
        <v>24</v>
      </c>
      <c r="K294">
        <v>7</v>
      </c>
      <c r="L294">
        <v>14</v>
      </c>
      <c r="M294">
        <v>8</v>
      </c>
      <c r="N294">
        <v>1</v>
      </c>
      <c r="O294">
        <v>0</v>
      </c>
      <c r="Q294" t="str">
        <f t="shared" si="40"/>
        <v>xG Cukup Sedikit</v>
      </c>
      <c r="R294" t="str">
        <f t="shared" si="41"/>
        <v>Possession Cukup Banyak</v>
      </c>
      <c r="S294" t="str">
        <f t="shared" si="42"/>
        <v>Total Pass Cukup Banyak</v>
      </c>
      <c r="T294" t="str">
        <f t="shared" si="43"/>
        <v>Pass Sukses Cukup Banyak</v>
      </c>
      <c r="U294" t="str">
        <f t="shared" si="44"/>
        <v>Total Shot Cukup Banyak</v>
      </c>
      <c r="V294" t="str">
        <f t="shared" si="47"/>
        <v>Shot on Target Tinggi</v>
      </c>
      <c r="W294" t="str">
        <f t="shared" si="48"/>
        <v>Fouls Tinggi</v>
      </c>
      <c r="X294" t="str">
        <f t="shared" si="49"/>
        <v>Corner Tinggi</v>
      </c>
      <c r="Y294" t="str">
        <f t="shared" si="45"/>
        <v>Yellow Card Rendah</v>
      </c>
      <c r="Z294" t="str">
        <f t="shared" si="46"/>
        <v>Red Card Rendah</v>
      </c>
    </row>
    <row r="295" spans="1:26" x14ac:dyDescent="0.25">
      <c r="A295" t="s">
        <v>45</v>
      </c>
      <c r="B295">
        <v>0.9</v>
      </c>
      <c r="C295">
        <v>56</v>
      </c>
      <c r="D295">
        <v>517</v>
      </c>
      <c r="E295">
        <v>429</v>
      </c>
      <c r="F295">
        <v>0</v>
      </c>
      <c r="G295" t="s">
        <v>40</v>
      </c>
      <c r="H295">
        <v>0</v>
      </c>
      <c r="I295" t="s">
        <v>36</v>
      </c>
      <c r="J295">
        <v>11</v>
      </c>
      <c r="K295">
        <v>4</v>
      </c>
      <c r="L295">
        <v>16</v>
      </c>
      <c r="M295">
        <v>4</v>
      </c>
      <c r="N295">
        <v>1</v>
      </c>
      <c r="O295">
        <v>0</v>
      </c>
      <c r="Q295" t="str">
        <f t="shared" si="40"/>
        <v>xG Sangat Sedikit</v>
      </c>
      <c r="R295" t="str">
        <f t="shared" si="41"/>
        <v>Possession Cukup Banyak</v>
      </c>
      <c r="S295" t="str">
        <f t="shared" si="42"/>
        <v>Total Pass Cukup Banyak</v>
      </c>
      <c r="T295" t="str">
        <f t="shared" si="43"/>
        <v>Pass Sukses Cukup Sedikit</v>
      </c>
      <c r="U295" t="str">
        <f t="shared" si="44"/>
        <v>Total Shot Cukup Sedikit</v>
      </c>
      <c r="V295" t="str">
        <f t="shared" si="47"/>
        <v>Shot on Target Normal</v>
      </c>
      <c r="W295" t="str">
        <f t="shared" si="48"/>
        <v>Fouls Tinggi</v>
      </c>
      <c r="X295" t="str">
        <f t="shared" si="49"/>
        <v>Corner Rendah</v>
      </c>
      <c r="Y295" t="str">
        <f t="shared" si="45"/>
        <v>Yellow Card Rendah</v>
      </c>
      <c r="Z295" t="str">
        <f t="shared" si="46"/>
        <v>Red Card Rendah</v>
      </c>
    </row>
    <row r="296" spans="1:26" x14ac:dyDescent="0.25">
      <c r="A296" t="s">
        <v>58</v>
      </c>
      <c r="B296">
        <v>2.2000000000000002</v>
      </c>
      <c r="C296">
        <v>72</v>
      </c>
      <c r="D296">
        <v>810</v>
      </c>
      <c r="E296">
        <v>749</v>
      </c>
      <c r="F296">
        <v>2</v>
      </c>
      <c r="G296" t="s">
        <v>35</v>
      </c>
      <c r="H296">
        <v>2</v>
      </c>
      <c r="I296" t="s">
        <v>35</v>
      </c>
      <c r="J296">
        <v>18</v>
      </c>
      <c r="K296">
        <v>5</v>
      </c>
      <c r="L296">
        <v>11</v>
      </c>
      <c r="M296">
        <v>5</v>
      </c>
      <c r="N296">
        <v>1</v>
      </c>
      <c r="O296">
        <v>0</v>
      </c>
      <c r="Q296" t="str">
        <f t="shared" si="40"/>
        <v>xG Cukup Sedikit</v>
      </c>
      <c r="R296" t="str">
        <f t="shared" si="41"/>
        <v>Possession Sangat Banyak</v>
      </c>
      <c r="S296" t="str">
        <f t="shared" si="42"/>
        <v>Total Pass Sangat Banyak</v>
      </c>
      <c r="T296" t="str">
        <f t="shared" si="43"/>
        <v>Pass Sukses Sangat Banyak</v>
      </c>
      <c r="U296" t="str">
        <f t="shared" si="44"/>
        <v>Total Shot Cukup Sedikit</v>
      </c>
      <c r="V296" t="str">
        <f t="shared" si="47"/>
        <v>Shot on Target Tinggi</v>
      </c>
      <c r="W296" t="str">
        <f t="shared" si="48"/>
        <v>Fouls Normal</v>
      </c>
      <c r="X296" t="str">
        <f t="shared" si="49"/>
        <v>Corner Normal</v>
      </c>
      <c r="Y296" t="str">
        <f t="shared" si="45"/>
        <v>Yellow Card Rendah</v>
      </c>
      <c r="Z296" t="str">
        <f t="shared" si="46"/>
        <v>Red Card Rendah</v>
      </c>
    </row>
    <row r="297" spans="1:26" x14ac:dyDescent="0.25">
      <c r="A297" t="s">
        <v>46</v>
      </c>
      <c r="B297">
        <v>1.3</v>
      </c>
      <c r="C297">
        <v>49</v>
      </c>
      <c r="D297">
        <v>444</v>
      </c>
      <c r="E297">
        <v>336</v>
      </c>
      <c r="F297">
        <v>2</v>
      </c>
      <c r="G297" t="s">
        <v>35</v>
      </c>
      <c r="H297">
        <v>1</v>
      </c>
      <c r="I297" t="s">
        <v>35</v>
      </c>
      <c r="J297">
        <v>21</v>
      </c>
      <c r="K297">
        <v>4</v>
      </c>
      <c r="L297">
        <v>12</v>
      </c>
      <c r="M297">
        <v>4</v>
      </c>
      <c r="N297">
        <v>1</v>
      </c>
      <c r="O297">
        <v>0</v>
      </c>
      <c r="Q297" t="str">
        <f t="shared" si="40"/>
        <v>xG Sangat Sedikit</v>
      </c>
      <c r="R297" t="str">
        <f t="shared" si="41"/>
        <v>Possession Cukup Sedikit</v>
      </c>
      <c r="S297" t="str">
        <f t="shared" si="42"/>
        <v>Total Pass Cukup Sedikit</v>
      </c>
      <c r="T297" t="str">
        <f t="shared" si="43"/>
        <v>Pass Sukses Cukup Sedikit</v>
      </c>
      <c r="U297" t="str">
        <f t="shared" si="44"/>
        <v>Total Shot Cukup Banyak</v>
      </c>
      <c r="V297" t="str">
        <f t="shared" si="47"/>
        <v>Shot on Target Normal</v>
      </c>
      <c r="W297" t="str">
        <f t="shared" si="48"/>
        <v>Fouls Tinggi</v>
      </c>
      <c r="X297" t="str">
        <f t="shared" si="49"/>
        <v>Corner Rendah</v>
      </c>
      <c r="Y297" t="str">
        <f t="shared" si="45"/>
        <v>Yellow Card Rendah</v>
      </c>
      <c r="Z297" t="str">
        <f t="shared" si="46"/>
        <v>Red Card Rendah</v>
      </c>
    </row>
    <row r="298" spans="1:26" x14ac:dyDescent="0.25">
      <c r="A298" t="s">
        <v>47</v>
      </c>
      <c r="B298">
        <v>0.7</v>
      </c>
      <c r="C298">
        <v>43</v>
      </c>
      <c r="D298">
        <v>424</v>
      </c>
      <c r="E298">
        <v>327</v>
      </c>
      <c r="F298">
        <v>1</v>
      </c>
      <c r="G298" t="s">
        <v>36</v>
      </c>
      <c r="H298">
        <v>1</v>
      </c>
      <c r="I298" t="s">
        <v>35</v>
      </c>
      <c r="J298">
        <v>8</v>
      </c>
      <c r="K298">
        <v>2</v>
      </c>
      <c r="L298">
        <v>14</v>
      </c>
      <c r="M298">
        <v>2</v>
      </c>
      <c r="N298">
        <v>2</v>
      </c>
      <c r="O298">
        <v>0</v>
      </c>
      <c r="Q298" t="str">
        <f t="shared" si="40"/>
        <v>xG Sangat Sedikit</v>
      </c>
      <c r="R298" t="str">
        <f t="shared" si="41"/>
        <v>Possession Cukup Sedikit</v>
      </c>
      <c r="S298" t="str">
        <f t="shared" si="42"/>
        <v>Total Pass Cukup Sedikit</v>
      </c>
      <c r="T298" t="str">
        <f t="shared" si="43"/>
        <v>Pass Sukses Cukup Sedikit</v>
      </c>
      <c r="U298" t="str">
        <f t="shared" si="44"/>
        <v>Total Shot Sangat Sedikit</v>
      </c>
      <c r="V298" t="str">
        <f t="shared" si="47"/>
        <v>Shot on Target Rendah</v>
      </c>
      <c r="W298" t="str">
        <f t="shared" si="48"/>
        <v>Fouls Tinggi</v>
      </c>
      <c r="X298" t="str">
        <f t="shared" si="49"/>
        <v>Corner Rendah</v>
      </c>
      <c r="Y298" t="str">
        <f t="shared" si="45"/>
        <v>Yellow Card Rendah</v>
      </c>
      <c r="Z298" t="str">
        <f t="shared" si="46"/>
        <v>Red Card Rendah</v>
      </c>
    </row>
    <row r="299" spans="1:26" x14ac:dyDescent="0.25">
      <c r="A299" t="s">
        <v>39</v>
      </c>
      <c r="B299">
        <v>1.5</v>
      </c>
      <c r="C299">
        <v>73</v>
      </c>
      <c r="D299">
        <v>670</v>
      </c>
      <c r="E299">
        <v>563</v>
      </c>
      <c r="F299">
        <v>1</v>
      </c>
      <c r="G299" t="s">
        <v>35</v>
      </c>
      <c r="H299">
        <v>0</v>
      </c>
      <c r="I299" t="s">
        <v>36</v>
      </c>
      <c r="J299">
        <v>17</v>
      </c>
      <c r="K299">
        <v>3</v>
      </c>
      <c r="L299">
        <v>7</v>
      </c>
      <c r="M299">
        <v>11</v>
      </c>
      <c r="N299">
        <v>2</v>
      </c>
      <c r="O299">
        <v>0</v>
      </c>
      <c r="Q299" t="str">
        <f t="shared" si="40"/>
        <v>xG Cukup Sedikit</v>
      </c>
      <c r="R299" t="str">
        <f t="shared" si="41"/>
        <v>Possession Sangat Banyak</v>
      </c>
      <c r="S299" t="str">
        <f t="shared" si="42"/>
        <v>Total Pass Sangat Banyak</v>
      </c>
      <c r="T299" t="str">
        <f t="shared" si="43"/>
        <v>Pass Sukses Cukup Banyak</v>
      </c>
      <c r="U299" t="str">
        <f t="shared" si="44"/>
        <v>Total Shot Cukup Sedikit</v>
      </c>
      <c r="V299" t="str">
        <f t="shared" si="47"/>
        <v>Shot on Target Rendah</v>
      </c>
      <c r="W299" t="str">
        <f t="shared" si="48"/>
        <v>Fouls Rendah</v>
      </c>
      <c r="X299" t="str">
        <f t="shared" si="49"/>
        <v>Corner Tinggi</v>
      </c>
      <c r="Y299" t="str">
        <f t="shared" si="45"/>
        <v>Yellow Card Rendah</v>
      </c>
      <c r="Z299" t="str">
        <f t="shared" si="46"/>
        <v>Red Card Rendah</v>
      </c>
    </row>
    <row r="300" spans="1:26" x14ac:dyDescent="0.25">
      <c r="A300" t="s">
        <v>57</v>
      </c>
      <c r="B300">
        <v>1</v>
      </c>
      <c r="C300">
        <v>51</v>
      </c>
      <c r="D300">
        <v>486</v>
      </c>
      <c r="E300">
        <v>396</v>
      </c>
      <c r="F300">
        <v>1</v>
      </c>
      <c r="G300" t="s">
        <v>35</v>
      </c>
      <c r="H300">
        <v>0</v>
      </c>
      <c r="I300" t="s">
        <v>36</v>
      </c>
      <c r="J300">
        <v>11</v>
      </c>
      <c r="K300">
        <v>5</v>
      </c>
      <c r="L300">
        <v>7</v>
      </c>
      <c r="M300">
        <v>4</v>
      </c>
      <c r="N300">
        <v>5</v>
      </c>
      <c r="O300">
        <v>0</v>
      </c>
      <c r="Q300" t="str">
        <f t="shared" si="40"/>
        <v>xG Sangat Sedikit</v>
      </c>
      <c r="R300" t="str">
        <f t="shared" si="41"/>
        <v>Possession Cukup Banyak</v>
      </c>
      <c r="S300" t="str">
        <f t="shared" si="42"/>
        <v>Total Pass Cukup Sedikit</v>
      </c>
      <c r="T300" t="str">
        <f t="shared" si="43"/>
        <v>Pass Sukses Cukup Sedikit</v>
      </c>
      <c r="U300" t="str">
        <f t="shared" si="44"/>
        <v>Total Shot Cukup Sedikit</v>
      </c>
      <c r="V300" t="str">
        <f t="shared" si="47"/>
        <v>Shot on Target Tinggi</v>
      </c>
      <c r="W300" t="str">
        <f t="shared" si="48"/>
        <v>Fouls Rendah</v>
      </c>
      <c r="X300" t="str">
        <f t="shared" si="49"/>
        <v>Corner Rendah</v>
      </c>
      <c r="Y300" t="str">
        <f t="shared" si="45"/>
        <v>Yellow Card Tinggi</v>
      </c>
      <c r="Z300" t="str">
        <f t="shared" si="46"/>
        <v>Red Card Rendah</v>
      </c>
    </row>
    <row r="301" spans="1:26" x14ac:dyDescent="0.25">
      <c r="A301" t="s">
        <v>44</v>
      </c>
      <c r="B301">
        <v>1.1000000000000001</v>
      </c>
      <c r="C301">
        <v>31</v>
      </c>
      <c r="D301">
        <v>220</v>
      </c>
      <c r="E301">
        <v>144</v>
      </c>
      <c r="F301">
        <v>1</v>
      </c>
      <c r="G301" t="s">
        <v>36</v>
      </c>
      <c r="H301">
        <v>0</v>
      </c>
      <c r="I301" t="s">
        <v>40</v>
      </c>
      <c r="J301">
        <v>5</v>
      </c>
      <c r="K301">
        <v>2</v>
      </c>
      <c r="L301">
        <v>17</v>
      </c>
      <c r="M301">
        <v>3</v>
      </c>
      <c r="N301">
        <v>3</v>
      </c>
      <c r="O301">
        <v>0</v>
      </c>
      <c r="Q301" t="str">
        <f t="shared" si="40"/>
        <v>xG Sangat Sedikit</v>
      </c>
      <c r="R301" t="str">
        <f t="shared" si="41"/>
        <v>Possession Sangat Sedikit</v>
      </c>
      <c r="S301" t="str">
        <f t="shared" si="42"/>
        <v>Total Pass Sangat Sedikit</v>
      </c>
      <c r="T301" t="str">
        <f t="shared" si="43"/>
        <v>Pass Sukses Sangat Sedikit</v>
      </c>
      <c r="U301" t="str">
        <f t="shared" si="44"/>
        <v>Total Shot Sangat Sedikit</v>
      </c>
      <c r="V301" t="str">
        <f t="shared" si="47"/>
        <v>Shot on Target Rendah</v>
      </c>
      <c r="W301" t="str">
        <f t="shared" si="48"/>
        <v>Fouls Tinggi</v>
      </c>
      <c r="X301" t="str">
        <f t="shared" si="49"/>
        <v>Corner Rendah</v>
      </c>
      <c r="Y301" t="str">
        <f t="shared" si="45"/>
        <v>Yellow Card Tinggi</v>
      </c>
      <c r="Z301" t="str">
        <f t="shared" si="46"/>
        <v>Red Card Rendah</v>
      </c>
    </row>
    <row r="302" spans="1:26" x14ac:dyDescent="0.25">
      <c r="A302" t="s">
        <v>55</v>
      </c>
      <c r="B302">
        <v>0.6</v>
      </c>
      <c r="C302">
        <v>38</v>
      </c>
      <c r="D302">
        <v>359</v>
      </c>
      <c r="E302">
        <v>266</v>
      </c>
      <c r="F302">
        <v>2</v>
      </c>
      <c r="G302" t="s">
        <v>35</v>
      </c>
      <c r="H302">
        <v>1</v>
      </c>
      <c r="I302" t="s">
        <v>36</v>
      </c>
      <c r="J302">
        <v>8</v>
      </c>
      <c r="K302">
        <v>3</v>
      </c>
      <c r="L302">
        <v>12</v>
      </c>
      <c r="M302">
        <v>2</v>
      </c>
      <c r="N302">
        <v>0</v>
      </c>
      <c r="O302">
        <v>2</v>
      </c>
      <c r="Q302" t="str">
        <f t="shared" si="40"/>
        <v>xG Sangat Sedikit</v>
      </c>
      <c r="R302" t="str">
        <f t="shared" si="41"/>
        <v>Possession Cukup Sedikit</v>
      </c>
      <c r="S302" t="str">
        <f t="shared" si="42"/>
        <v>Total Pass Cukup Sedikit</v>
      </c>
      <c r="T302" t="str">
        <f t="shared" si="43"/>
        <v>Pass Sukses Sangat Sedikit</v>
      </c>
      <c r="U302" t="str">
        <f t="shared" si="44"/>
        <v>Total Shot Sangat Sedikit</v>
      </c>
      <c r="V302" t="str">
        <f t="shared" si="47"/>
        <v>Shot on Target Rendah</v>
      </c>
      <c r="W302" t="str">
        <f t="shared" si="48"/>
        <v>Fouls Tinggi</v>
      </c>
      <c r="X302" t="str">
        <f t="shared" si="49"/>
        <v>Corner Rendah</v>
      </c>
      <c r="Y302" t="str">
        <f t="shared" si="45"/>
        <v>Yellow Card Rendah</v>
      </c>
      <c r="Z302" t="str">
        <f t="shared" si="46"/>
        <v>Red Card Tinggi</v>
      </c>
    </row>
    <row r="303" spans="1:26" x14ac:dyDescent="0.25">
      <c r="A303" t="s">
        <v>38</v>
      </c>
      <c r="B303">
        <v>0.8</v>
      </c>
      <c r="C303">
        <v>45</v>
      </c>
      <c r="D303">
        <v>367</v>
      </c>
      <c r="E303">
        <v>266</v>
      </c>
      <c r="F303">
        <v>1</v>
      </c>
      <c r="G303" t="s">
        <v>40</v>
      </c>
      <c r="H303">
        <v>1</v>
      </c>
      <c r="I303" t="s">
        <v>35</v>
      </c>
      <c r="J303">
        <v>6</v>
      </c>
      <c r="K303">
        <v>2</v>
      </c>
      <c r="L303">
        <v>12</v>
      </c>
      <c r="M303">
        <v>4</v>
      </c>
      <c r="N303">
        <v>2</v>
      </c>
      <c r="O303">
        <v>0</v>
      </c>
      <c r="Q303" t="str">
        <f t="shared" si="40"/>
        <v>xG Sangat Sedikit</v>
      </c>
      <c r="R303" t="str">
        <f t="shared" si="41"/>
        <v>Possession Cukup Sedikit</v>
      </c>
      <c r="S303" t="str">
        <f t="shared" si="42"/>
        <v>Total Pass Cukup Sedikit</v>
      </c>
      <c r="T303" t="str">
        <f t="shared" si="43"/>
        <v>Pass Sukses Sangat Sedikit</v>
      </c>
      <c r="U303" t="str">
        <f t="shared" si="44"/>
        <v>Total Shot Sangat Sedikit</v>
      </c>
      <c r="V303" t="str">
        <f t="shared" si="47"/>
        <v>Shot on Target Rendah</v>
      </c>
      <c r="W303" t="str">
        <f t="shared" si="48"/>
        <v>Fouls Tinggi</v>
      </c>
      <c r="X303" t="str">
        <f t="shared" si="49"/>
        <v>Corner Rendah</v>
      </c>
      <c r="Y303" t="str">
        <f t="shared" si="45"/>
        <v>Yellow Card Rendah</v>
      </c>
      <c r="Z303" t="str">
        <f t="shared" si="46"/>
        <v>Red Card Rendah</v>
      </c>
    </row>
    <row r="304" spans="1:26" x14ac:dyDescent="0.25">
      <c r="A304" t="s">
        <v>51</v>
      </c>
      <c r="B304">
        <v>0.7</v>
      </c>
      <c r="C304">
        <v>56</v>
      </c>
      <c r="D304">
        <v>526</v>
      </c>
      <c r="E304">
        <v>409</v>
      </c>
      <c r="F304">
        <v>2</v>
      </c>
      <c r="G304" t="s">
        <v>36</v>
      </c>
      <c r="H304">
        <v>0</v>
      </c>
      <c r="I304" t="s">
        <v>40</v>
      </c>
      <c r="J304">
        <v>9</v>
      </c>
      <c r="K304">
        <v>3</v>
      </c>
      <c r="L304">
        <v>13</v>
      </c>
      <c r="M304">
        <v>4</v>
      </c>
      <c r="N304">
        <v>2</v>
      </c>
      <c r="O304">
        <v>0</v>
      </c>
      <c r="Q304" t="str">
        <f t="shared" si="40"/>
        <v>xG Sangat Sedikit</v>
      </c>
      <c r="R304" t="str">
        <f t="shared" si="41"/>
        <v>Possession Cukup Banyak</v>
      </c>
      <c r="S304" t="str">
        <f t="shared" si="42"/>
        <v>Total Pass Cukup Banyak</v>
      </c>
      <c r="T304" t="str">
        <f t="shared" si="43"/>
        <v>Pass Sukses Cukup Sedikit</v>
      </c>
      <c r="U304" t="str">
        <f t="shared" si="44"/>
        <v>Total Shot Sangat Sedikit</v>
      </c>
      <c r="V304" t="str">
        <f t="shared" si="47"/>
        <v>Shot on Target Rendah</v>
      </c>
      <c r="W304" t="str">
        <f t="shared" si="48"/>
        <v>Fouls Tinggi</v>
      </c>
      <c r="X304" t="str">
        <f t="shared" si="49"/>
        <v>Corner Rendah</v>
      </c>
      <c r="Y304" t="str">
        <f t="shared" si="45"/>
        <v>Yellow Card Rendah</v>
      </c>
      <c r="Z304" t="str">
        <f t="shared" si="46"/>
        <v>Red Card Rendah</v>
      </c>
    </row>
    <row r="305" spans="1:26" x14ac:dyDescent="0.25">
      <c r="A305" t="s">
        <v>52</v>
      </c>
      <c r="B305">
        <v>3</v>
      </c>
      <c r="C305">
        <v>52</v>
      </c>
      <c r="D305">
        <v>462</v>
      </c>
      <c r="E305">
        <v>385</v>
      </c>
      <c r="F305">
        <v>2</v>
      </c>
      <c r="G305" t="s">
        <v>35</v>
      </c>
      <c r="H305">
        <v>2</v>
      </c>
      <c r="I305" t="s">
        <v>35</v>
      </c>
      <c r="J305">
        <v>17</v>
      </c>
      <c r="K305">
        <v>8</v>
      </c>
      <c r="L305">
        <v>7</v>
      </c>
      <c r="M305">
        <v>4</v>
      </c>
      <c r="N305">
        <v>2</v>
      </c>
      <c r="O305">
        <v>0</v>
      </c>
      <c r="Q305" t="str">
        <f t="shared" si="40"/>
        <v>xG Cukup Banyak</v>
      </c>
      <c r="R305" t="str">
        <f t="shared" si="41"/>
        <v>Possession Cukup Banyak</v>
      </c>
      <c r="S305" t="str">
        <f t="shared" si="42"/>
        <v>Total Pass Cukup Sedikit</v>
      </c>
      <c r="T305" t="str">
        <f t="shared" si="43"/>
        <v>Pass Sukses Cukup Sedikit</v>
      </c>
      <c r="U305" t="str">
        <f t="shared" si="44"/>
        <v>Total Shot Cukup Sedikit</v>
      </c>
      <c r="V305" t="str">
        <f t="shared" si="47"/>
        <v>Shot on Target Tinggi</v>
      </c>
      <c r="W305" t="str">
        <f t="shared" si="48"/>
        <v>Fouls Rendah</v>
      </c>
      <c r="X305" t="str">
        <f t="shared" si="49"/>
        <v>Corner Rendah</v>
      </c>
      <c r="Y305" t="str">
        <f t="shared" si="45"/>
        <v>Yellow Card Rendah</v>
      </c>
      <c r="Z305" t="str">
        <f t="shared" si="46"/>
        <v>Red Card Rendah</v>
      </c>
    </row>
    <row r="306" spans="1:26" x14ac:dyDescent="0.25">
      <c r="A306" t="s">
        <v>54</v>
      </c>
      <c r="B306">
        <v>1.1000000000000001</v>
      </c>
      <c r="C306">
        <v>42</v>
      </c>
      <c r="D306">
        <v>375</v>
      </c>
      <c r="E306">
        <v>273</v>
      </c>
      <c r="F306">
        <v>0</v>
      </c>
      <c r="G306" t="s">
        <v>36</v>
      </c>
      <c r="H306">
        <v>0</v>
      </c>
      <c r="I306" t="s">
        <v>36</v>
      </c>
      <c r="J306">
        <v>9</v>
      </c>
      <c r="K306">
        <v>2</v>
      </c>
      <c r="L306">
        <v>12</v>
      </c>
      <c r="M306">
        <v>3</v>
      </c>
      <c r="N306">
        <v>1</v>
      </c>
      <c r="O306">
        <v>0</v>
      </c>
      <c r="Q306" t="str">
        <f t="shared" si="40"/>
        <v>xG Sangat Sedikit</v>
      </c>
      <c r="R306" t="str">
        <f t="shared" si="41"/>
        <v>Possession Cukup Sedikit</v>
      </c>
      <c r="S306" t="str">
        <f t="shared" si="42"/>
        <v>Total Pass Cukup Sedikit</v>
      </c>
      <c r="T306" t="str">
        <f t="shared" si="43"/>
        <v>Pass Sukses Sangat Sedikit</v>
      </c>
      <c r="U306" t="str">
        <f t="shared" si="44"/>
        <v>Total Shot Sangat Sedikit</v>
      </c>
      <c r="V306" t="str">
        <f t="shared" si="47"/>
        <v>Shot on Target Rendah</v>
      </c>
      <c r="W306" t="str">
        <f t="shared" si="48"/>
        <v>Fouls Tinggi</v>
      </c>
      <c r="X306" t="str">
        <f t="shared" si="49"/>
        <v>Corner Rendah</v>
      </c>
      <c r="Y306" t="str">
        <f t="shared" si="45"/>
        <v>Yellow Card Rendah</v>
      </c>
      <c r="Z306" t="str">
        <f t="shared" si="46"/>
        <v>Red Card Rendah</v>
      </c>
    </row>
    <row r="307" spans="1:26" x14ac:dyDescent="0.25">
      <c r="A307" t="s">
        <v>34</v>
      </c>
      <c r="B307">
        <v>0.7</v>
      </c>
      <c r="C307">
        <v>37</v>
      </c>
      <c r="D307">
        <v>367</v>
      </c>
      <c r="E307">
        <v>274</v>
      </c>
      <c r="F307">
        <v>3</v>
      </c>
      <c r="G307" t="s">
        <v>35</v>
      </c>
      <c r="H307">
        <v>3</v>
      </c>
      <c r="I307" t="s">
        <v>35</v>
      </c>
      <c r="J307">
        <v>12</v>
      </c>
      <c r="K307">
        <v>6</v>
      </c>
      <c r="L307">
        <v>10</v>
      </c>
      <c r="M307">
        <v>4</v>
      </c>
      <c r="N307">
        <v>3</v>
      </c>
      <c r="O307">
        <v>0</v>
      </c>
      <c r="Q307" t="str">
        <f t="shared" si="40"/>
        <v>xG Sangat Sedikit</v>
      </c>
      <c r="R307" t="str">
        <f t="shared" si="41"/>
        <v>Possession Cukup Sedikit</v>
      </c>
      <c r="S307" t="str">
        <f t="shared" si="42"/>
        <v>Total Pass Cukup Sedikit</v>
      </c>
      <c r="T307" t="str">
        <f t="shared" si="43"/>
        <v>Pass Sukses Sangat Sedikit</v>
      </c>
      <c r="U307" t="str">
        <f t="shared" si="44"/>
        <v>Total Shot Cukup Sedikit</v>
      </c>
      <c r="V307" t="str">
        <f t="shared" si="47"/>
        <v>Shot on Target Tinggi</v>
      </c>
      <c r="W307" t="str">
        <f t="shared" si="48"/>
        <v>Fouls Normal</v>
      </c>
      <c r="X307" t="str">
        <f t="shared" si="49"/>
        <v>Corner Rendah</v>
      </c>
      <c r="Y307" t="str">
        <f t="shared" si="45"/>
        <v>Yellow Card Tinggi</v>
      </c>
      <c r="Z307" t="str">
        <f t="shared" si="46"/>
        <v>Red Card Rendah</v>
      </c>
    </row>
    <row r="308" spans="1:26" x14ac:dyDescent="0.25">
      <c r="A308" t="s">
        <v>60</v>
      </c>
      <c r="B308">
        <v>2.1</v>
      </c>
      <c r="C308">
        <v>51</v>
      </c>
      <c r="D308">
        <v>520</v>
      </c>
      <c r="E308">
        <v>451</v>
      </c>
      <c r="F308">
        <v>3</v>
      </c>
      <c r="G308" t="s">
        <v>35</v>
      </c>
      <c r="H308">
        <v>2</v>
      </c>
      <c r="I308" t="s">
        <v>35</v>
      </c>
      <c r="J308">
        <v>13</v>
      </c>
      <c r="K308">
        <v>8</v>
      </c>
      <c r="L308">
        <v>16</v>
      </c>
      <c r="M308">
        <v>4</v>
      </c>
      <c r="N308">
        <v>1</v>
      </c>
      <c r="O308">
        <v>0</v>
      </c>
      <c r="Q308" t="str">
        <f t="shared" si="40"/>
        <v>xG Cukup Sedikit</v>
      </c>
      <c r="R308" t="str">
        <f t="shared" si="41"/>
        <v>Possession Cukup Banyak</v>
      </c>
      <c r="S308" t="str">
        <f t="shared" si="42"/>
        <v>Total Pass Cukup Banyak</v>
      </c>
      <c r="T308" t="str">
        <f t="shared" si="43"/>
        <v>Pass Sukses Cukup Banyak</v>
      </c>
      <c r="U308" t="str">
        <f t="shared" si="44"/>
        <v>Total Shot Cukup Sedikit</v>
      </c>
      <c r="V308" t="str">
        <f t="shared" si="47"/>
        <v>Shot on Target Tinggi</v>
      </c>
      <c r="W308" t="str">
        <f t="shared" si="48"/>
        <v>Fouls Tinggi</v>
      </c>
      <c r="X308" t="str">
        <f t="shared" si="49"/>
        <v>Corner Rendah</v>
      </c>
      <c r="Y308" t="str">
        <f t="shared" si="45"/>
        <v>Yellow Card Rendah</v>
      </c>
      <c r="Z308" t="str">
        <f t="shared" si="46"/>
        <v>Red Card Rendah</v>
      </c>
    </row>
    <row r="309" spans="1:26" x14ac:dyDescent="0.25">
      <c r="A309" t="s">
        <v>33</v>
      </c>
      <c r="B309">
        <v>0.9</v>
      </c>
      <c r="C309">
        <v>42</v>
      </c>
      <c r="D309">
        <v>423</v>
      </c>
      <c r="E309">
        <v>347</v>
      </c>
      <c r="F309">
        <v>0</v>
      </c>
      <c r="G309" t="s">
        <v>36</v>
      </c>
      <c r="H309">
        <v>0</v>
      </c>
      <c r="I309" t="s">
        <v>36</v>
      </c>
      <c r="J309">
        <v>13</v>
      </c>
      <c r="K309">
        <v>2</v>
      </c>
      <c r="L309">
        <v>13</v>
      </c>
      <c r="M309">
        <v>5</v>
      </c>
      <c r="N309">
        <v>3</v>
      </c>
      <c r="O309">
        <v>0</v>
      </c>
      <c r="Q309" t="str">
        <f t="shared" si="40"/>
        <v>xG Sangat Sedikit</v>
      </c>
      <c r="R309" t="str">
        <f t="shared" si="41"/>
        <v>Possession Cukup Sedikit</v>
      </c>
      <c r="S309" t="str">
        <f t="shared" si="42"/>
        <v>Total Pass Cukup Sedikit</v>
      </c>
      <c r="T309" t="str">
        <f t="shared" si="43"/>
        <v>Pass Sukses Cukup Sedikit</v>
      </c>
      <c r="U309" t="str">
        <f t="shared" si="44"/>
        <v>Total Shot Cukup Sedikit</v>
      </c>
      <c r="V309" t="str">
        <f t="shared" si="47"/>
        <v>Shot on Target Rendah</v>
      </c>
      <c r="W309" t="str">
        <f t="shared" si="48"/>
        <v>Fouls Tinggi</v>
      </c>
      <c r="X309" t="str">
        <f t="shared" si="49"/>
        <v>Corner Normal</v>
      </c>
      <c r="Y309" t="str">
        <f t="shared" si="45"/>
        <v>Yellow Card Tinggi</v>
      </c>
      <c r="Z309" t="str">
        <f t="shared" si="46"/>
        <v>Red Card Rendah</v>
      </c>
    </row>
    <row r="310" spans="1:26" x14ac:dyDescent="0.25">
      <c r="A310" t="s">
        <v>59</v>
      </c>
      <c r="B310">
        <v>0.5</v>
      </c>
      <c r="C310">
        <v>58</v>
      </c>
      <c r="D310">
        <v>602</v>
      </c>
      <c r="E310">
        <v>482</v>
      </c>
      <c r="F310">
        <v>0</v>
      </c>
      <c r="G310" t="s">
        <v>40</v>
      </c>
      <c r="H310">
        <v>0</v>
      </c>
      <c r="I310" t="s">
        <v>40</v>
      </c>
      <c r="J310">
        <v>7</v>
      </c>
      <c r="K310">
        <v>2</v>
      </c>
      <c r="L310">
        <v>8</v>
      </c>
      <c r="M310">
        <v>12</v>
      </c>
      <c r="N310">
        <v>2</v>
      </c>
      <c r="O310">
        <v>0</v>
      </c>
      <c r="Q310" t="str">
        <f t="shared" si="40"/>
        <v>xG Sangat Sedikit</v>
      </c>
      <c r="R310" t="str">
        <f t="shared" si="41"/>
        <v>Possession Cukup Banyak</v>
      </c>
      <c r="S310" t="str">
        <f t="shared" si="42"/>
        <v>Total Pass Cukup Banyak</v>
      </c>
      <c r="T310" t="str">
        <f t="shared" si="43"/>
        <v>Pass Sukses Cukup Banyak</v>
      </c>
      <c r="U310" t="str">
        <f t="shared" si="44"/>
        <v>Total Shot Sangat Sedikit</v>
      </c>
      <c r="V310" t="str">
        <f t="shared" si="47"/>
        <v>Shot on Target Rendah</v>
      </c>
      <c r="W310" t="str">
        <f t="shared" si="48"/>
        <v>Fouls Rendah</v>
      </c>
      <c r="X310" t="str">
        <f t="shared" si="49"/>
        <v>Corner Tinggi</v>
      </c>
      <c r="Y310" t="str">
        <f t="shared" si="45"/>
        <v>Yellow Card Rendah</v>
      </c>
      <c r="Z310" t="str">
        <f t="shared" si="46"/>
        <v>Red Card Rendah</v>
      </c>
    </row>
    <row r="311" spans="1:26" x14ac:dyDescent="0.25">
      <c r="A311" t="s">
        <v>58</v>
      </c>
      <c r="B311">
        <v>3.7</v>
      </c>
      <c r="C311">
        <v>67</v>
      </c>
      <c r="D311">
        <v>768</v>
      </c>
      <c r="E311">
        <v>689</v>
      </c>
      <c r="F311">
        <v>5</v>
      </c>
      <c r="G311" t="s">
        <v>35</v>
      </c>
      <c r="H311">
        <v>2</v>
      </c>
      <c r="I311" t="s">
        <v>36</v>
      </c>
      <c r="J311">
        <v>21</v>
      </c>
      <c r="K311">
        <v>9</v>
      </c>
      <c r="L311">
        <v>10</v>
      </c>
      <c r="M311">
        <v>1</v>
      </c>
      <c r="N311">
        <v>2</v>
      </c>
      <c r="O311">
        <v>0</v>
      </c>
      <c r="Q311" t="str">
        <f t="shared" si="40"/>
        <v>xG Cukup Banyak</v>
      </c>
      <c r="R311" t="str">
        <f t="shared" si="41"/>
        <v>Possession Sangat Banyak</v>
      </c>
      <c r="S311" t="str">
        <f t="shared" si="42"/>
        <v>Total Pass Sangat Banyak</v>
      </c>
      <c r="T311" t="str">
        <f t="shared" si="43"/>
        <v>Pass Sukses Sangat Banyak</v>
      </c>
      <c r="U311" t="str">
        <f t="shared" si="44"/>
        <v>Total Shot Cukup Banyak</v>
      </c>
      <c r="V311" t="str">
        <f t="shared" si="47"/>
        <v>Shot on Target Tinggi</v>
      </c>
      <c r="W311" t="str">
        <f t="shared" si="48"/>
        <v>Fouls Normal</v>
      </c>
      <c r="X311" t="str">
        <f t="shared" si="49"/>
        <v>Corner Rendah</v>
      </c>
      <c r="Y311" t="str">
        <f t="shared" si="45"/>
        <v>Yellow Card Rendah</v>
      </c>
      <c r="Z311" t="str">
        <f t="shared" si="46"/>
        <v>Red Card Rendah</v>
      </c>
    </row>
    <row r="312" spans="1:26" x14ac:dyDescent="0.25">
      <c r="A312" t="s">
        <v>45</v>
      </c>
      <c r="B312">
        <v>3.8</v>
      </c>
      <c r="C312">
        <v>59</v>
      </c>
      <c r="D312">
        <v>562</v>
      </c>
      <c r="E312">
        <v>480</v>
      </c>
      <c r="F312">
        <v>2</v>
      </c>
      <c r="G312" t="s">
        <v>36</v>
      </c>
      <c r="H312">
        <v>1</v>
      </c>
      <c r="I312" t="s">
        <v>36</v>
      </c>
      <c r="J312">
        <v>21</v>
      </c>
      <c r="K312">
        <v>7</v>
      </c>
      <c r="L312">
        <v>9</v>
      </c>
      <c r="M312">
        <v>3</v>
      </c>
      <c r="N312">
        <v>2</v>
      </c>
      <c r="O312">
        <v>0</v>
      </c>
      <c r="Q312" t="str">
        <f t="shared" si="40"/>
        <v>xG Cukup Banyak</v>
      </c>
      <c r="R312" t="str">
        <f t="shared" si="41"/>
        <v>Possession Cukup Banyak</v>
      </c>
      <c r="S312" t="str">
        <f t="shared" si="42"/>
        <v>Total Pass Cukup Banyak</v>
      </c>
      <c r="T312" t="str">
        <f t="shared" si="43"/>
        <v>Pass Sukses Cukup Banyak</v>
      </c>
      <c r="U312" t="str">
        <f t="shared" si="44"/>
        <v>Total Shot Cukup Banyak</v>
      </c>
      <c r="V312" t="str">
        <f t="shared" si="47"/>
        <v>Shot on Target Tinggi</v>
      </c>
      <c r="W312" t="str">
        <f t="shared" si="48"/>
        <v>Fouls Normal</v>
      </c>
      <c r="X312" t="str">
        <f t="shared" si="49"/>
        <v>Corner Rendah</v>
      </c>
      <c r="Y312" t="str">
        <f t="shared" si="45"/>
        <v>Yellow Card Rendah</v>
      </c>
      <c r="Z312" t="str">
        <f t="shared" si="46"/>
        <v>Red Card Rendah</v>
      </c>
    </row>
    <row r="313" spans="1:26" x14ac:dyDescent="0.25">
      <c r="A313" t="s">
        <v>48</v>
      </c>
      <c r="B313">
        <v>0.5</v>
      </c>
      <c r="C313">
        <v>43</v>
      </c>
      <c r="D313">
        <v>368</v>
      </c>
      <c r="E313">
        <v>265</v>
      </c>
      <c r="F313">
        <v>0</v>
      </c>
      <c r="G313" t="s">
        <v>40</v>
      </c>
      <c r="H313">
        <v>0</v>
      </c>
      <c r="I313" t="s">
        <v>36</v>
      </c>
      <c r="J313">
        <v>10</v>
      </c>
      <c r="K313">
        <v>5</v>
      </c>
      <c r="L313">
        <v>9</v>
      </c>
      <c r="M313">
        <v>1</v>
      </c>
      <c r="N313">
        <v>0</v>
      </c>
      <c r="O313">
        <v>0</v>
      </c>
      <c r="Q313" t="str">
        <f t="shared" si="40"/>
        <v>xG Sangat Sedikit</v>
      </c>
      <c r="R313" t="str">
        <f t="shared" si="41"/>
        <v>Possession Cukup Sedikit</v>
      </c>
      <c r="S313" t="str">
        <f t="shared" si="42"/>
        <v>Total Pass Cukup Sedikit</v>
      </c>
      <c r="T313" t="str">
        <f t="shared" si="43"/>
        <v>Pass Sukses Sangat Sedikit</v>
      </c>
      <c r="U313" t="str">
        <f t="shared" si="44"/>
        <v>Total Shot Sangat Sedikit</v>
      </c>
      <c r="V313" t="str">
        <f t="shared" si="47"/>
        <v>Shot on Target Tinggi</v>
      </c>
      <c r="W313" t="str">
        <f t="shared" si="48"/>
        <v>Fouls Normal</v>
      </c>
      <c r="X313" t="str">
        <f t="shared" si="49"/>
        <v>Corner Rendah</v>
      </c>
      <c r="Y313" t="str">
        <f t="shared" si="45"/>
        <v>Yellow Card Rendah</v>
      </c>
      <c r="Z313" t="str">
        <f t="shared" si="46"/>
        <v>Red Card Rendah</v>
      </c>
    </row>
    <row r="314" spans="1:26" x14ac:dyDescent="0.25">
      <c r="A314" t="s">
        <v>47</v>
      </c>
      <c r="B314">
        <v>0.3</v>
      </c>
      <c r="C314">
        <v>40</v>
      </c>
      <c r="D314">
        <v>383</v>
      </c>
      <c r="E314">
        <v>322</v>
      </c>
      <c r="F314">
        <v>0</v>
      </c>
      <c r="G314" t="s">
        <v>40</v>
      </c>
      <c r="H314">
        <v>0</v>
      </c>
      <c r="I314" t="s">
        <v>36</v>
      </c>
      <c r="J314">
        <v>7</v>
      </c>
      <c r="K314">
        <v>2</v>
      </c>
      <c r="L314">
        <v>11</v>
      </c>
      <c r="M314">
        <v>2</v>
      </c>
      <c r="N314">
        <v>3</v>
      </c>
      <c r="O314">
        <v>0</v>
      </c>
      <c r="Q314" t="str">
        <f t="shared" si="40"/>
        <v>xG Sangat Sedikit</v>
      </c>
      <c r="R314" t="str">
        <f t="shared" si="41"/>
        <v>Possession Cukup Sedikit</v>
      </c>
      <c r="S314" t="str">
        <f t="shared" si="42"/>
        <v>Total Pass Cukup Sedikit</v>
      </c>
      <c r="T314" t="str">
        <f t="shared" si="43"/>
        <v>Pass Sukses Cukup Sedikit</v>
      </c>
      <c r="U314" t="str">
        <f t="shared" si="44"/>
        <v>Total Shot Sangat Sedikit</v>
      </c>
      <c r="V314" t="str">
        <f t="shared" si="47"/>
        <v>Shot on Target Rendah</v>
      </c>
      <c r="W314" t="str">
        <f t="shared" si="48"/>
        <v>Fouls Normal</v>
      </c>
      <c r="X314" t="str">
        <f t="shared" si="49"/>
        <v>Corner Rendah</v>
      </c>
      <c r="Y314" t="str">
        <f t="shared" si="45"/>
        <v>Yellow Card Tinggi</v>
      </c>
      <c r="Z314" t="str">
        <f t="shared" si="46"/>
        <v>Red Card Rendah</v>
      </c>
    </row>
    <row r="315" spans="1:26" x14ac:dyDescent="0.25">
      <c r="A315" t="s">
        <v>42</v>
      </c>
      <c r="B315">
        <v>1</v>
      </c>
      <c r="C315">
        <v>63</v>
      </c>
      <c r="D315">
        <v>526</v>
      </c>
      <c r="E315">
        <v>444</v>
      </c>
      <c r="F315">
        <v>1</v>
      </c>
      <c r="G315" t="s">
        <v>36</v>
      </c>
      <c r="H315">
        <v>0</v>
      </c>
      <c r="I315" t="s">
        <v>36</v>
      </c>
      <c r="J315">
        <v>14</v>
      </c>
      <c r="K315">
        <v>3</v>
      </c>
      <c r="L315">
        <v>7</v>
      </c>
      <c r="M315">
        <v>13</v>
      </c>
      <c r="N315">
        <v>1</v>
      </c>
      <c r="O315">
        <v>0</v>
      </c>
      <c r="Q315" t="str">
        <f t="shared" si="40"/>
        <v>xG Sangat Sedikit</v>
      </c>
      <c r="R315" t="str">
        <f t="shared" si="41"/>
        <v>Possession Cukup Banyak</v>
      </c>
      <c r="S315" t="str">
        <f t="shared" si="42"/>
        <v>Total Pass Cukup Banyak</v>
      </c>
      <c r="T315" t="str">
        <f t="shared" si="43"/>
        <v>Pass Sukses Cukup Banyak</v>
      </c>
      <c r="U315" t="str">
        <f t="shared" si="44"/>
        <v>Total Shot Cukup Sedikit</v>
      </c>
      <c r="V315" t="str">
        <f t="shared" si="47"/>
        <v>Shot on Target Rendah</v>
      </c>
      <c r="W315" t="str">
        <f t="shared" si="48"/>
        <v>Fouls Rendah</v>
      </c>
      <c r="X315" t="str">
        <f t="shared" si="49"/>
        <v>Corner Tinggi</v>
      </c>
      <c r="Y315" t="str">
        <f t="shared" si="45"/>
        <v>Yellow Card Rendah</v>
      </c>
      <c r="Z315" t="str">
        <f t="shared" si="46"/>
        <v>Red Card Rendah</v>
      </c>
    </row>
    <row r="316" spans="1:26" x14ac:dyDescent="0.25">
      <c r="A316" t="s">
        <v>57</v>
      </c>
      <c r="B316">
        <v>2.2000000000000002</v>
      </c>
      <c r="C316">
        <v>73</v>
      </c>
      <c r="D316">
        <v>656</v>
      </c>
      <c r="E316">
        <v>550</v>
      </c>
      <c r="F316">
        <v>2</v>
      </c>
      <c r="G316" t="s">
        <v>36</v>
      </c>
      <c r="H316">
        <v>0</v>
      </c>
      <c r="I316" t="s">
        <v>40</v>
      </c>
      <c r="J316">
        <v>34</v>
      </c>
      <c r="K316">
        <v>9</v>
      </c>
      <c r="L316">
        <v>11</v>
      </c>
      <c r="M316">
        <v>15</v>
      </c>
      <c r="N316">
        <v>2</v>
      </c>
      <c r="O316">
        <v>0</v>
      </c>
      <c r="Q316" t="str">
        <f t="shared" si="40"/>
        <v>xG Cukup Sedikit</v>
      </c>
      <c r="R316" t="str">
        <f t="shared" si="41"/>
        <v>Possession Sangat Banyak</v>
      </c>
      <c r="S316" t="str">
        <f t="shared" si="42"/>
        <v>Total Pass Cukup Banyak</v>
      </c>
      <c r="T316" t="str">
        <f t="shared" si="43"/>
        <v>Pass Sukses Cukup Banyak</v>
      </c>
      <c r="U316" t="str">
        <f t="shared" si="44"/>
        <v>Total Shot Sangat Banyak</v>
      </c>
      <c r="V316" t="str">
        <f t="shared" si="47"/>
        <v>Shot on Target Tinggi</v>
      </c>
      <c r="W316" t="str">
        <f t="shared" si="48"/>
        <v>Fouls Normal</v>
      </c>
      <c r="X316" t="str">
        <f t="shared" si="49"/>
        <v>Corner Tinggi</v>
      </c>
      <c r="Y316" t="str">
        <f t="shared" si="45"/>
        <v>Yellow Card Rendah</v>
      </c>
      <c r="Z316" t="str">
        <f t="shared" si="46"/>
        <v>Red Card Rendah</v>
      </c>
    </row>
    <row r="317" spans="1:26" x14ac:dyDescent="0.25">
      <c r="A317" t="s">
        <v>39</v>
      </c>
      <c r="B317">
        <v>1.8</v>
      </c>
      <c r="C317">
        <v>55</v>
      </c>
      <c r="D317">
        <v>539</v>
      </c>
      <c r="E317">
        <v>443</v>
      </c>
      <c r="F317">
        <v>2</v>
      </c>
      <c r="G317" t="s">
        <v>35</v>
      </c>
      <c r="H317">
        <v>1</v>
      </c>
      <c r="I317" t="s">
        <v>35</v>
      </c>
      <c r="J317">
        <v>15</v>
      </c>
      <c r="K317">
        <v>6</v>
      </c>
      <c r="L317">
        <v>15</v>
      </c>
      <c r="M317">
        <v>10</v>
      </c>
      <c r="N317">
        <v>0</v>
      </c>
      <c r="O317">
        <v>0</v>
      </c>
      <c r="Q317" t="str">
        <f t="shared" si="40"/>
        <v>xG Cukup Sedikit</v>
      </c>
      <c r="R317" t="str">
        <f t="shared" si="41"/>
        <v>Possession Cukup Banyak</v>
      </c>
      <c r="S317" t="str">
        <f t="shared" si="42"/>
        <v>Total Pass Cukup Banyak</v>
      </c>
      <c r="T317" t="str">
        <f t="shared" si="43"/>
        <v>Pass Sukses Cukup Banyak</v>
      </c>
      <c r="U317" t="str">
        <f t="shared" si="44"/>
        <v>Total Shot Cukup Sedikit</v>
      </c>
      <c r="V317" t="str">
        <f t="shared" si="47"/>
        <v>Shot on Target Tinggi</v>
      </c>
      <c r="W317" t="str">
        <f t="shared" si="48"/>
        <v>Fouls Tinggi</v>
      </c>
      <c r="X317" t="str">
        <f t="shared" si="49"/>
        <v>Corner Tinggi</v>
      </c>
      <c r="Y317" t="str">
        <f t="shared" si="45"/>
        <v>Yellow Card Rendah</v>
      </c>
      <c r="Z317" t="str">
        <f t="shared" si="46"/>
        <v>Red Card Rendah</v>
      </c>
    </row>
    <row r="318" spans="1:26" x14ac:dyDescent="0.25">
      <c r="A318" t="s">
        <v>43</v>
      </c>
      <c r="B318">
        <v>2.4</v>
      </c>
      <c r="C318">
        <v>37</v>
      </c>
      <c r="D318">
        <v>370</v>
      </c>
      <c r="E318">
        <v>295</v>
      </c>
      <c r="F318">
        <v>4</v>
      </c>
      <c r="G318" t="s">
        <v>35</v>
      </c>
      <c r="H318">
        <v>2</v>
      </c>
      <c r="I318" t="s">
        <v>35</v>
      </c>
      <c r="J318">
        <v>13</v>
      </c>
      <c r="K318">
        <v>5</v>
      </c>
      <c r="L318">
        <v>12</v>
      </c>
      <c r="M318">
        <v>1</v>
      </c>
      <c r="N318">
        <v>1</v>
      </c>
      <c r="O318">
        <v>0</v>
      </c>
      <c r="Q318" t="str">
        <f t="shared" si="40"/>
        <v>xG Cukup Sedikit</v>
      </c>
      <c r="R318" t="str">
        <f t="shared" si="41"/>
        <v>Possession Cukup Sedikit</v>
      </c>
      <c r="S318" t="str">
        <f t="shared" si="42"/>
        <v>Total Pass Cukup Sedikit</v>
      </c>
      <c r="T318" t="str">
        <f t="shared" si="43"/>
        <v>Pass Sukses Cukup Sedikit</v>
      </c>
      <c r="U318" t="str">
        <f t="shared" si="44"/>
        <v>Total Shot Cukup Sedikit</v>
      </c>
      <c r="V318" t="str">
        <f t="shared" si="47"/>
        <v>Shot on Target Tinggi</v>
      </c>
      <c r="W318" t="str">
        <f t="shared" si="48"/>
        <v>Fouls Tinggi</v>
      </c>
      <c r="X318" t="str">
        <f t="shared" si="49"/>
        <v>Corner Rendah</v>
      </c>
      <c r="Y318" t="str">
        <f t="shared" si="45"/>
        <v>Yellow Card Rendah</v>
      </c>
      <c r="Z318" t="str">
        <f t="shared" si="46"/>
        <v>Red Card Rendah</v>
      </c>
    </row>
    <row r="319" spans="1:26" x14ac:dyDescent="0.25">
      <c r="A319" t="s">
        <v>46</v>
      </c>
      <c r="B319">
        <v>2.2000000000000002</v>
      </c>
      <c r="C319">
        <v>48</v>
      </c>
      <c r="D319">
        <v>467</v>
      </c>
      <c r="E319">
        <v>367</v>
      </c>
      <c r="F319">
        <v>4</v>
      </c>
      <c r="G319" t="s">
        <v>35</v>
      </c>
      <c r="H319">
        <v>1</v>
      </c>
      <c r="I319" t="s">
        <v>36</v>
      </c>
      <c r="J319">
        <v>13</v>
      </c>
      <c r="K319">
        <v>6</v>
      </c>
      <c r="L319">
        <v>7</v>
      </c>
      <c r="M319">
        <v>7</v>
      </c>
      <c r="N319">
        <v>0</v>
      </c>
      <c r="O319">
        <v>0</v>
      </c>
      <c r="Q319" t="str">
        <f t="shared" si="40"/>
        <v>xG Cukup Sedikit</v>
      </c>
      <c r="R319" t="str">
        <f t="shared" si="41"/>
        <v>Possession Cukup Sedikit</v>
      </c>
      <c r="S319" t="str">
        <f t="shared" si="42"/>
        <v>Total Pass Cukup Sedikit</v>
      </c>
      <c r="T319" t="str">
        <f t="shared" si="43"/>
        <v>Pass Sukses Cukup Sedikit</v>
      </c>
      <c r="U319" t="str">
        <f t="shared" si="44"/>
        <v>Total Shot Cukup Sedikit</v>
      </c>
      <c r="V319" t="str">
        <f t="shared" si="47"/>
        <v>Shot on Target Tinggi</v>
      </c>
      <c r="W319" t="str">
        <f t="shared" si="48"/>
        <v>Fouls Rendah</v>
      </c>
      <c r="X319" t="str">
        <f t="shared" si="49"/>
        <v>Corner Tinggi</v>
      </c>
      <c r="Y319" t="str">
        <f t="shared" si="45"/>
        <v>Yellow Card Rendah</v>
      </c>
      <c r="Z319" t="str">
        <f t="shared" si="46"/>
        <v>Red Card Rendah</v>
      </c>
    </row>
    <row r="320" spans="1:26" x14ac:dyDescent="0.25">
      <c r="A320" t="s">
        <v>49</v>
      </c>
      <c r="B320">
        <v>1.4</v>
      </c>
      <c r="C320">
        <v>41</v>
      </c>
      <c r="D320">
        <v>373</v>
      </c>
      <c r="E320">
        <v>261</v>
      </c>
      <c r="F320">
        <v>1</v>
      </c>
      <c r="G320" t="s">
        <v>35</v>
      </c>
      <c r="H320">
        <v>1</v>
      </c>
      <c r="I320" t="s">
        <v>35</v>
      </c>
      <c r="J320">
        <v>12</v>
      </c>
      <c r="K320">
        <v>3</v>
      </c>
      <c r="L320">
        <v>11</v>
      </c>
      <c r="M320">
        <v>6</v>
      </c>
      <c r="N320">
        <v>3</v>
      </c>
      <c r="O320">
        <v>0</v>
      </c>
      <c r="Q320" t="str">
        <f t="shared" si="40"/>
        <v>xG Sangat Sedikit</v>
      </c>
      <c r="R320" t="str">
        <f t="shared" si="41"/>
        <v>Possession Cukup Sedikit</v>
      </c>
      <c r="S320" t="str">
        <f t="shared" si="42"/>
        <v>Total Pass Cukup Sedikit</v>
      </c>
      <c r="T320" t="str">
        <f t="shared" si="43"/>
        <v>Pass Sukses Sangat Sedikit</v>
      </c>
      <c r="U320" t="str">
        <f t="shared" si="44"/>
        <v>Total Shot Cukup Sedikit</v>
      </c>
      <c r="V320" t="str">
        <f t="shared" si="47"/>
        <v>Shot on Target Rendah</v>
      </c>
      <c r="W320" t="str">
        <f t="shared" si="48"/>
        <v>Fouls Normal</v>
      </c>
      <c r="X320" t="str">
        <f t="shared" si="49"/>
        <v>Corner Tinggi</v>
      </c>
      <c r="Y320" t="str">
        <f t="shared" si="45"/>
        <v>Yellow Card Tinggi</v>
      </c>
      <c r="Z320" t="str">
        <f t="shared" si="46"/>
        <v>Red Card Rendah</v>
      </c>
    </row>
    <row r="321" spans="1:26" x14ac:dyDescent="0.25">
      <c r="A321" t="s">
        <v>46</v>
      </c>
      <c r="B321">
        <v>1.5</v>
      </c>
      <c r="C321">
        <v>59</v>
      </c>
      <c r="D321">
        <v>575</v>
      </c>
      <c r="E321">
        <v>481</v>
      </c>
      <c r="F321">
        <v>5</v>
      </c>
      <c r="G321" t="s">
        <v>35</v>
      </c>
      <c r="H321">
        <v>4</v>
      </c>
      <c r="I321" t="s">
        <v>35</v>
      </c>
      <c r="J321">
        <v>14</v>
      </c>
      <c r="K321">
        <v>7</v>
      </c>
      <c r="L321">
        <v>9</v>
      </c>
      <c r="M321">
        <v>5</v>
      </c>
      <c r="N321">
        <v>2</v>
      </c>
      <c r="O321">
        <v>0</v>
      </c>
      <c r="Q321" t="str">
        <f t="shared" si="40"/>
        <v>xG Cukup Sedikit</v>
      </c>
      <c r="R321" t="str">
        <f t="shared" si="41"/>
        <v>Possession Cukup Banyak</v>
      </c>
      <c r="S321" t="str">
        <f t="shared" si="42"/>
        <v>Total Pass Cukup Banyak</v>
      </c>
      <c r="T321" t="str">
        <f t="shared" si="43"/>
        <v>Pass Sukses Cukup Banyak</v>
      </c>
      <c r="U321" t="str">
        <f t="shared" si="44"/>
        <v>Total Shot Cukup Sedikit</v>
      </c>
      <c r="V321" t="str">
        <f t="shared" si="47"/>
        <v>Shot on Target Tinggi</v>
      </c>
      <c r="W321" t="str">
        <f t="shared" si="48"/>
        <v>Fouls Normal</v>
      </c>
      <c r="X321" t="str">
        <f t="shared" si="49"/>
        <v>Corner Normal</v>
      </c>
      <c r="Y321" t="str">
        <f t="shared" si="45"/>
        <v>Yellow Card Rendah</v>
      </c>
      <c r="Z321" t="str">
        <f t="shared" si="46"/>
        <v>Red Card Rendah</v>
      </c>
    </row>
    <row r="322" spans="1:26" x14ac:dyDescent="0.25">
      <c r="A322" t="s">
        <v>54</v>
      </c>
      <c r="B322">
        <v>2.1</v>
      </c>
      <c r="C322">
        <v>47</v>
      </c>
      <c r="D322">
        <v>462</v>
      </c>
      <c r="E322">
        <v>367</v>
      </c>
      <c r="F322">
        <v>4</v>
      </c>
      <c r="G322" t="s">
        <v>35</v>
      </c>
      <c r="H322">
        <v>1</v>
      </c>
      <c r="I322" t="s">
        <v>36</v>
      </c>
      <c r="J322">
        <v>16</v>
      </c>
      <c r="K322">
        <v>8</v>
      </c>
      <c r="L322">
        <v>7</v>
      </c>
      <c r="M322">
        <v>4</v>
      </c>
      <c r="N322">
        <v>3</v>
      </c>
      <c r="O322">
        <v>0</v>
      </c>
      <c r="Q322" t="str">
        <f t="shared" si="40"/>
        <v>xG Cukup Sedikit</v>
      </c>
      <c r="R322" t="str">
        <f t="shared" si="41"/>
        <v>Possession Cukup Sedikit</v>
      </c>
      <c r="S322" t="str">
        <f t="shared" si="42"/>
        <v>Total Pass Cukup Sedikit</v>
      </c>
      <c r="T322" t="str">
        <f t="shared" si="43"/>
        <v>Pass Sukses Cukup Sedikit</v>
      </c>
      <c r="U322" t="str">
        <f t="shared" si="44"/>
        <v>Total Shot Cukup Sedikit</v>
      </c>
      <c r="V322" t="str">
        <f t="shared" si="47"/>
        <v>Shot on Target Tinggi</v>
      </c>
      <c r="W322" t="str">
        <f t="shared" si="48"/>
        <v>Fouls Rendah</v>
      </c>
      <c r="X322" t="str">
        <f t="shared" si="49"/>
        <v>Corner Rendah</v>
      </c>
      <c r="Y322" t="str">
        <f t="shared" si="45"/>
        <v>Yellow Card Tinggi</v>
      </c>
      <c r="Z322" t="str">
        <f t="shared" si="46"/>
        <v>Red Card Rendah</v>
      </c>
    </row>
    <row r="323" spans="1:26" x14ac:dyDescent="0.25">
      <c r="A323" t="s">
        <v>55</v>
      </c>
      <c r="B323">
        <v>0.4</v>
      </c>
      <c r="C323">
        <v>29</v>
      </c>
      <c r="D323">
        <v>249</v>
      </c>
      <c r="E323">
        <v>151</v>
      </c>
      <c r="F323">
        <v>0</v>
      </c>
      <c r="G323" t="s">
        <v>36</v>
      </c>
      <c r="H323">
        <v>0</v>
      </c>
      <c r="I323" t="s">
        <v>36</v>
      </c>
      <c r="J323">
        <v>5</v>
      </c>
      <c r="K323">
        <v>0</v>
      </c>
      <c r="L323">
        <v>13</v>
      </c>
      <c r="M323">
        <v>5</v>
      </c>
      <c r="N323">
        <v>3</v>
      </c>
      <c r="O323">
        <v>1</v>
      </c>
      <c r="Q323" t="str">
        <f t="shared" ref="Q323:Q386" si="50">_xlfn.LET(
 _xlpm.x,B323,
 _xlpm.min,MIN($B$2:$B$761),
 _xlpm.max,MAX($B$2:$B$761),
 _xlpm.persen,(_xlpm.x-_xlpm.min)/(_xlpm.max-_xlpm.min)*100,
 IF(_xlpm.persen&lt;=25,"xG Sangat Sedikit",
   IF(_xlpm.persen&lt;=50,"xG Cukup Sedikit",
     IF(_xlpm.persen&lt;=75,"xG Cukup Banyak",
       "xG Sangat Banyak"))))</f>
        <v>xG Sangat Sedikit</v>
      </c>
      <c r="R323" t="str">
        <f t="shared" ref="R323:R386" si="51">_xlfn.LET(
 _xlpm.x,C323,
 _xlpm.min,MIN($C$2:$C$761),
 _xlpm.max,MAX($C$2:$C$761),
 _xlpm.persen,(_xlpm.x-_xlpm.min)/(_xlpm.max-_xlpm.min)*100,
 IF(_xlpm.persen&lt;=25,"Possession Sangat Sedikit",
   IF(_xlpm.persen&lt;=50,"Possession Cukup Sedikit",
     IF(_xlpm.persen&lt;=75,"Possession Cukup Banyak",
       "Possession Sangat Banyak"))))</f>
        <v>Possession Sangat Sedikit</v>
      </c>
      <c r="S323" t="str">
        <f t="shared" ref="S323:S386" si="52">_xlfn.LET(
 _xlpm.x,D323,
 _xlpm.min,MIN($D$2:$D$761),
 _xlpm.max,MAX($D$2:$D$761),
 _xlpm.persen,(_xlpm.x-_xlpm.min)/(_xlpm.max-_xlpm.min)*100,
 IF(_xlpm.persen&lt;=25,"Total Pass Sangat Sedikit",
   IF(_xlpm.persen&lt;=50,"Total Pass Cukup Sedikit",
     IF(_xlpm.persen&lt;=75,"Total Pass Cukup Banyak",
       "Total Pass Sangat Banyak"))))</f>
        <v>Total Pass Sangat Sedikit</v>
      </c>
      <c r="T323" t="str">
        <f t="shared" ref="T323:T386" si="53">_xlfn.LET(
 _xlpm.x,E323,
 _xlpm.min,MIN($E$2:$E$761),
 _xlpm.max,MAX($E$2:$E$761),
 _xlpm.persen,(_xlpm.x-_xlpm.min)/(_xlpm.max-_xlpm.min)*100,
 IF(_xlpm.persen&lt;=25,"Pass Sukses Sangat Sedikit",
   IF(_xlpm.persen&lt;=50,"Pass Sukses Cukup Sedikit",
     IF(_xlpm.persen&lt;=75,"Pass Sukses Cukup Banyak",
       "Pass Sukses Sangat Banyak"))))</f>
        <v>Pass Sukses Sangat Sedikit</v>
      </c>
      <c r="U323" t="str">
        <f t="shared" ref="U323:U386" si="54">_xlfn.LET(
 _xlpm.x,J323,
 _xlpm.min,MIN($J$2:$J$761),
 _xlpm.max,MAX($J$2:$J$761),
 _xlpm.persen,(_xlpm.x-_xlpm.min)/(_xlpm.max-_xlpm.min)*100,
 IF(_xlpm.persen&lt;=25,"Total Shot Sangat Sedikit",
   IF(_xlpm.persen&lt;=50,"Total Shot Cukup Sedikit",
     IF(_xlpm.persen&lt;=75,"Total Shot Cukup Banyak",
       "Total Shot Sangat Banyak"))))</f>
        <v>Total Shot Sangat Sedikit</v>
      </c>
      <c r="V323" t="str">
        <f t="shared" si="47"/>
        <v>Shot on Target Rendah</v>
      </c>
      <c r="W323" t="str">
        <f t="shared" si="48"/>
        <v>Fouls Tinggi</v>
      </c>
      <c r="X323" t="str">
        <f t="shared" si="49"/>
        <v>Corner Normal</v>
      </c>
      <c r="Y323" t="str">
        <f t="shared" ref="Y323:Y386" si="55">IF(N323&lt;$Y$1,"Yellow Card Rendah","Yellow Card Tinggi")</f>
        <v>Yellow Card Tinggi</v>
      </c>
      <c r="Z323" t="str">
        <f t="shared" ref="Z323:Z386" si="56">IF(O323&lt;$Z$1,"Red Card Rendah","Red Card Tinggi")</f>
        <v>Red Card Tinggi</v>
      </c>
    </row>
    <row r="324" spans="1:26" x14ac:dyDescent="0.25">
      <c r="A324" t="s">
        <v>44</v>
      </c>
      <c r="B324">
        <v>0.9</v>
      </c>
      <c r="C324">
        <v>33</v>
      </c>
      <c r="D324">
        <v>354</v>
      </c>
      <c r="E324">
        <v>271</v>
      </c>
      <c r="F324">
        <v>0</v>
      </c>
      <c r="G324" t="s">
        <v>40</v>
      </c>
      <c r="H324">
        <v>0</v>
      </c>
      <c r="I324" t="s">
        <v>36</v>
      </c>
      <c r="J324">
        <v>8</v>
      </c>
      <c r="K324">
        <v>3</v>
      </c>
      <c r="L324">
        <v>7</v>
      </c>
      <c r="M324">
        <v>2</v>
      </c>
      <c r="N324">
        <v>4</v>
      </c>
      <c r="O324">
        <v>0</v>
      </c>
      <c r="Q324" t="str">
        <f t="shared" si="50"/>
        <v>xG Sangat Sedikit</v>
      </c>
      <c r="R324" t="str">
        <f t="shared" si="51"/>
        <v>Possession Sangat Sedikit</v>
      </c>
      <c r="S324" t="str">
        <f t="shared" si="52"/>
        <v>Total Pass Sangat Sedikit</v>
      </c>
      <c r="T324" t="str">
        <f t="shared" si="53"/>
        <v>Pass Sukses Sangat Sedikit</v>
      </c>
      <c r="U324" t="str">
        <f t="shared" si="54"/>
        <v>Total Shot Sangat Sedikit</v>
      </c>
      <c r="V324" t="str">
        <f t="shared" ref="V324:V387" si="57">IF(K324&gt;$V$1,"Shot on Target Tinggi",IF(K324&gt;($V$1/5*4),"Shot on Target Normal","Shot on Target Rendah"))</f>
        <v>Shot on Target Rendah</v>
      </c>
      <c r="W324" t="str">
        <f t="shared" ref="W324:W387" si="58">IF(L324&gt;$W$1,"Fouls Tinggi",IF(L324&gt;($W$1/5*4),"Fouls Normal","Fouls Rendah"))</f>
        <v>Fouls Rendah</v>
      </c>
      <c r="X324" t="str">
        <f t="shared" ref="X324:X387" si="59">IF(M324&gt;$X$1,"Corner Tinggi",IF(M324&gt;($X$1/5*4),"Corner Normal","Corner Rendah"))</f>
        <v>Corner Rendah</v>
      </c>
      <c r="Y324" t="str">
        <f t="shared" si="55"/>
        <v>Yellow Card Tinggi</v>
      </c>
      <c r="Z324" t="str">
        <f t="shared" si="56"/>
        <v>Red Card Rendah</v>
      </c>
    </row>
    <row r="325" spans="1:26" x14ac:dyDescent="0.25">
      <c r="A325" t="s">
        <v>51</v>
      </c>
      <c r="B325">
        <v>0.9</v>
      </c>
      <c r="C325">
        <v>52</v>
      </c>
      <c r="D325">
        <v>523</v>
      </c>
      <c r="E325">
        <v>462</v>
      </c>
      <c r="F325">
        <v>1</v>
      </c>
      <c r="G325" t="s">
        <v>36</v>
      </c>
      <c r="H325">
        <v>0</v>
      </c>
      <c r="I325" t="s">
        <v>36</v>
      </c>
      <c r="J325">
        <v>12</v>
      </c>
      <c r="K325">
        <v>4</v>
      </c>
      <c r="L325">
        <v>14</v>
      </c>
      <c r="M325">
        <v>2</v>
      </c>
      <c r="N325">
        <v>2</v>
      </c>
      <c r="O325">
        <v>0</v>
      </c>
      <c r="Q325" t="str">
        <f t="shared" si="50"/>
        <v>xG Sangat Sedikit</v>
      </c>
      <c r="R325" t="str">
        <f t="shared" si="51"/>
        <v>Possession Cukup Banyak</v>
      </c>
      <c r="S325" t="str">
        <f t="shared" si="52"/>
        <v>Total Pass Cukup Banyak</v>
      </c>
      <c r="T325" t="str">
        <f t="shared" si="53"/>
        <v>Pass Sukses Cukup Banyak</v>
      </c>
      <c r="U325" t="str">
        <f t="shared" si="54"/>
        <v>Total Shot Cukup Sedikit</v>
      </c>
      <c r="V325" t="str">
        <f t="shared" si="57"/>
        <v>Shot on Target Normal</v>
      </c>
      <c r="W325" t="str">
        <f t="shared" si="58"/>
        <v>Fouls Tinggi</v>
      </c>
      <c r="X325" t="str">
        <f t="shared" si="59"/>
        <v>Corner Rendah</v>
      </c>
      <c r="Y325" t="str">
        <f t="shared" si="55"/>
        <v>Yellow Card Rendah</v>
      </c>
      <c r="Z325" t="str">
        <f t="shared" si="56"/>
        <v>Red Card Rendah</v>
      </c>
    </row>
    <row r="326" spans="1:26" x14ac:dyDescent="0.25">
      <c r="A326" t="s">
        <v>52</v>
      </c>
      <c r="B326">
        <v>2.2000000000000002</v>
      </c>
      <c r="C326">
        <v>48</v>
      </c>
      <c r="D326">
        <v>434</v>
      </c>
      <c r="E326">
        <v>358</v>
      </c>
      <c r="F326">
        <v>4</v>
      </c>
      <c r="G326" t="s">
        <v>35</v>
      </c>
      <c r="H326">
        <v>1</v>
      </c>
      <c r="I326" t="s">
        <v>36</v>
      </c>
      <c r="J326">
        <v>23</v>
      </c>
      <c r="K326">
        <v>9</v>
      </c>
      <c r="L326">
        <v>9</v>
      </c>
      <c r="M326">
        <v>7</v>
      </c>
      <c r="N326">
        <v>1</v>
      </c>
      <c r="O326">
        <v>0</v>
      </c>
      <c r="Q326" t="str">
        <f t="shared" si="50"/>
        <v>xG Cukup Sedikit</v>
      </c>
      <c r="R326" t="str">
        <f t="shared" si="51"/>
        <v>Possession Cukup Sedikit</v>
      </c>
      <c r="S326" t="str">
        <f t="shared" si="52"/>
        <v>Total Pass Cukup Sedikit</v>
      </c>
      <c r="T326" t="str">
        <f t="shared" si="53"/>
        <v>Pass Sukses Cukup Sedikit</v>
      </c>
      <c r="U326" t="str">
        <f t="shared" si="54"/>
        <v>Total Shot Cukup Banyak</v>
      </c>
      <c r="V326" t="str">
        <f t="shared" si="57"/>
        <v>Shot on Target Tinggi</v>
      </c>
      <c r="W326" t="str">
        <f t="shared" si="58"/>
        <v>Fouls Normal</v>
      </c>
      <c r="X326" t="str">
        <f t="shared" si="59"/>
        <v>Corner Tinggi</v>
      </c>
      <c r="Y326" t="str">
        <f t="shared" si="55"/>
        <v>Yellow Card Rendah</v>
      </c>
      <c r="Z326" t="str">
        <f t="shared" si="56"/>
        <v>Red Card Rendah</v>
      </c>
    </row>
    <row r="327" spans="1:26" x14ac:dyDescent="0.25">
      <c r="A327" t="s">
        <v>34</v>
      </c>
      <c r="B327">
        <v>0.3</v>
      </c>
      <c r="C327">
        <v>41</v>
      </c>
      <c r="D327">
        <v>397</v>
      </c>
      <c r="E327">
        <v>310</v>
      </c>
      <c r="F327">
        <v>1</v>
      </c>
      <c r="G327" t="s">
        <v>40</v>
      </c>
      <c r="H327">
        <v>1</v>
      </c>
      <c r="I327" t="s">
        <v>35</v>
      </c>
      <c r="J327">
        <v>6</v>
      </c>
      <c r="K327">
        <v>1</v>
      </c>
      <c r="L327">
        <v>13</v>
      </c>
      <c r="M327">
        <v>6</v>
      </c>
      <c r="N327">
        <v>1</v>
      </c>
      <c r="O327">
        <v>0</v>
      </c>
      <c r="Q327" t="str">
        <f t="shared" si="50"/>
        <v>xG Sangat Sedikit</v>
      </c>
      <c r="R327" t="str">
        <f t="shared" si="51"/>
        <v>Possession Cukup Sedikit</v>
      </c>
      <c r="S327" t="str">
        <f t="shared" si="52"/>
        <v>Total Pass Cukup Sedikit</v>
      </c>
      <c r="T327" t="str">
        <f t="shared" si="53"/>
        <v>Pass Sukses Cukup Sedikit</v>
      </c>
      <c r="U327" t="str">
        <f t="shared" si="54"/>
        <v>Total Shot Sangat Sedikit</v>
      </c>
      <c r="V327" t="str">
        <f t="shared" si="57"/>
        <v>Shot on Target Rendah</v>
      </c>
      <c r="W327" t="str">
        <f t="shared" si="58"/>
        <v>Fouls Tinggi</v>
      </c>
      <c r="X327" t="str">
        <f t="shared" si="59"/>
        <v>Corner Tinggi</v>
      </c>
      <c r="Y327" t="str">
        <f t="shared" si="55"/>
        <v>Yellow Card Rendah</v>
      </c>
      <c r="Z327" t="str">
        <f t="shared" si="56"/>
        <v>Red Card Rendah</v>
      </c>
    </row>
    <row r="328" spans="1:26" x14ac:dyDescent="0.25">
      <c r="A328" t="s">
        <v>38</v>
      </c>
      <c r="B328">
        <v>0.2</v>
      </c>
      <c r="C328">
        <v>25</v>
      </c>
      <c r="D328">
        <v>268</v>
      </c>
      <c r="E328">
        <v>211</v>
      </c>
      <c r="F328">
        <v>0</v>
      </c>
      <c r="G328" t="s">
        <v>40</v>
      </c>
      <c r="H328">
        <v>0</v>
      </c>
      <c r="I328" t="s">
        <v>40</v>
      </c>
      <c r="J328">
        <v>4</v>
      </c>
      <c r="K328">
        <v>0</v>
      </c>
      <c r="L328">
        <v>10</v>
      </c>
      <c r="M328">
        <v>0</v>
      </c>
      <c r="N328">
        <v>0</v>
      </c>
      <c r="O328">
        <v>1</v>
      </c>
      <c r="Q328" t="str">
        <f t="shared" si="50"/>
        <v>xG Sangat Sedikit</v>
      </c>
      <c r="R328" t="str">
        <f t="shared" si="51"/>
        <v>Possession Sangat Sedikit</v>
      </c>
      <c r="S328" t="str">
        <f t="shared" si="52"/>
        <v>Total Pass Sangat Sedikit</v>
      </c>
      <c r="T328" t="str">
        <f t="shared" si="53"/>
        <v>Pass Sukses Sangat Sedikit</v>
      </c>
      <c r="U328" t="str">
        <f t="shared" si="54"/>
        <v>Total Shot Sangat Sedikit</v>
      </c>
      <c r="V328" t="str">
        <f t="shared" si="57"/>
        <v>Shot on Target Rendah</v>
      </c>
      <c r="W328" t="str">
        <f t="shared" si="58"/>
        <v>Fouls Normal</v>
      </c>
      <c r="X328" t="str">
        <f t="shared" si="59"/>
        <v>Corner Rendah</v>
      </c>
      <c r="Y328" t="str">
        <f t="shared" si="55"/>
        <v>Yellow Card Rendah</v>
      </c>
      <c r="Z328" t="str">
        <f t="shared" si="56"/>
        <v>Red Card Tinggi</v>
      </c>
    </row>
    <row r="329" spans="1:26" x14ac:dyDescent="0.25">
      <c r="A329" t="s">
        <v>33</v>
      </c>
      <c r="B329">
        <v>1.3</v>
      </c>
      <c r="C329">
        <v>59</v>
      </c>
      <c r="D329">
        <v>603</v>
      </c>
      <c r="E329">
        <v>512</v>
      </c>
      <c r="F329">
        <v>0</v>
      </c>
      <c r="G329" t="s">
        <v>40</v>
      </c>
      <c r="H329">
        <v>0</v>
      </c>
      <c r="I329" t="s">
        <v>36</v>
      </c>
      <c r="J329">
        <v>12</v>
      </c>
      <c r="K329">
        <v>2</v>
      </c>
      <c r="L329">
        <v>11</v>
      </c>
      <c r="M329">
        <v>9</v>
      </c>
      <c r="N329">
        <v>2</v>
      </c>
      <c r="O329">
        <v>0</v>
      </c>
      <c r="Q329" t="str">
        <f t="shared" si="50"/>
        <v>xG Sangat Sedikit</v>
      </c>
      <c r="R329" t="str">
        <f t="shared" si="51"/>
        <v>Possession Cukup Banyak</v>
      </c>
      <c r="S329" t="str">
        <f t="shared" si="52"/>
        <v>Total Pass Cukup Banyak</v>
      </c>
      <c r="T329" t="str">
        <f t="shared" si="53"/>
        <v>Pass Sukses Cukup Banyak</v>
      </c>
      <c r="U329" t="str">
        <f t="shared" si="54"/>
        <v>Total Shot Cukup Sedikit</v>
      </c>
      <c r="V329" t="str">
        <f t="shared" si="57"/>
        <v>Shot on Target Rendah</v>
      </c>
      <c r="W329" t="str">
        <f t="shared" si="58"/>
        <v>Fouls Normal</v>
      </c>
      <c r="X329" t="str">
        <f t="shared" si="59"/>
        <v>Corner Tinggi</v>
      </c>
      <c r="Y329" t="str">
        <f t="shared" si="55"/>
        <v>Yellow Card Rendah</v>
      </c>
      <c r="Z329" t="str">
        <f t="shared" si="56"/>
        <v>Red Card Rendah</v>
      </c>
    </row>
    <row r="330" spans="1:26" x14ac:dyDescent="0.25">
      <c r="A330" t="s">
        <v>59</v>
      </c>
      <c r="B330">
        <v>0.3</v>
      </c>
      <c r="C330">
        <v>42</v>
      </c>
      <c r="D330">
        <v>413</v>
      </c>
      <c r="E330">
        <v>313</v>
      </c>
      <c r="F330">
        <v>0</v>
      </c>
      <c r="G330" t="s">
        <v>40</v>
      </c>
      <c r="H330">
        <v>0</v>
      </c>
      <c r="I330" t="s">
        <v>36</v>
      </c>
      <c r="J330">
        <v>5</v>
      </c>
      <c r="K330">
        <v>0</v>
      </c>
      <c r="L330">
        <v>11</v>
      </c>
      <c r="M330">
        <v>1</v>
      </c>
      <c r="N330">
        <v>1</v>
      </c>
      <c r="O330">
        <v>0</v>
      </c>
      <c r="Q330" t="str">
        <f t="shared" si="50"/>
        <v>xG Sangat Sedikit</v>
      </c>
      <c r="R330" t="str">
        <f t="shared" si="51"/>
        <v>Possession Cukup Sedikit</v>
      </c>
      <c r="S330" t="str">
        <f t="shared" si="52"/>
        <v>Total Pass Cukup Sedikit</v>
      </c>
      <c r="T330" t="str">
        <f t="shared" si="53"/>
        <v>Pass Sukses Cukup Sedikit</v>
      </c>
      <c r="U330" t="str">
        <f t="shared" si="54"/>
        <v>Total Shot Sangat Sedikit</v>
      </c>
      <c r="V330" t="str">
        <f t="shared" si="57"/>
        <v>Shot on Target Rendah</v>
      </c>
      <c r="W330" t="str">
        <f t="shared" si="58"/>
        <v>Fouls Normal</v>
      </c>
      <c r="X330" t="str">
        <f t="shared" si="59"/>
        <v>Corner Rendah</v>
      </c>
      <c r="Y330" t="str">
        <f t="shared" si="55"/>
        <v>Yellow Card Rendah</v>
      </c>
      <c r="Z330" t="str">
        <f t="shared" si="56"/>
        <v>Red Card Rendah</v>
      </c>
    </row>
    <row r="331" spans="1:26" x14ac:dyDescent="0.25">
      <c r="A331" t="s">
        <v>60</v>
      </c>
      <c r="B331">
        <v>2.1</v>
      </c>
      <c r="C331">
        <v>69</v>
      </c>
      <c r="D331">
        <v>607</v>
      </c>
      <c r="E331">
        <v>508</v>
      </c>
      <c r="F331">
        <v>1</v>
      </c>
      <c r="G331" t="s">
        <v>40</v>
      </c>
      <c r="H331">
        <v>0</v>
      </c>
      <c r="I331" t="s">
        <v>40</v>
      </c>
      <c r="J331">
        <v>22</v>
      </c>
      <c r="K331">
        <v>6</v>
      </c>
      <c r="L331">
        <v>11</v>
      </c>
      <c r="M331">
        <v>7</v>
      </c>
      <c r="N331">
        <v>1</v>
      </c>
      <c r="O331">
        <v>0</v>
      </c>
      <c r="Q331" t="str">
        <f t="shared" si="50"/>
        <v>xG Cukup Sedikit</v>
      </c>
      <c r="R331" t="str">
        <f t="shared" si="51"/>
        <v>Possession Sangat Banyak</v>
      </c>
      <c r="S331" t="str">
        <f t="shared" si="52"/>
        <v>Total Pass Cukup Banyak</v>
      </c>
      <c r="T331" t="str">
        <f t="shared" si="53"/>
        <v>Pass Sukses Cukup Banyak</v>
      </c>
      <c r="U331" t="str">
        <f t="shared" si="54"/>
        <v>Total Shot Cukup Banyak</v>
      </c>
      <c r="V331" t="str">
        <f t="shared" si="57"/>
        <v>Shot on Target Tinggi</v>
      </c>
      <c r="W331" t="str">
        <f t="shared" si="58"/>
        <v>Fouls Normal</v>
      </c>
      <c r="X331" t="str">
        <f t="shared" si="59"/>
        <v>Corner Tinggi</v>
      </c>
      <c r="Y331" t="str">
        <f t="shared" si="55"/>
        <v>Yellow Card Rendah</v>
      </c>
      <c r="Z331" t="str">
        <f t="shared" si="56"/>
        <v>Red Card Rendah</v>
      </c>
    </row>
    <row r="332" spans="1:26" x14ac:dyDescent="0.25">
      <c r="A332" t="s">
        <v>58</v>
      </c>
      <c r="B332">
        <v>1.3</v>
      </c>
      <c r="C332">
        <v>61</v>
      </c>
      <c r="D332">
        <v>536</v>
      </c>
      <c r="E332">
        <v>466</v>
      </c>
      <c r="F332">
        <v>2</v>
      </c>
      <c r="G332" t="s">
        <v>35</v>
      </c>
      <c r="H332">
        <v>1</v>
      </c>
      <c r="I332" t="s">
        <v>36</v>
      </c>
      <c r="J332">
        <v>14</v>
      </c>
      <c r="K332">
        <v>6</v>
      </c>
      <c r="L332">
        <v>9</v>
      </c>
      <c r="M332">
        <v>10</v>
      </c>
      <c r="N332">
        <v>3</v>
      </c>
      <c r="O332">
        <v>0</v>
      </c>
      <c r="Q332" t="str">
        <f t="shared" si="50"/>
        <v>xG Sangat Sedikit</v>
      </c>
      <c r="R332" t="str">
        <f t="shared" si="51"/>
        <v>Possession Cukup Banyak</v>
      </c>
      <c r="S332" t="str">
        <f t="shared" si="52"/>
        <v>Total Pass Cukup Banyak</v>
      </c>
      <c r="T332" t="str">
        <f t="shared" si="53"/>
        <v>Pass Sukses Cukup Banyak</v>
      </c>
      <c r="U332" t="str">
        <f t="shared" si="54"/>
        <v>Total Shot Cukup Sedikit</v>
      </c>
      <c r="V332" t="str">
        <f t="shared" si="57"/>
        <v>Shot on Target Tinggi</v>
      </c>
      <c r="W332" t="str">
        <f t="shared" si="58"/>
        <v>Fouls Normal</v>
      </c>
      <c r="X332" t="str">
        <f t="shared" si="59"/>
        <v>Corner Tinggi</v>
      </c>
      <c r="Y332" t="str">
        <f t="shared" si="55"/>
        <v>Yellow Card Tinggi</v>
      </c>
      <c r="Z332" t="str">
        <f t="shared" si="56"/>
        <v>Red Card Rendah</v>
      </c>
    </row>
    <row r="333" spans="1:26" x14ac:dyDescent="0.25">
      <c r="A333" t="s">
        <v>42</v>
      </c>
      <c r="B333">
        <v>1.2</v>
      </c>
      <c r="C333">
        <v>67</v>
      </c>
      <c r="D333">
        <v>745</v>
      </c>
      <c r="E333">
        <v>678</v>
      </c>
      <c r="F333">
        <v>2</v>
      </c>
      <c r="G333" t="s">
        <v>36</v>
      </c>
      <c r="H333">
        <v>2</v>
      </c>
      <c r="I333" t="s">
        <v>35</v>
      </c>
      <c r="J333">
        <v>12</v>
      </c>
      <c r="K333">
        <v>6</v>
      </c>
      <c r="L333">
        <v>4</v>
      </c>
      <c r="M333">
        <v>3</v>
      </c>
      <c r="N333">
        <v>1</v>
      </c>
      <c r="O333">
        <v>0</v>
      </c>
      <c r="Q333" t="str">
        <f t="shared" si="50"/>
        <v>xG Sangat Sedikit</v>
      </c>
      <c r="R333" t="str">
        <f t="shared" si="51"/>
        <v>Possession Sangat Banyak</v>
      </c>
      <c r="S333" t="str">
        <f t="shared" si="52"/>
        <v>Total Pass Sangat Banyak</v>
      </c>
      <c r="T333" t="str">
        <f t="shared" si="53"/>
        <v>Pass Sukses Sangat Banyak</v>
      </c>
      <c r="U333" t="str">
        <f t="shared" si="54"/>
        <v>Total Shot Cukup Sedikit</v>
      </c>
      <c r="V333" t="str">
        <f t="shared" si="57"/>
        <v>Shot on Target Tinggi</v>
      </c>
      <c r="W333" t="str">
        <f t="shared" si="58"/>
        <v>Fouls Rendah</v>
      </c>
      <c r="X333" t="str">
        <f t="shared" si="59"/>
        <v>Corner Rendah</v>
      </c>
      <c r="Y333" t="str">
        <f t="shared" si="55"/>
        <v>Yellow Card Rendah</v>
      </c>
      <c r="Z333" t="str">
        <f t="shared" si="56"/>
        <v>Red Card Rendah</v>
      </c>
    </row>
    <row r="334" spans="1:26" x14ac:dyDescent="0.25">
      <c r="A334" t="s">
        <v>57</v>
      </c>
      <c r="B334">
        <v>0.8</v>
      </c>
      <c r="C334">
        <v>55</v>
      </c>
      <c r="D334">
        <v>554</v>
      </c>
      <c r="E334">
        <v>464</v>
      </c>
      <c r="F334">
        <v>1</v>
      </c>
      <c r="G334" t="s">
        <v>35</v>
      </c>
      <c r="H334">
        <v>1</v>
      </c>
      <c r="I334" t="s">
        <v>35</v>
      </c>
      <c r="J334">
        <v>10</v>
      </c>
      <c r="K334">
        <v>7</v>
      </c>
      <c r="L334">
        <v>11</v>
      </c>
      <c r="M334">
        <v>10</v>
      </c>
      <c r="N334">
        <v>0</v>
      </c>
      <c r="O334">
        <v>0</v>
      </c>
      <c r="Q334" t="str">
        <f t="shared" si="50"/>
        <v>xG Sangat Sedikit</v>
      </c>
      <c r="R334" t="str">
        <f t="shared" si="51"/>
        <v>Possession Cukup Banyak</v>
      </c>
      <c r="S334" t="str">
        <f t="shared" si="52"/>
        <v>Total Pass Cukup Banyak</v>
      </c>
      <c r="T334" t="str">
        <f t="shared" si="53"/>
        <v>Pass Sukses Cukup Banyak</v>
      </c>
      <c r="U334" t="str">
        <f t="shared" si="54"/>
        <v>Total Shot Sangat Sedikit</v>
      </c>
      <c r="V334" t="str">
        <f t="shared" si="57"/>
        <v>Shot on Target Tinggi</v>
      </c>
      <c r="W334" t="str">
        <f t="shared" si="58"/>
        <v>Fouls Normal</v>
      </c>
      <c r="X334" t="str">
        <f t="shared" si="59"/>
        <v>Corner Tinggi</v>
      </c>
      <c r="Y334" t="str">
        <f t="shared" si="55"/>
        <v>Yellow Card Rendah</v>
      </c>
      <c r="Z334" t="str">
        <f t="shared" si="56"/>
        <v>Red Card Rendah</v>
      </c>
    </row>
    <row r="335" spans="1:26" x14ac:dyDescent="0.25">
      <c r="A335" t="s">
        <v>45</v>
      </c>
      <c r="B335">
        <v>1.3</v>
      </c>
      <c r="C335">
        <v>53</v>
      </c>
      <c r="D335">
        <v>565</v>
      </c>
      <c r="E335">
        <v>466</v>
      </c>
      <c r="F335">
        <v>3</v>
      </c>
      <c r="G335" t="s">
        <v>35</v>
      </c>
      <c r="H335">
        <v>1</v>
      </c>
      <c r="I335" t="s">
        <v>35</v>
      </c>
      <c r="J335">
        <v>16</v>
      </c>
      <c r="K335">
        <v>9</v>
      </c>
      <c r="L335">
        <v>7</v>
      </c>
      <c r="M335">
        <v>8</v>
      </c>
      <c r="N335">
        <v>1</v>
      </c>
      <c r="O335">
        <v>0</v>
      </c>
      <c r="Q335" t="str">
        <f t="shared" si="50"/>
        <v>xG Sangat Sedikit</v>
      </c>
      <c r="R335" t="str">
        <f t="shared" si="51"/>
        <v>Possession Cukup Banyak</v>
      </c>
      <c r="S335" t="str">
        <f t="shared" si="52"/>
        <v>Total Pass Cukup Banyak</v>
      </c>
      <c r="T335" t="str">
        <f t="shared" si="53"/>
        <v>Pass Sukses Cukup Banyak</v>
      </c>
      <c r="U335" t="str">
        <f t="shared" si="54"/>
        <v>Total Shot Cukup Sedikit</v>
      </c>
      <c r="V335" t="str">
        <f t="shared" si="57"/>
        <v>Shot on Target Tinggi</v>
      </c>
      <c r="W335" t="str">
        <f t="shared" si="58"/>
        <v>Fouls Rendah</v>
      </c>
      <c r="X335" t="str">
        <f t="shared" si="59"/>
        <v>Corner Tinggi</v>
      </c>
      <c r="Y335" t="str">
        <f t="shared" si="55"/>
        <v>Yellow Card Rendah</v>
      </c>
      <c r="Z335" t="str">
        <f t="shared" si="56"/>
        <v>Red Card Rendah</v>
      </c>
    </row>
    <row r="336" spans="1:26" x14ac:dyDescent="0.25">
      <c r="A336" t="s">
        <v>46</v>
      </c>
      <c r="B336">
        <v>2.4</v>
      </c>
      <c r="C336">
        <v>77</v>
      </c>
      <c r="D336">
        <v>698</v>
      </c>
      <c r="E336">
        <v>609</v>
      </c>
      <c r="F336">
        <v>3</v>
      </c>
      <c r="G336" t="s">
        <v>35</v>
      </c>
      <c r="H336">
        <v>1</v>
      </c>
      <c r="I336" t="s">
        <v>35</v>
      </c>
      <c r="J336">
        <v>25</v>
      </c>
      <c r="K336">
        <v>5</v>
      </c>
      <c r="L336">
        <v>9</v>
      </c>
      <c r="M336">
        <v>11</v>
      </c>
      <c r="N336">
        <v>1</v>
      </c>
      <c r="O336">
        <v>0</v>
      </c>
      <c r="Q336" t="str">
        <f t="shared" si="50"/>
        <v>xG Cukup Sedikit</v>
      </c>
      <c r="R336" t="str">
        <f t="shared" si="51"/>
        <v>Possession Sangat Banyak</v>
      </c>
      <c r="S336" t="str">
        <f t="shared" si="52"/>
        <v>Total Pass Sangat Banyak</v>
      </c>
      <c r="T336" t="str">
        <f t="shared" si="53"/>
        <v>Pass Sukses Sangat Banyak</v>
      </c>
      <c r="U336" t="str">
        <f t="shared" si="54"/>
        <v>Total Shot Cukup Banyak</v>
      </c>
      <c r="V336" t="str">
        <f t="shared" si="57"/>
        <v>Shot on Target Tinggi</v>
      </c>
      <c r="W336" t="str">
        <f t="shared" si="58"/>
        <v>Fouls Normal</v>
      </c>
      <c r="X336" t="str">
        <f t="shared" si="59"/>
        <v>Corner Tinggi</v>
      </c>
      <c r="Y336" t="str">
        <f t="shared" si="55"/>
        <v>Yellow Card Rendah</v>
      </c>
      <c r="Z336" t="str">
        <f t="shared" si="56"/>
        <v>Red Card Rendah</v>
      </c>
    </row>
    <row r="337" spans="1:26" x14ac:dyDescent="0.25">
      <c r="A337" t="s">
        <v>47</v>
      </c>
      <c r="B337">
        <v>0.6</v>
      </c>
      <c r="C337">
        <v>35</v>
      </c>
      <c r="D337">
        <v>338</v>
      </c>
      <c r="E337">
        <v>255</v>
      </c>
      <c r="F337">
        <v>1</v>
      </c>
      <c r="G337" t="s">
        <v>40</v>
      </c>
      <c r="H337">
        <v>1</v>
      </c>
      <c r="I337" t="s">
        <v>35</v>
      </c>
      <c r="J337">
        <v>7</v>
      </c>
      <c r="K337">
        <v>3</v>
      </c>
      <c r="L337">
        <v>10</v>
      </c>
      <c r="M337">
        <v>0</v>
      </c>
      <c r="N337">
        <v>1</v>
      </c>
      <c r="O337">
        <v>0</v>
      </c>
      <c r="Q337" t="str">
        <f t="shared" si="50"/>
        <v>xG Sangat Sedikit</v>
      </c>
      <c r="R337" t="str">
        <f t="shared" si="51"/>
        <v>Possession Sangat Sedikit</v>
      </c>
      <c r="S337" t="str">
        <f t="shared" si="52"/>
        <v>Total Pass Sangat Sedikit</v>
      </c>
      <c r="T337" t="str">
        <f t="shared" si="53"/>
        <v>Pass Sukses Sangat Sedikit</v>
      </c>
      <c r="U337" t="str">
        <f t="shared" si="54"/>
        <v>Total Shot Sangat Sedikit</v>
      </c>
      <c r="V337" t="str">
        <f t="shared" si="57"/>
        <v>Shot on Target Rendah</v>
      </c>
      <c r="W337" t="str">
        <f t="shared" si="58"/>
        <v>Fouls Normal</v>
      </c>
      <c r="X337" t="str">
        <f t="shared" si="59"/>
        <v>Corner Rendah</v>
      </c>
      <c r="Y337" t="str">
        <f t="shared" si="55"/>
        <v>Yellow Card Rendah</v>
      </c>
      <c r="Z337" t="str">
        <f t="shared" si="56"/>
        <v>Red Card Rendah</v>
      </c>
    </row>
    <row r="338" spans="1:26" x14ac:dyDescent="0.25">
      <c r="A338" t="s">
        <v>43</v>
      </c>
      <c r="B338">
        <v>2</v>
      </c>
      <c r="C338">
        <v>56</v>
      </c>
      <c r="D338">
        <v>651</v>
      </c>
      <c r="E338">
        <v>567</v>
      </c>
      <c r="F338">
        <v>3</v>
      </c>
      <c r="G338" t="s">
        <v>35</v>
      </c>
      <c r="H338">
        <v>1</v>
      </c>
      <c r="I338" t="s">
        <v>35</v>
      </c>
      <c r="J338">
        <v>20</v>
      </c>
      <c r="K338">
        <v>6</v>
      </c>
      <c r="L338">
        <v>7</v>
      </c>
      <c r="M338">
        <v>4</v>
      </c>
      <c r="N338">
        <v>1</v>
      </c>
      <c r="O338">
        <v>0</v>
      </c>
      <c r="Q338" t="str">
        <f t="shared" si="50"/>
        <v>xG Cukup Sedikit</v>
      </c>
      <c r="R338" t="str">
        <f t="shared" si="51"/>
        <v>Possession Cukup Banyak</v>
      </c>
      <c r="S338" t="str">
        <f t="shared" si="52"/>
        <v>Total Pass Cukup Banyak</v>
      </c>
      <c r="T338" t="str">
        <f t="shared" si="53"/>
        <v>Pass Sukses Cukup Banyak</v>
      </c>
      <c r="U338" t="str">
        <f t="shared" si="54"/>
        <v>Total Shot Cukup Banyak</v>
      </c>
      <c r="V338" t="str">
        <f t="shared" si="57"/>
        <v>Shot on Target Tinggi</v>
      </c>
      <c r="W338" t="str">
        <f t="shared" si="58"/>
        <v>Fouls Rendah</v>
      </c>
      <c r="X338" t="str">
        <f t="shared" si="59"/>
        <v>Corner Rendah</v>
      </c>
      <c r="Y338" t="str">
        <f t="shared" si="55"/>
        <v>Yellow Card Rendah</v>
      </c>
      <c r="Z338" t="str">
        <f t="shared" si="56"/>
        <v>Red Card Rendah</v>
      </c>
    </row>
    <row r="339" spans="1:26" x14ac:dyDescent="0.25">
      <c r="A339" t="s">
        <v>49</v>
      </c>
      <c r="B339">
        <v>0.5</v>
      </c>
      <c r="C339">
        <v>39</v>
      </c>
      <c r="D339">
        <v>335</v>
      </c>
      <c r="E339">
        <v>235</v>
      </c>
      <c r="F339">
        <v>1</v>
      </c>
      <c r="G339" t="s">
        <v>36</v>
      </c>
      <c r="H339">
        <v>1</v>
      </c>
      <c r="I339" t="s">
        <v>35</v>
      </c>
      <c r="J339">
        <v>8</v>
      </c>
      <c r="K339">
        <v>1</v>
      </c>
      <c r="L339">
        <v>11</v>
      </c>
      <c r="M339">
        <v>5</v>
      </c>
      <c r="N339">
        <v>4</v>
      </c>
      <c r="O339">
        <v>1</v>
      </c>
      <c r="Q339" t="str">
        <f t="shared" si="50"/>
        <v>xG Sangat Sedikit</v>
      </c>
      <c r="R339" t="str">
        <f t="shared" si="51"/>
        <v>Possession Cukup Sedikit</v>
      </c>
      <c r="S339" t="str">
        <f t="shared" si="52"/>
        <v>Total Pass Sangat Sedikit</v>
      </c>
      <c r="T339" t="str">
        <f t="shared" si="53"/>
        <v>Pass Sukses Sangat Sedikit</v>
      </c>
      <c r="U339" t="str">
        <f t="shared" si="54"/>
        <v>Total Shot Sangat Sedikit</v>
      </c>
      <c r="V339" t="str">
        <f t="shared" si="57"/>
        <v>Shot on Target Rendah</v>
      </c>
      <c r="W339" t="str">
        <f t="shared" si="58"/>
        <v>Fouls Normal</v>
      </c>
      <c r="X339" t="str">
        <f t="shared" si="59"/>
        <v>Corner Normal</v>
      </c>
      <c r="Y339" t="str">
        <f t="shared" si="55"/>
        <v>Yellow Card Tinggi</v>
      </c>
      <c r="Z339" t="str">
        <f t="shared" si="56"/>
        <v>Red Card Tinggi</v>
      </c>
    </row>
    <row r="340" spans="1:26" x14ac:dyDescent="0.25">
      <c r="A340" t="s">
        <v>39</v>
      </c>
      <c r="B340">
        <v>2.2000000000000002</v>
      </c>
      <c r="C340">
        <v>61</v>
      </c>
      <c r="D340">
        <v>551</v>
      </c>
      <c r="E340">
        <v>462</v>
      </c>
      <c r="F340">
        <v>5</v>
      </c>
      <c r="G340" t="s">
        <v>35</v>
      </c>
      <c r="H340">
        <v>3</v>
      </c>
      <c r="I340" t="s">
        <v>35</v>
      </c>
      <c r="J340">
        <v>25</v>
      </c>
      <c r="K340">
        <v>8</v>
      </c>
      <c r="L340">
        <v>16</v>
      </c>
      <c r="M340">
        <v>8</v>
      </c>
      <c r="N340">
        <v>2</v>
      </c>
      <c r="O340">
        <v>0</v>
      </c>
      <c r="Q340" t="str">
        <f t="shared" si="50"/>
        <v>xG Cukup Sedikit</v>
      </c>
      <c r="R340" t="str">
        <f t="shared" si="51"/>
        <v>Possession Cukup Banyak</v>
      </c>
      <c r="S340" t="str">
        <f t="shared" si="52"/>
        <v>Total Pass Cukup Banyak</v>
      </c>
      <c r="T340" t="str">
        <f t="shared" si="53"/>
        <v>Pass Sukses Cukup Banyak</v>
      </c>
      <c r="U340" t="str">
        <f t="shared" si="54"/>
        <v>Total Shot Cukup Banyak</v>
      </c>
      <c r="V340" t="str">
        <f t="shared" si="57"/>
        <v>Shot on Target Tinggi</v>
      </c>
      <c r="W340" t="str">
        <f t="shared" si="58"/>
        <v>Fouls Tinggi</v>
      </c>
      <c r="X340" t="str">
        <f t="shared" si="59"/>
        <v>Corner Tinggi</v>
      </c>
      <c r="Y340" t="str">
        <f t="shared" si="55"/>
        <v>Yellow Card Rendah</v>
      </c>
      <c r="Z340" t="str">
        <f t="shared" si="56"/>
        <v>Red Card Rendah</v>
      </c>
    </row>
    <row r="341" spans="1:26" x14ac:dyDescent="0.25">
      <c r="A341" t="s">
        <v>48</v>
      </c>
      <c r="B341">
        <v>0.9</v>
      </c>
      <c r="C341">
        <v>55</v>
      </c>
      <c r="D341">
        <v>437</v>
      </c>
      <c r="E341">
        <v>331</v>
      </c>
      <c r="F341">
        <v>0</v>
      </c>
      <c r="G341" t="s">
        <v>40</v>
      </c>
      <c r="H341">
        <v>0</v>
      </c>
      <c r="I341" t="s">
        <v>40</v>
      </c>
      <c r="J341">
        <v>14</v>
      </c>
      <c r="K341">
        <v>5</v>
      </c>
      <c r="L341">
        <v>10</v>
      </c>
      <c r="M341">
        <v>4</v>
      </c>
      <c r="N341">
        <v>3</v>
      </c>
      <c r="O341">
        <v>0</v>
      </c>
      <c r="Q341" t="str">
        <f t="shared" si="50"/>
        <v>xG Sangat Sedikit</v>
      </c>
      <c r="R341" t="str">
        <f t="shared" si="51"/>
        <v>Possession Cukup Banyak</v>
      </c>
      <c r="S341" t="str">
        <f t="shared" si="52"/>
        <v>Total Pass Cukup Sedikit</v>
      </c>
      <c r="T341" t="str">
        <f t="shared" si="53"/>
        <v>Pass Sukses Cukup Sedikit</v>
      </c>
      <c r="U341" t="str">
        <f t="shared" si="54"/>
        <v>Total Shot Cukup Sedikit</v>
      </c>
      <c r="V341" t="str">
        <f t="shared" si="57"/>
        <v>Shot on Target Tinggi</v>
      </c>
      <c r="W341" t="str">
        <f t="shared" si="58"/>
        <v>Fouls Normal</v>
      </c>
      <c r="X341" t="str">
        <f t="shared" si="59"/>
        <v>Corner Rendah</v>
      </c>
      <c r="Y341" t="str">
        <f t="shared" si="55"/>
        <v>Yellow Card Tinggi</v>
      </c>
      <c r="Z341" t="str">
        <f t="shared" si="56"/>
        <v>Red Card Rendah</v>
      </c>
    </row>
    <row r="342" spans="1:26" x14ac:dyDescent="0.25">
      <c r="A342" t="s">
        <v>58</v>
      </c>
      <c r="B342">
        <v>0.7</v>
      </c>
      <c r="C342">
        <v>63</v>
      </c>
      <c r="D342">
        <v>724</v>
      </c>
      <c r="E342">
        <v>645</v>
      </c>
      <c r="F342">
        <v>1</v>
      </c>
      <c r="G342" t="s">
        <v>35</v>
      </c>
      <c r="H342">
        <v>1</v>
      </c>
      <c r="I342" t="s">
        <v>35</v>
      </c>
      <c r="J342">
        <v>9</v>
      </c>
      <c r="K342">
        <v>2</v>
      </c>
      <c r="L342">
        <v>7</v>
      </c>
      <c r="M342">
        <v>4</v>
      </c>
      <c r="N342">
        <v>0</v>
      </c>
      <c r="O342">
        <v>0</v>
      </c>
      <c r="Q342" t="str">
        <f t="shared" si="50"/>
        <v>xG Sangat Sedikit</v>
      </c>
      <c r="R342" t="str">
        <f t="shared" si="51"/>
        <v>Possession Cukup Banyak</v>
      </c>
      <c r="S342" t="str">
        <f t="shared" si="52"/>
        <v>Total Pass Sangat Banyak</v>
      </c>
      <c r="T342" t="str">
        <f t="shared" si="53"/>
        <v>Pass Sukses Sangat Banyak</v>
      </c>
      <c r="U342" t="str">
        <f t="shared" si="54"/>
        <v>Total Shot Sangat Sedikit</v>
      </c>
      <c r="V342" t="str">
        <f t="shared" si="57"/>
        <v>Shot on Target Rendah</v>
      </c>
      <c r="W342" t="str">
        <f t="shared" si="58"/>
        <v>Fouls Rendah</v>
      </c>
      <c r="X342" t="str">
        <f t="shared" si="59"/>
        <v>Corner Rendah</v>
      </c>
      <c r="Y342" t="str">
        <f t="shared" si="55"/>
        <v>Yellow Card Rendah</v>
      </c>
      <c r="Z342" t="str">
        <f t="shared" si="56"/>
        <v>Red Card Rendah</v>
      </c>
    </row>
    <row r="343" spans="1:26" x14ac:dyDescent="0.25">
      <c r="A343" t="s">
        <v>52</v>
      </c>
      <c r="B343">
        <v>1</v>
      </c>
      <c r="C343">
        <v>52</v>
      </c>
      <c r="D343">
        <v>470</v>
      </c>
      <c r="E343">
        <v>402</v>
      </c>
      <c r="F343">
        <v>1</v>
      </c>
      <c r="G343" t="s">
        <v>35</v>
      </c>
      <c r="H343">
        <v>1</v>
      </c>
      <c r="I343" t="s">
        <v>35</v>
      </c>
      <c r="J343">
        <v>10</v>
      </c>
      <c r="K343">
        <v>3</v>
      </c>
      <c r="L343">
        <v>6</v>
      </c>
      <c r="M343">
        <v>5</v>
      </c>
      <c r="N343">
        <v>0</v>
      </c>
      <c r="O343">
        <v>0</v>
      </c>
      <c r="Q343" t="str">
        <f t="shared" si="50"/>
        <v>xG Sangat Sedikit</v>
      </c>
      <c r="R343" t="str">
        <f t="shared" si="51"/>
        <v>Possession Cukup Banyak</v>
      </c>
      <c r="S343" t="str">
        <f t="shared" si="52"/>
        <v>Total Pass Cukup Sedikit</v>
      </c>
      <c r="T343" t="str">
        <f t="shared" si="53"/>
        <v>Pass Sukses Cukup Sedikit</v>
      </c>
      <c r="U343" t="str">
        <f t="shared" si="54"/>
        <v>Total Shot Sangat Sedikit</v>
      </c>
      <c r="V343" t="str">
        <f t="shared" si="57"/>
        <v>Shot on Target Rendah</v>
      </c>
      <c r="W343" t="str">
        <f t="shared" si="58"/>
        <v>Fouls Rendah</v>
      </c>
      <c r="X343" t="str">
        <f t="shared" si="59"/>
        <v>Corner Normal</v>
      </c>
      <c r="Y343" t="str">
        <f t="shared" si="55"/>
        <v>Yellow Card Rendah</v>
      </c>
      <c r="Z343" t="str">
        <f t="shared" si="56"/>
        <v>Red Card Rendah</v>
      </c>
    </row>
    <row r="344" spans="1:26" x14ac:dyDescent="0.25">
      <c r="A344" t="s">
        <v>44</v>
      </c>
      <c r="B344">
        <v>0.6</v>
      </c>
      <c r="C344">
        <v>58</v>
      </c>
      <c r="D344">
        <v>536</v>
      </c>
      <c r="E344">
        <v>448</v>
      </c>
      <c r="F344">
        <v>2</v>
      </c>
      <c r="G344" t="s">
        <v>36</v>
      </c>
      <c r="H344">
        <v>2</v>
      </c>
      <c r="I344" t="s">
        <v>35</v>
      </c>
      <c r="J344">
        <v>8</v>
      </c>
      <c r="K344">
        <v>3</v>
      </c>
      <c r="L344">
        <v>12</v>
      </c>
      <c r="M344">
        <v>3</v>
      </c>
      <c r="N344">
        <v>4</v>
      </c>
      <c r="O344">
        <v>0</v>
      </c>
      <c r="Q344" t="str">
        <f t="shared" si="50"/>
        <v>xG Sangat Sedikit</v>
      </c>
      <c r="R344" t="str">
        <f t="shared" si="51"/>
        <v>Possession Cukup Banyak</v>
      </c>
      <c r="S344" t="str">
        <f t="shared" si="52"/>
        <v>Total Pass Cukup Banyak</v>
      </c>
      <c r="T344" t="str">
        <f t="shared" si="53"/>
        <v>Pass Sukses Cukup Banyak</v>
      </c>
      <c r="U344" t="str">
        <f t="shared" si="54"/>
        <v>Total Shot Sangat Sedikit</v>
      </c>
      <c r="V344" t="str">
        <f t="shared" si="57"/>
        <v>Shot on Target Rendah</v>
      </c>
      <c r="W344" t="str">
        <f t="shared" si="58"/>
        <v>Fouls Tinggi</v>
      </c>
      <c r="X344" t="str">
        <f t="shared" si="59"/>
        <v>Corner Rendah</v>
      </c>
      <c r="Y344" t="str">
        <f t="shared" si="55"/>
        <v>Yellow Card Tinggi</v>
      </c>
      <c r="Z344" t="str">
        <f t="shared" si="56"/>
        <v>Red Card Rendah</v>
      </c>
    </row>
    <row r="345" spans="1:26" x14ac:dyDescent="0.25">
      <c r="A345" t="s">
        <v>59</v>
      </c>
      <c r="B345">
        <v>1.4</v>
      </c>
      <c r="C345">
        <v>49</v>
      </c>
      <c r="D345">
        <v>480</v>
      </c>
      <c r="E345">
        <v>417</v>
      </c>
      <c r="F345">
        <v>2</v>
      </c>
      <c r="G345" t="s">
        <v>35</v>
      </c>
      <c r="H345">
        <v>2</v>
      </c>
      <c r="I345" t="s">
        <v>35</v>
      </c>
      <c r="J345">
        <v>14</v>
      </c>
      <c r="K345">
        <v>4</v>
      </c>
      <c r="L345">
        <v>12</v>
      </c>
      <c r="M345">
        <v>7</v>
      </c>
      <c r="N345">
        <v>1</v>
      </c>
      <c r="O345">
        <v>0</v>
      </c>
      <c r="Q345" t="str">
        <f t="shared" si="50"/>
        <v>xG Sangat Sedikit</v>
      </c>
      <c r="R345" t="str">
        <f t="shared" si="51"/>
        <v>Possession Cukup Sedikit</v>
      </c>
      <c r="S345" t="str">
        <f t="shared" si="52"/>
        <v>Total Pass Cukup Sedikit</v>
      </c>
      <c r="T345" t="str">
        <f t="shared" si="53"/>
        <v>Pass Sukses Cukup Sedikit</v>
      </c>
      <c r="U345" t="str">
        <f t="shared" si="54"/>
        <v>Total Shot Cukup Sedikit</v>
      </c>
      <c r="V345" t="str">
        <f t="shared" si="57"/>
        <v>Shot on Target Normal</v>
      </c>
      <c r="W345" t="str">
        <f t="shared" si="58"/>
        <v>Fouls Tinggi</v>
      </c>
      <c r="X345" t="str">
        <f t="shared" si="59"/>
        <v>Corner Tinggi</v>
      </c>
      <c r="Y345" t="str">
        <f t="shared" si="55"/>
        <v>Yellow Card Rendah</v>
      </c>
      <c r="Z345" t="str">
        <f t="shared" si="56"/>
        <v>Red Card Rendah</v>
      </c>
    </row>
    <row r="346" spans="1:26" x14ac:dyDescent="0.25">
      <c r="A346" t="s">
        <v>42</v>
      </c>
      <c r="B346">
        <v>1.4</v>
      </c>
      <c r="C346">
        <v>51</v>
      </c>
      <c r="D346">
        <v>457</v>
      </c>
      <c r="E346">
        <v>380</v>
      </c>
      <c r="F346">
        <v>1</v>
      </c>
      <c r="G346" t="s">
        <v>40</v>
      </c>
      <c r="H346">
        <v>1</v>
      </c>
      <c r="I346" t="s">
        <v>35</v>
      </c>
      <c r="J346">
        <v>13</v>
      </c>
      <c r="K346">
        <v>4</v>
      </c>
      <c r="L346">
        <v>7</v>
      </c>
      <c r="M346">
        <v>2</v>
      </c>
      <c r="N346">
        <v>0</v>
      </c>
      <c r="O346">
        <v>0</v>
      </c>
      <c r="Q346" t="str">
        <f t="shared" si="50"/>
        <v>xG Sangat Sedikit</v>
      </c>
      <c r="R346" t="str">
        <f t="shared" si="51"/>
        <v>Possession Cukup Banyak</v>
      </c>
      <c r="S346" t="str">
        <f t="shared" si="52"/>
        <v>Total Pass Cukup Sedikit</v>
      </c>
      <c r="T346" t="str">
        <f t="shared" si="53"/>
        <v>Pass Sukses Cukup Sedikit</v>
      </c>
      <c r="U346" t="str">
        <f t="shared" si="54"/>
        <v>Total Shot Cukup Sedikit</v>
      </c>
      <c r="V346" t="str">
        <f t="shared" si="57"/>
        <v>Shot on Target Normal</v>
      </c>
      <c r="W346" t="str">
        <f t="shared" si="58"/>
        <v>Fouls Rendah</v>
      </c>
      <c r="X346" t="str">
        <f t="shared" si="59"/>
        <v>Corner Rendah</v>
      </c>
      <c r="Y346" t="str">
        <f t="shared" si="55"/>
        <v>Yellow Card Rendah</v>
      </c>
      <c r="Z346" t="str">
        <f t="shared" si="56"/>
        <v>Red Card Rendah</v>
      </c>
    </row>
    <row r="347" spans="1:26" x14ac:dyDescent="0.25">
      <c r="A347" t="s">
        <v>54</v>
      </c>
      <c r="B347">
        <v>2.8</v>
      </c>
      <c r="C347">
        <v>47</v>
      </c>
      <c r="D347">
        <v>455</v>
      </c>
      <c r="E347">
        <v>349</v>
      </c>
      <c r="F347">
        <v>4</v>
      </c>
      <c r="G347" t="s">
        <v>35</v>
      </c>
      <c r="H347">
        <v>2</v>
      </c>
      <c r="I347" t="s">
        <v>35</v>
      </c>
      <c r="J347">
        <v>12</v>
      </c>
      <c r="K347">
        <v>6</v>
      </c>
      <c r="L347">
        <v>8</v>
      </c>
      <c r="M347">
        <v>7</v>
      </c>
      <c r="N347">
        <v>0</v>
      </c>
      <c r="O347">
        <v>0</v>
      </c>
      <c r="Q347" t="str">
        <f t="shared" si="50"/>
        <v>xG Cukup Sedikit</v>
      </c>
      <c r="R347" t="str">
        <f t="shared" si="51"/>
        <v>Possession Cukup Sedikit</v>
      </c>
      <c r="S347" t="str">
        <f t="shared" si="52"/>
        <v>Total Pass Cukup Sedikit</v>
      </c>
      <c r="T347" t="str">
        <f t="shared" si="53"/>
        <v>Pass Sukses Cukup Sedikit</v>
      </c>
      <c r="U347" t="str">
        <f t="shared" si="54"/>
        <v>Total Shot Cukup Sedikit</v>
      </c>
      <c r="V347" t="str">
        <f t="shared" si="57"/>
        <v>Shot on Target Tinggi</v>
      </c>
      <c r="W347" t="str">
        <f t="shared" si="58"/>
        <v>Fouls Rendah</v>
      </c>
      <c r="X347" t="str">
        <f t="shared" si="59"/>
        <v>Corner Tinggi</v>
      </c>
      <c r="Y347" t="str">
        <f t="shared" si="55"/>
        <v>Yellow Card Rendah</v>
      </c>
      <c r="Z347" t="str">
        <f t="shared" si="56"/>
        <v>Red Card Rendah</v>
      </c>
    </row>
    <row r="348" spans="1:26" x14ac:dyDescent="0.25">
      <c r="A348" t="s">
        <v>45</v>
      </c>
      <c r="B348">
        <v>0.7</v>
      </c>
      <c r="C348">
        <v>45</v>
      </c>
      <c r="D348">
        <v>408</v>
      </c>
      <c r="E348">
        <v>313</v>
      </c>
      <c r="F348">
        <v>1</v>
      </c>
      <c r="G348" t="s">
        <v>36</v>
      </c>
      <c r="H348">
        <v>1</v>
      </c>
      <c r="I348" t="s">
        <v>35</v>
      </c>
      <c r="J348">
        <v>5</v>
      </c>
      <c r="K348">
        <v>2</v>
      </c>
      <c r="L348">
        <v>15</v>
      </c>
      <c r="M348">
        <v>1</v>
      </c>
      <c r="N348">
        <v>2</v>
      </c>
      <c r="O348">
        <v>0</v>
      </c>
      <c r="Q348" t="str">
        <f t="shared" si="50"/>
        <v>xG Sangat Sedikit</v>
      </c>
      <c r="R348" t="str">
        <f t="shared" si="51"/>
        <v>Possession Cukup Sedikit</v>
      </c>
      <c r="S348" t="str">
        <f t="shared" si="52"/>
        <v>Total Pass Cukup Sedikit</v>
      </c>
      <c r="T348" t="str">
        <f t="shared" si="53"/>
        <v>Pass Sukses Cukup Sedikit</v>
      </c>
      <c r="U348" t="str">
        <f t="shared" si="54"/>
        <v>Total Shot Sangat Sedikit</v>
      </c>
      <c r="V348" t="str">
        <f t="shared" si="57"/>
        <v>Shot on Target Rendah</v>
      </c>
      <c r="W348" t="str">
        <f t="shared" si="58"/>
        <v>Fouls Tinggi</v>
      </c>
      <c r="X348" t="str">
        <f t="shared" si="59"/>
        <v>Corner Rendah</v>
      </c>
      <c r="Y348" t="str">
        <f t="shared" si="55"/>
        <v>Yellow Card Rendah</v>
      </c>
      <c r="Z348" t="str">
        <f t="shared" si="56"/>
        <v>Red Card Rendah</v>
      </c>
    </row>
    <row r="349" spans="1:26" x14ac:dyDescent="0.25">
      <c r="A349" t="s">
        <v>51</v>
      </c>
      <c r="B349">
        <v>0.8</v>
      </c>
      <c r="C349">
        <v>55</v>
      </c>
      <c r="D349">
        <v>497</v>
      </c>
      <c r="E349">
        <v>361</v>
      </c>
      <c r="F349">
        <v>1</v>
      </c>
      <c r="G349" t="s">
        <v>36</v>
      </c>
      <c r="H349">
        <v>1</v>
      </c>
      <c r="I349" t="s">
        <v>36</v>
      </c>
      <c r="J349">
        <v>11</v>
      </c>
      <c r="K349">
        <v>2</v>
      </c>
      <c r="L349">
        <v>18</v>
      </c>
      <c r="M349">
        <v>1</v>
      </c>
      <c r="N349">
        <v>2</v>
      </c>
      <c r="O349">
        <v>0</v>
      </c>
      <c r="Q349" t="str">
        <f t="shared" si="50"/>
        <v>xG Sangat Sedikit</v>
      </c>
      <c r="R349" t="str">
        <f t="shared" si="51"/>
        <v>Possession Cukup Banyak</v>
      </c>
      <c r="S349" t="str">
        <f t="shared" si="52"/>
        <v>Total Pass Cukup Sedikit</v>
      </c>
      <c r="T349" t="str">
        <f t="shared" si="53"/>
        <v>Pass Sukses Cukup Sedikit</v>
      </c>
      <c r="U349" t="str">
        <f t="shared" si="54"/>
        <v>Total Shot Cukup Sedikit</v>
      </c>
      <c r="V349" t="str">
        <f t="shared" si="57"/>
        <v>Shot on Target Rendah</v>
      </c>
      <c r="W349" t="str">
        <f t="shared" si="58"/>
        <v>Fouls Tinggi</v>
      </c>
      <c r="X349" t="str">
        <f t="shared" si="59"/>
        <v>Corner Rendah</v>
      </c>
      <c r="Y349" t="str">
        <f t="shared" si="55"/>
        <v>Yellow Card Rendah</v>
      </c>
      <c r="Z349" t="str">
        <f t="shared" si="56"/>
        <v>Red Card Rendah</v>
      </c>
    </row>
    <row r="350" spans="1:26" x14ac:dyDescent="0.25">
      <c r="A350" t="s">
        <v>57</v>
      </c>
      <c r="B350">
        <v>3.1</v>
      </c>
      <c r="C350">
        <v>36</v>
      </c>
      <c r="D350">
        <v>386</v>
      </c>
      <c r="E350">
        <v>319</v>
      </c>
      <c r="F350">
        <v>3</v>
      </c>
      <c r="G350" t="s">
        <v>35</v>
      </c>
      <c r="H350">
        <v>1</v>
      </c>
      <c r="I350" t="s">
        <v>35</v>
      </c>
      <c r="J350">
        <v>17</v>
      </c>
      <c r="K350">
        <v>7</v>
      </c>
      <c r="L350">
        <v>10</v>
      </c>
      <c r="M350">
        <v>3</v>
      </c>
      <c r="N350">
        <v>2</v>
      </c>
      <c r="O350">
        <v>0</v>
      </c>
      <c r="Q350" t="str">
        <f t="shared" si="50"/>
        <v>xG Cukup Banyak</v>
      </c>
      <c r="R350" t="str">
        <f t="shared" si="51"/>
        <v>Possession Sangat Sedikit</v>
      </c>
      <c r="S350" t="str">
        <f t="shared" si="52"/>
        <v>Total Pass Cukup Sedikit</v>
      </c>
      <c r="T350" t="str">
        <f t="shared" si="53"/>
        <v>Pass Sukses Cukup Sedikit</v>
      </c>
      <c r="U350" t="str">
        <f t="shared" si="54"/>
        <v>Total Shot Cukup Sedikit</v>
      </c>
      <c r="V350" t="str">
        <f t="shared" si="57"/>
        <v>Shot on Target Tinggi</v>
      </c>
      <c r="W350" t="str">
        <f t="shared" si="58"/>
        <v>Fouls Normal</v>
      </c>
      <c r="X350" t="str">
        <f t="shared" si="59"/>
        <v>Corner Rendah</v>
      </c>
      <c r="Y350" t="str">
        <f t="shared" si="55"/>
        <v>Yellow Card Rendah</v>
      </c>
      <c r="Z350" t="str">
        <f t="shared" si="56"/>
        <v>Red Card Rendah</v>
      </c>
    </row>
    <row r="351" spans="1:26" x14ac:dyDescent="0.25">
      <c r="A351" t="s">
        <v>55</v>
      </c>
      <c r="B351">
        <v>2.2999999999999998</v>
      </c>
      <c r="C351">
        <v>50</v>
      </c>
      <c r="D351">
        <v>441</v>
      </c>
      <c r="E351">
        <v>311</v>
      </c>
      <c r="F351">
        <v>1</v>
      </c>
      <c r="G351" t="s">
        <v>36</v>
      </c>
      <c r="H351">
        <v>0</v>
      </c>
      <c r="I351" t="s">
        <v>36</v>
      </c>
      <c r="J351">
        <v>20</v>
      </c>
      <c r="K351">
        <v>3</v>
      </c>
      <c r="L351">
        <v>9</v>
      </c>
      <c r="M351">
        <v>7</v>
      </c>
      <c r="N351">
        <v>3</v>
      </c>
      <c r="O351">
        <v>0</v>
      </c>
      <c r="Q351" t="str">
        <f t="shared" si="50"/>
        <v>xG Cukup Sedikit</v>
      </c>
      <c r="R351" t="str">
        <f t="shared" si="51"/>
        <v>Possession Cukup Sedikit</v>
      </c>
      <c r="S351" t="str">
        <f t="shared" si="52"/>
        <v>Total Pass Cukup Sedikit</v>
      </c>
      <c r="T351" t="str">
        <f t="shared" si="53"/>
        <v>Pass Sukses Cukup Sedikit</v>
      </c>
      <c r="U351" t="str">
        <f t="shared" si="54"/>
        <v>Total Shot Cukup Banyak</v>
      </c>
      <c r="V351" t="str">
        <f t="shared" si="57"/>
        <v>Shot on Target Rendah</v>
      </c>
      <c r="W351" t="str">
        <f t="shared" si="58"/>
        <v>Fouls Normal</v>
      </c>
      <c r="X351" t="str">
        <f t="shared" si="59"/>
        <v>Corner Tinggi</v>
      </c>
      <c r="Y351" t="str">
        <f t="shared" si="55"/>
        <v>Yellow Card Tinggi</v>
      </c>
      <c r="Z351" t="str">
        <f t="shared" si="56"/>
        <v>Red Card Rendah</v>
      </c>
    </row>
    <row r="352" spans="1:26" x14ac:dyDescent="0.25">
      <c r="A352" t="s">
        <v>34</v>
      </c>
      <c r="B352">
        <v>0.8</v>
      </c>
      <c r="C352">
        <v>64</v>
      </c>
      <c r="D352">
        <v>607</v>
      </c>
      <c r="E352">
        <v>508</v>
      </c>
      <c r="F352">
        <v>1</v>
      </c>
      <c r="G352" t="s">
        <v>40</v>
      </c>
      <c r="H352">
        <v>1</v>
      </c>
      <c r="I352" t="s">
        <v>36</v>
      </c>
      <c r="J352">
        <v>18</v>
      </c>
      <c r="K352">
        <v>6</v>
      </c>
      <c r="L352">
        <v>15</v>
      </c>
      <c r="M352">
        <v>5</v>
      </c>
      <c r="N352">
        <v>1</v>
      </c>
      <c r="O352">
        <v>0</v>
      </c>
      <c r="Q352" t="str">
        <f t="shared" si="50"/>
        <v>xG Sangat Sedikit</v>
      </c>
      <c r="R352" t="str">
        <f t="shared" si="51"/>
        <v>Possession Sangat Banyak</v>
      </c>
      <c r="S352" t="str">
        <f t="shared" si="52"/>
        <v>Total Pass Cukup Banyak</v>
      </c>
      <c r="T352" t="str">
        <f t="shared" si="53"/>
        <v>Pass Sukses Cukup Banyak</v>
      </c>
      <c r="U352" t="str">
        <f t="shared" si="54"/>
        <v>Total Shot Cukup Sedikit</v>
      </c>
      <c r="V352" t="str">
        <f t="shared" si="57"/>
        <v>Shot on Target Tinggi</v>
      </c>
      <c r="W352" t="str">
        <f t="shared" si="58"/>
        <v>Fouls Tinggi</v>
      </c>
      <c r="X352" t="str">
        <f t="shared" si="59"/>
        <v>Corner Normal</v>
      </c>
      <c r="Y352" t="str">
        <f t="shared" si="55"/>
        <v>Yellow Card Rendah</v>
      </c>
      <c r="Z352" t="str">
        <f t="shared" si="56"/>
        <v>Red Card Rendah</v>
      </c>
    </row>
    <row r="353" spans="1:26" x14ac:dyDescent="0.25">
      <c r="A353" t="s">
        <v>38</v>
      </c>
      <c r="B353">
        <v>0.9</v>
      </c>
      <c r="C353">
        <v>49</v>
      </c>
      <c r="D353">
        <v>404</v>
      </c>
      <c r="E353">
        <v>323</v>
      </c>
      <c r="F353">
        <v>0</v>
      </c>
      <c r="G353" t="s">
        <v>40</v>
      </c>
      <c r="H353">
        <v>0</v>
      </c>
      <c r="I353" t="s">
        <v>40</v>
      </c>
      <c r="J353">
        <v>11</v>
      </c>
      <c r="K353">
        <v>4</v>
      </c>
      <c r="L353">
        <v>6</v>
      </c>
      <c r="M353">
        <v>5</v>
      </c>
      <c r="N353">
        <v>2</v>
      </c>
      <c r="O353">
        <v>0</v>
      </c>
      <c r="Q353" t="str">
        <f t="shared" si="50"/>
        <v>xG Sangat Sedikit</v>
      </c>
      <c r="R353" t="str">
        <f t="shared" si="51"/>
        <v>Possession Cukup Sedikit</v>
      </c>
      <c r="S353" t="str">
        <f t="shared" si="52"/>
        <v>Total Pass Cukup Sedikit</v>
      </c>
      <c r="T353" t="str">
        <f t="shared" si="53"/>
        <v>Pass Sukses Cukup Sedikit</v>
      </c>
      <c r="U353" t="str">
        <f t="shared" si="54"/>
        <v>Total Shot Cukup Sedikit</v>
      </c>
      <c r="V353" t="str">
        <f t="shared" si="57"/>
        <v>Shot on Target Normal</v>
      </c>
      <c r="W353" t="str">
        <f t="shared" si="58"/>
        <v>Fouls Rendah</v>
      </c>
      <c r="X353" t="str">
        <f t="shared" si="59"/>
        <v>Corner Normal</v>
      </c>
      <c r="Y353" t="str">
        <f t="shared" si="55"/>
        <v>Yellow Card Rendah</v>
      </c>
      <c r="Z353" t="str">
        <f t="shared" si="56"/>
        <v>Red Card Rendah</v>
      </c>
    </row>
    <row r="354" spans="1:26" x14ac:dyDescent="0.25">
      <c r="A354" t="s">
        <v>47</v>
      </c>
      <c r="B354">
        <v>0.1</v>
      </c>
      <c r="C354">
        <v>28</v>
      </c>
      <c r="D354">
        <v>279</v>
      </c>
      <c r="E354">
        <v>208</v>
      </c>
      <c r="F354">
        <v>0</v>
      </c>
      <c r="G354" t="s">
        <v>36</v>
      </c>
      <c r="H354">
        <v>0</v>
      </c>
      <c r="I354" t="s">
        <v>36</v>
      </c>
      <c r="J354">
        <v>2</v>
      </c>
      <c r="K354">
        <v>0</v>
      </c>
      <c r="L354">
        <v>9</v>
      </c>
      <c r="M354">
        <v>1</v>
      </c>
      <c r="N354">
        <v>2</v>
      </c>
      <c r="O354">
        <v>0</v>
      </c>
      <c r="Q354" t="str">
        <f t="shared" si="50"/>
        <v>xG Sangat Sedikit</v>
      </c>
      <c r="R354" t="str">
        <f t="shared" si="51"/>
        <v>Possession Sangat Sedikit</v>
      </c>
      <c r="S354" t="str">
        <f t="shared" si="52"/>
        <v>Total Pass Sangat Sedikit</v>
      </c>
      <c r="T354" t="str">
        <f t="shared" si="53"/>
        <v>Pass Sukses Sangat Sedikit</v>
      </c>
      <c r="U354" t="str">
        <f t="shared" si="54"/>
        <v>Total Shot Sangat Sedikit</v>
      </c>
      <c r="V354" t="str">
        <f t="shared" si="57"/>
        <v>Shot on Target Rendah</v>
      </c>
      <c r="W354" t="str">
        <f t="shared" si="58"/>
        <v>Fouls Normal</v>
      </c>
      <c r="X354" t="str">
        <f t="shared" si="59"/>
        <v>Corner Rendah</v>
      </c>
      <c r="Y354" t="str">
        <f t="shared" si="55"/>
        <v>Yellow Card Rendah</v>
      </c>
      <c r="Z354" t="str">
        <f t="shared" si="56"/>
        <v>Red Card Rendah</v>
      </c>
    </row>
    <row r="355" spans="1:26" x14ac:dyDescent="0.25">
      <c r="A355" t="s">
        <v>43</v>
      </c>
      <c r="B355">
        <v>0.9</v>
      </c>
      <c r="C355">
        <v>56</v>
      </c>
      <c r="D355">
        <v>580</v>
      </c>
      <c r="E355">
        <v>488</v>
      </c>
      <c r="F355">
        <v>0</v>
      </c>
      <c r="G355" t="s">
        <v>40</v>
      </c>
      <c r="H355">
        <v>0</v>
      </c>
      <c r="I355" t="s">
        <v>40</v>
      </c>
      <c r="J355">
        <v>10</v>
      </c>
      <c r="K355">
        <v>3</v>
      </c>
      <c r="L355">
        <v>8</v>
      </c>
      <c r="M355">
        <v>7</v>
      </c>
      <c r="N355">
        <v>1</v>
      </c>
      <c r="O355">
        <v>0</v>
      </c>
      <c r="Q355" t="str">
        <f t="shared" si="50"/>
        <v>xG Sangat Sedikit</v>
      </c>
      <c r="R355" t="str">
        <f t="shared" si="51"/>
        <v>Possession Cukup Banyak</v>
      </c>
      <c r="S355" t="str">
        <f t="shared" si="52"/>
        <v>Total Pass Cukup Banyak</v>
      </c>
      <c r="T355" t="str">
        <f t="shared" si="53"/>
        <v>Pass Sukses Cukup Banyak</v>
      </c>
      <c r="U355" t="str">
        <f t="shared" si="54"/>
        <v>Total Shot Sangat Sedikit</v>
      </c>
      <c r="V355" t="str">
        <f t="shared" si="57"/>
        <v>Shot on Target Rendah</v>
      </c>
      <c r="W355" t="str">
        <f t="shared" si="58"/>
        <v>Fouls Rendah</v>
      </c>
      <c r="X355" t="str">
        <f t="shared" si="59"/>
        <v>Corner Tinggi</v>
      </c>
      <c r="Y355" t="str">
        <f t="shared" si="55"/>
        <v>Yellow Card Rendah</v>
      </c>
      <c r="Z355" t="str">
        <f t="shared" si="56"/>
        <v>Red Card Rendah</v>
      </c>
    </row>
    <row r="356" spans="1:26" x14ac:dyDescent="0.25">
      <c r="A356" t="s">
        <v>49</v>
      </c>
      <c r="B356">
        <v>0.8</v>
      </c>
      <c r="C356">
        <v>66</v>
      </c>
      <c r="D356">
        <v>541</v>
      </c>
      <c r="E356">
        <v>444</v>
      </c>
      <c r="F356">
        <v>0</v>
      </c>
      <c r="G356" t="s">
        <v>40</v>
      </c>
      <c r="H356">
        <v>0</v>
      </c>
      <c r="I356" t="s">
        <v>40</v>
      </c>
      <c r="J356">
        <v>10</v>
      </c>
      <c r="K356">
        <v>4</v>
      </c>
      <c r="L356">
        <v>19</v>
      </c>
      <c r="M356">
        <v>10</v>
      </c>
      <c r="N356">
        <v>4</v>
      </c>
      <c r="O356">
        <v>0</v>
      </c>
      <c r="Q356" t="str">
        <f t="shared" si="50"/>
        <v>xG Sangat Sedikit</v>
      </c>
      <c r="R356" t="str">
        <f t="shared" si="51"/>
        <v>Possession Sangat Banyak</v>
      </c>
      <c r="S356" t="str">
        <f t="shared" si="52"/>
        <v>Total Pass Cukup Banyak</v>
      </c>
      <c r="T356" t="str">
        <f t="shared" si="53"/>
        <v>Pass Sukses Cukup Banyak</v>
      </c>
      <c r="U356" t="str">
        <f t="shared" si="54"/>
        <v>Total Shot Sangat Sedikit</v>
      </c>
      <c r="V356" t="str">
        <f t="shared" si="57"/>
        <v>Shot on Target Normal</v>
      </c>
      <c r="W356" t="str">
        <f t="shared" si="58"/>
        <v>Fouls Tinggi</v>
      </c>
      <c r="X356" t="str">
        <f t="shared" si="59"/>
        <v>Corner Tinggi</v>
      </c>
      <c r="Y356" t="str">
        <f t="shared" si="55"/>
        <v>Yellow Card Tinggi</v>
      </c>
      <c r="Z356" t="str">
        <f t="shared" si="56"/>
        <v>Red Card Rendah</v>
      </c>
    </row>
    <row r="357" spans="1:26" x14ac:dyDescent="0.25">
      <c r="A357" t="s">
        <v>46</v>
      </c>
      <c r="B357">
        <v>1.6</v>
      </c>
      <c r="C357">
        <v>45</v>
      </c>
      <c r="D357">
        <v>447</v>
      </c>
      <c r="E357">
        <v>375</v>
      </c>
      <c r="F357">
        <v>2</v>
      </c>
      <c r="G357" t="s">
        <v>35</v>
      </c>
      <c r="H357">
        <v>1</v>
      </c>
      <c r="I357" t="s">
        <v>35</v>
      </c>
      <c r="J357">
        <v>15</v>
      </c>
      <c r="K357">
        <v>6</v>
      </c>
      <c r="L357">
        <v>9</v>
      </c>
      <c r="M357">
        <v>2</v>
      </c>
      <c r="N357">
        <v>4</v>
      </c>
      <c r="O357">
        <v>0</v>
      </c>
      <c r="Q357" t="str">
        <f t="shared" si="50"/>
        <v>xG Cukup Sedikit</v>
      </c>
      <c r="R357" t="str">
        <f t="shared" si="51"/>
        <v>Possession Cukup Sedikit</v>
      </c>
      <c r="S357" t="str">
        <f t="shared" si="52"/>
        <v>Total Pass Cukup Sedikit</v>
      </c>
      <c r="T357" t="str">
        <f t="shared" si="53"/>
        <v>Pass Sukses Cukup Sedikit</v>
      </c>
      <c r="U357" t="str">
        <f t="shared" si="54"/>
        <v>Total Shot Cukup Sedikit</v>
      </c>
      <c r="V357" t="str">
        <f t="shared" si="57"/>
        <v>Shot on Target Tinggi</v>
      </c>
      <c r="W357" t="str">
        <f t="shared" si="58"/>
        <v>Fouls Normal</v>
      </c>
      <c r="X357" t="str">
        <f t="shared" si="59"/>
        <v>Corner Rendah</v>
      </c>
      <c r="Y357" t="str">
        <f t="shared" si="55"/>
        <v>Yellow Card Tinggi</v>
      </c>
      <c r="Z357" t="str">
        <f t="shared" si="56"/>
        <v>Red Card Rendah</v>
      </c>
    </row>
    <row r="358" spans="1:26" x14ac:dyDescent="0.25">
      <c r="A358" t="s">
        <v>33</v>
      </c>
      <c r="B358">
        <v>2.1</v>
      </c>
      <c r="C358">
        <v>52</v>
      </c>
      <c r="D358">
        <v>553</v>
      </c>
      <c r="E358">
        <v>481</v>
      </c>
      <c r="F358">
        <v>0</v>
      </c>
      <c r="G358" t="s">
        <v>40</v>
      </c>
      <c r="H358">
        <v>0</v>
      </c>
      <c r="I358" t="s">
        <v>40</v>
      </c>
      <c r="J358">
        <v>20</v>
      </c>
      <c r="K358">
        <v>5</v>
      </c>
      <c r="L358">
        <v>3</v>
      </c>
      <c r="M358">
        <v>8</v>
      </c>
      <c r="N358">
        <v>0</v>
      </c>
      <c r="O358">
        <v>0</v>
      </c>
      <c r="Q358" t="str">
        <f t="shared" si="50"/>
        <v>xG Cukup Sedikit</v>
      </c>
      <c r="R358" t="str">
        <f t="shared" si="51"/>
        <v>Possession Cukup Banyak</v>
      </c>
      <c r="S358" t="str">
        <f t="shared" si="52"/>
        <v>Total Pass Cukup Banyak</v>
      </c>
      <c r="T358" t="str">
        <f t="shared" si="53"/>
        <v>Pass Sukses Cukup Banyak</v>
      </c>
      <c r="U358" t="str">
        <f t="shared" si="54"/>
        <v>Total Shot Cukup Banyak</v>
      </c>
      <c r="V358" t="str">
        <f t="shared" si="57"/>
        <v>Shot on Target Tinggi</v>
      </c>
      <c r="W358" t="str">
        <f t="shared" si="58"/>
        <v>Fouls Rendah</v>
      </c>
      <c r="X358" t="str">
        <f t="shared" si="59"/>
        <v>Corner Tinggi</v>
      </c>
      <c r="Y358" t="str">
        <f t="shared" si="55"/>
        <v>Yellow Card Rendah</v>
      </c>
      <c r="Z358" t="str">
        <f t="shared" si="56"/>
        <v>Red Card Rendah</v>
      </c>
    </row>
    <row r="359" spans="1:26" x14ac:dyDescent="0.25">
      <c r="A359" t="s">
        <v>48</v>
      </c>
      <c r="B359">
        <v>1.3</v>
      </c>
      <c r="C359">
        <v>55</v>
      </c>
      <c r="D359">
        <v>478</v>
      </c>
      <c r="E359">
        <v>389</v>
      </c>
      <c r="F359">
        <v>2</v>
      </c>
      <c r="G359" t="s">
        <v>36</v>
      </c>
      <c r="H359">
        <v>1</v>
      </c>
      <c r="I359" t="s">
        <v>36</v>
      </c>
      <c r="J359">
        <v>15</v>
      </c>
      <c r="K359">
        <v>4</v>
      </c>
      <c r="L359">
        <v>11</v>
      </c>
      <c r="M359">
        <v>4</v>
      </c>
      <c r="N359">
        <v>3</v>
      </c>
      <c r="O359">
        <v>0</v>
      </c>
      <c r="Q359" t="str">
        <f t="shared" si="50"/>
        <v>xG Sangat Sedikit</v>
      </c>
      <c r="R359" t="str">
        <f t="shared" si="51"/>
        <v>Possession Cukup Banyak</v>
      </c>
      <c r="S359" t="str">
        <f t="shared" si="52"/>
        <v>Total Pass Cukup Sedikit</v>
      </c>
      <c r="T359" t="str">
        <f t="shared" si="53"/>
        <v>Pass Sukses Cukup Sedikit</v>
      </c>
      <c r="U359" t="str">
        <f t="shared" si="54"/>
        <v>Total Shot Cukup Sedikit</v>
      </c>
      <c r="V359" t="str">
        <f t="shared" si="57"/>
        <v>Shot on Target Normal</v>
      </c>
      <c r="W359" t="str">
        <f t="shared" si="58"/>
        <v>Fouls Normal</v>
      </c>
      <c r="X359" t="str">
        <f t="shared" si="59"/>
        <v>Corner Rendah</v>
      </c>
      <c r="Y359" t="str">
        <f t="shared" si="55"/>
        <v>Yellow Card Tinggi</v>
      </c>
      <c r="Z359" t="str">
        <f t="shared" si="56"/>
        <v>Red Card Rendah</v>
      </c>
    </row>
    <row r="360" spans="1:26" x14ac:dyDescent="0.25">
      <c r="A360" t="s">
        <v>60</v>
      </c>
      <c r="B360">
        <v>0.7</v>
      </c>
      <c r="C360">
        <v>48</v>
      </c>
      <c r="D360">
        <v>412</v>
      </c>
      <c r="E360">
        <v>313</v>
      </c>
      <c r="F360">
        <v>0</v>
      </c>
      <c r="G360" t="s">
        <v>40</v>
      </c>
      <c r="H360">
        <v>0</v>
      </c>
      <c r="I360" t="s">
        <v>40</v>
      </c>
      <c r="J360">
        <v>8</v>
      </c>
      <c r="K360">
        <v>1</v>
      </c>
      <c r="L360">
        <v>12</v>
      </c>
      <c r="M360">
        <v>4</v>
      </c>
      <c r="N360">
        <v>1</v>
      </c>
      <c r="O360">
        <v>0</v>
      </c>
      <c r="Q360" t="str">
        <f t="shared" si="50"/>
        <v>xG Sangat Sedikit</v>
      </c>
      <c r="R360" t="str">
        <f t="shared" si="51"/>
        <v>Possession Cukup Sedikit</v>
      </c>
      <c r="S360" t="str">
        <f t="shared" si="52"/>
        <v>Total Pass Cukup Sedikit</v>
      </c>
      <c r="T360" t="str">
        <f t="shared" si="53"/>
        <v>Pass Sukses Cukup Sedikit</v>
      </c>
      <c r="U360" t="str">
        <f t="shared" si="54"/>
        <v>Total Shot Sangat Sedikit</v>
      </c>
      <c r="V360" t="str">
        <f t="shared" si="57"/>
        <v>Shot on Target Rendah</v>
      </c>
      <c r="W360" t="str">
        <f t="shared" si="58"/>
        <v>Fouls Tinggi</v>
      </c>
      <c r="X360" t="str">
        <f t="shared" si="59"/>
        <v>Corner Rendah</v>
      </c>
      <c r="Y360" t="str">
        <f t="shared" si="55"/>
        <v>Yellow Card Rendah</v>
      </c>
      <c r="Z360" t="str">
        <f t="shared" si="56"/>
        <v>Red Card Rendah</v>
      </c>
    </row>
    <row r="361" spans="1:26" x14ac:dyDescent="0.25">
      <c r="A361" t="s">
        <v>39</v>
      </c>
      <c r="B361">
        <v>2.4</v>
      </c>
      <c r="C361">
        <v>45</v>
      </c>
      <c r="D361">
        <v>390</v>
      </c>
      <c r="E361">
        <v>313</v>
      </c>
      <c r="F361">
        <v>2</v>
      </c>
      <c r="G361" t="s">
        <v>36</v>
      </c>
      <c r="H361">
        <v>2</v>
      </c>
      <c r="I361" t="s">
        <v>35</v>
      </c>
      <c r="J361">
        <v>14</v>
      </c>
      <c r="K361">
        <v>5</v>
      </c>
      <c r="L361">
        <v>13</v>
      </c>
      <c r="M361">
        <v>3</v>
      </c>
      <c r="N361">
        <v>1</v>
      </c>
      <c r="O361">
        <v>0</v>
      </c>
      <c r="Q361" t="str">
        <f t="shared" si="50"/>
        <v>xG Cukup Sedikit</v>
      </c>
      <c r="R361" t="str">
        <f t="shared" si="51"/>
        <v>Possession Cukup Sedikit</v>
      </c>
      <c r="S361" t="str">
        <f t="shared" si="52"/>
        <v>Total Pass Cukup Sedikit</v>
      </c>
      <c r="T361" t="str">
        <f t="shared" si="53"/>
        <v>Pass Sukses Cukup Sedikit</v>
      </c>
      <c r="U361" t="str">
        <f t="shared" si="54"/>
        <v>Total Shot Cukup Sedikit</v>
      </c>
      <c r="V361" t="str">
        <f t="shared" si="57"/>
        <v>Shot on Target Tinggi</v>
      </c>
      <c r="W361" t="str">
        <f t="shared" si="58"/>
        <v>Fouls Tinggi</v>
      </c>
      <c r="X361" t="str">
        <f t="shared" si="59"/>
        <v>Corner Rendah</v>
      </c>
      <c r="Y361" t="str">
        <f t="shared" si="55"/>
        <v>Yellow Card Rendah</v>
      </c>
      <c r="Z361" t="str">
        <f t="shared" si="56"/>
        <v>Red Card Rendah</v>
      </c>
    </row>
    <row r="362" spans="1:26" x14ac:dyDescent="0.25">
      <c r="A362" t="s">
        <v>52</v>
      </c>
      <c r="B362">
        <v>1.4</v>
      </c>
      <c r="C362">
        <v>67</v>
      </c>
      <c r="D362">
        <v>626</v>
      </c>
      <c r="E362">
        <v>542</v>
      </c>
      <c r="F362">
        <v>2</v>
      </c>
      <c r="G362" t="s">
        <v>35</v>
      </c>
      <c r="H362">
        <v>0</v>
      </c>
      <c r="I362" t="s">
        <v>36</v>
      </c>
      <c r="J362">
        <v>18</v>
      </c>
      <c r="K362">
        <v>7</v>
      </c>
      <c r="L362">
        <v>5</v>
      </c>
      <c r="M362">
        <v>9</v>
      </c>
      <c r="N362">
        <v>1</v>
      </c>
      <c r="O362">
        <v>0</v>
      </c>
      <c r="Q362" t="str">
        <f t="shared" si="50"/>
        <v>xG Sangat Sedikit</v>
      </c>
      <c r="R362" t="str">
        <f t="shared" si="51"/>
        <v>Possession Sangat Banyak</v>
      </c>
      <c r="S362" t="str">
        <f t="shared" si="52"/>
        <v>Total Pass Cukup Banyak</v>
      </c>
      <c r="T362" t="str">
        <f t="shared" si="53"/>
        <v>Pass Sukses Cukup Banyak</v>
      </c>
      <c r="U362" t="str">
        <f t="shared" si="54"/>
        <v>Total Shot Cukup Sedikit</v>
      </c>
      <c r="V362" t="str">
        <f t="shared" si="57"/>
        <v>Shot on Target Tinggi</v>
      </c>
      <c r="W362" t="str">
        <f t="shared" si="58"/>
        <v>Fouls Rendah</v>
      </c>
      <c r="X362" t="str">
        <f t="shared" si="59"/>
        <v>Corner Tinggi</v>
      </c>
      <c r="Y362" t="str">
        <f t="shared" si="55"/>
        <v>Yellow Card Rendah</v>
      </c>
      <c r="Z362" t="str">
        <f t="shared" si="56"/>
        <v>Red Card Rendah</v>
      </c>
    </row>
    <row r="363" spans="1:26" x14ac:dyDescent="0.25">
      <c r="A363" t="s">
        <v>57</v>
      </c>
      <c r="B363">
        <v>0.8</v>
      </c>
      <c r="C363">
        <v>47</v>
      </c>
      <c r="D363">
        <v>441</v>
      </c>
      <c r="E363">
        <v>346</v>
      </c>
      <c r="F363">
        <v>1</v>
      </c>
      <c r="G363" t="s">
        <v>35</v>
      </c>
      <c r="H363">
        <v>0</v>
      </c>
      <c r="I363" t="s">
        <v>36</v>
      </c>
      <c r="J363">
        <v>11</v>
      </c>
      <c r="K363">
        <v>3</v>
      </c>
      <c r="L363">
        <v>10</v>
      </c>
      <c r="M363">
        <v>7</v>
      </c>
      <c r="N363">
        <v>1</v>
      </c>
      <c r="O363">
        <v>0</v>
      </c>
      <c r="Q363" t="str">
        <f t="shared" si="50"/>
        <v>xG Sangat Sedikit</v>
      </c>
      <c r="R363" t="str">
        <f t="shared" si="51"/>
        <v>Possession Cukup Sedikit</v>
      </c>
      <c r="S363" t="str">
        <f t="shared" si="52"/>
        <v>Total Pass Cukup Sedikit</v>
      </c>
      <c r="T363" t="str">
        <f t="shared" si="53"/>
        <v>Pass Sukses Cukup Sedikit</v>
      </c>
      <c r="U363" t="str">
        <f t="shared" si="54"/>
        <v>Total Shot Cukup Sedikit</v>
      </c>
      <c r="V363" t="str">
        <f t="shared" si="57"/>
        <v>Shot on Target Rendah</v>
      </c>
      <c r="W363" t="str">
        <f t="shared" si="58"/>
        <v>Fouls Normal</v>
      </c>
      <c r="X363" t="str">
        <f t="shared" si="59"/>
        <v>Corner Tinggi</v>
      </c>
      <c r="Y363" t="str">
        <f t="shared" si="55"/>
        <v>Yellow Card Rendah</v>
      </c>
      <c r="Z363" t="str">
        <f t="shared" si="56"/>
        <v>Red Card Rendah</v>
      </c>
    </row>
    <row r="364" spans="1:26" x14ac:dyDescent="0.25">
      <c r="A364" t="s">
        <v>44</v>
      </c>
      <c r="B364">
        <v>2.7</v>
      </c>
      <c r="C364">
        <v>50</v>
      </c>
      <c r="D364">
        <v>541</v>
      </c>
      <c r="E364">
        <v>458</v>
      </c>
      <c r="F364">
        <v>2</v>
      </c>
      <c r="G364" t="s">
        <v>35</v>
      </c>
      <c r="H364">
        <v>2</v>
      </c>
      <c r="I364" t="s">
        <v>35</v>
      </c>
      <c r="J364">
        <v>13</v>
      </c>
      <c r="K364">
        <v>5</v>
      </c>
      <c r="L364">
        <v>6</v>
      </c>
      <c r="M364">
        <v>4</v>
      </c>
      <c r="N364">
        <v>1</v>
      </c>
      <c r="O364">
        <v>0</v>
      </c>
      <c r="Q364" t="str">
        <f t="shared" si="50"/>
        <v>xG Cukup Sedikit</v>
      </c>
      <c r="R364" t="str">
        <f t="shared" si="51"/>
        <v>Possession Cukup Sedikit</v>
      </c>
      <c r="S364" t="str">
        <f t="shared" si="52"/>
        <v>Total Pass Cukup Banyak</v>
      </c>
      <c r="T364" t="str">
        <f t="shared" si="53"/>
        <v>Pass Sukses Cukup Banyak</v>
      </c>
      <c r="U364" t="str">
        <f t="shared" si="54"/>
        <v>Total Shot Cukup Sedikit</v>
      </c>
      <c r="V364" t="str">
        <f t="shared" si="57"/>
        <v>Shot on Target Tinggi</v>
      </c>
      <c r="W364" t="str">
        <f t="shared" si="58"/>
        <v>Fouls Rendah</v>
      </c>
      <c r="X364" t="str">
        <f t="shared" si="59"/>
        <v>Corner Rendah</v>
      </c>
      <c r="Y364" t="str">
        <f t="shared" si="55"/>
        <v>Yellow Card Rendah</v>
      </c>
      <c r="Z364" t="str">
        <f t="shared" si="56"/>
        <v>Red Card Rendah</v>
      </c>
    </row>
    <row r="365" spans="1:26" x14ac:dyDescent="0.25">
      <c r="A365" t="s">
        <v>51</v>
      </c>
      <c r="B365">
        <v>1.1000000000000001</v>
      </c>
      <c r="C365">
        <v>60</v>
      </c>
      <c r="D365">
        <v>554</v>
      </c>
      <c r="E365">
        <v>465</v>
      </c>
      <c r="F365">
        <v>1</v>
      </c>
      <c r="G365" t="s">
        <v>40</v>
      </c>
      <c r="H365">
        <v>0</v>
      </c>
      <c r="I365" t="s">
        <v>40</v>
      </c>
      <c r="J365">
        <v>16</v>
      </c>
      <c r="K365">
        <v>5</v>
      </c>
      <c r="L365">
        <v>14</v>
      </c>
      <c r="M365">
        <v>8</v>
      </c>
      <c r="N365">
        <v>6</v>
      </c>
      <c r="O365">
        <v>0</v>
      </c>
      <c r="Q365" t="str">
        <f t="shared" si="50"/>
        <v>xG Sangat Sedikit</v>
      </c>
      <c r="R365" t="str">
        <f t="shared" si="51"/>
        <v>Possession Cukup Banyak</v>
      </c>
      <c r="S365" t="str">
        <f t="shared" si="52"/>
        <v>Total Pass Cukup Banyak</v>
      </c>
      <c r="T365" t="str">
        <f t="shared" si="53"/>
        <v>Pass Sukses Cukup Banyak</v>
      </c>
      <c r="U365" t="str">
        <f t="shared" si="54"/>
        <v>Total Shot Cukup Sedikit</v>
      </c>
      <c r="V365" t="str">
        <f t="shared" si="57"/>
        <v>Shot on Target Tinggi</v>
      </c>
      <c r="W365" t="str">
        <f t="shared" si="58"/>
        <v>Fouls Tinggi</v>
      </c>
      <c r="X365" t="str">
        <f t="shared" si="59"/>
        <v>Corner Tinggi</v>
      </c>
      <c r="Y365" t="str">
        <f t="shared" si="55"/>
        <v>Yellow Card Tinggi</v>
      </c>
      <c r="Z365" t="str">
        <f t="shared" si="56"/>
        <v>Red Card Rendah</v>
      </c>
    </row>
    <row r="366" spans="1:26" x14ac:dyDescent="0.25">
      <c r="A366" t="s">
        <v>54</v>
      </c>
      <c r="B366">
        <v>2.5</v>
      </c>
      <c r="C366">
        <v>51</v>
      </c>
      <c r="D366">
        <v>416</v>
      </c>
      <c r="E366">
        <v>313</v>
      </c>
      <c r="F366">
        <v>2</v>
      </c>
      <c r="G366" t="s">
        <v>40</v>
      </c>
      <c r="H366">
        <v>2</v>
      </c>
      <c r="I366" t="s">
        <v>35</v>
      </c>
      <c r="J366">
        <v>11</v>
      </c>
      <c r="K366">
        <v>6</v>
      </c>
      <c r="L366">
        <v>12</v>
      </c>
      <c r="M366">
        <v>5</v>
      </c>
      <c r="N366">
        <v>4</v>
      </c>
      <c r="O366">
        <v>0</v>
      </c>
      <c r="Q366" t="str">
        <f t="shared" si="50"/>
        <v>xG Cukup Sedikit</v>
      </c>
      <c r="R366" t="str">
        <f t="shared" si="51"/>
        <v>Possession Cukup Banyak</v>
      </c>
      <c r="S366" t="str">
        <f t="shared" si="52"/>
        <v>Total Pass Cukup Sedikit</v>
      </c>
      <c r="T366" t="str">
        <f t="shared" si="53"/>
        <v>Pass Sukses Cukup Sedikit</v>
      </c>
      <c r="U366" t="str">
        <f t="shared" si="54"/>
        <v>Total Shot Cukup Sedikit</v>
      </c>
      <c r="V366" t="str">
        <f t="shared" si="57"/>
        <v>Shot on Target Tinggi</v>
      </c>
      <c r="W366" t="str">
        <f t="shared" si="58"/>
        <v>Fouls Tinggi</v>
      </c>
      <c r="X366" t="str">
        <f t="shared" si="59"/>
        <v>Corner Normal</v>
      </c>
      <c r="Y366" t="str">
        <f t="shared" si="55"/>
        <v>Yellow Card Tinggi</v>
      </c>
      <c r="Z366" t="str">
        <f t="shared" si="56"/>
        <v>Red Card Rendah</v>
      </c>
    </row>
    <row r="367" spans="1:26" x14ac:dyDescent="0.25">
      <c r="A367" t="s">
        <v>59</v>
      </c>
      <c r="B367">
        <v>0.8</v>
      </c>
      <c r="C367">
        <v>50</v>
      </c>
      <c r="D367">
        <v>486</v>
      </c>
      <c r="E367">
        <v>403</v>
      </c>
      <c r="F367">
        <v>2</v>
      </c>
      <c r="G367" t="s">
        <v>35</v>
      </c>
      <c r="H367">
        <v>1</v>
      </c>
      <c r="I367" t="s">
        <v>35</v>
      </c>
      <c r="J367">
        <v>9</v>
      </c>
      <c r="K367">
        <v>3</v>
      </c>
      <c r="L367">
        <v>15</v>
      </c>
      <c r="M367">
        <v>2</v>
      </c>
      <c r="N367">
        <v>1</v>
      </c>
      <c r="O367">
        <v>0</v>
      </c>
      <c r="Q367" t="str">
        <f t="shared" si="50"/>
        <v>xG Sangat Sedikit</v>
      </c>
      <c r="R367" t="str">
        <f t="shared" si="51"/>
        <v>Possession Cukup Sedikit</v>
      </c>
      <c r="S367" t="str">
        <f t="shared" si="52"/>
        <v>Total Pass Cukup Sedikit</v>
      </c>
      <c r="T367" t="str">
        <f t="shared" si="53"/>
        <v>Pass Sukses Cukup Sedikit</v>
      </c>
      <c r="U367" t="str">
        <f t="shared" si="54"/>
        <v>Total Shot Sangat Sedikit</v>
      </c>
      <c r="V367" t="str">
        <f t="shared" si="57"/>
        <v>Shot on Target Rendah</v>
      </c>
      <c r="W367" t="str">
        <f t="shared" si="58"/>
        <v>Fouls Tinggi</v>
      </c>
      <c r="X367" t="str">
        <f t="shared" si="59"/>
        <v>Corner Rendah</v>
      </c>
      <c r="Y367" t="str">
        <f t="shared" si="55"/>
        <v>Yellow Card Rendah</v>
      </c>
      <c r="Z367" t="str">
        <f t="shared" si="56"/>
        <v>Red Card Rendah</v>
      </c>
    </row>
    <row r="368" spans="1:26" x14ac:dyDescent="0.25">
      <c r="A368" t="s">
        <v>42</v>
      </c>
      <c r="B368">
        <v>0.6</v>
      </c>
      <c r="C368">
        <v>51</v>
      </c>
      <c r="D368">
        <v>447</v>
      </c>
      <c r="E368">
        <v>363</v>
      </c>
      <c r="F368">
        <v>1</v>
      </c>
      <c r="G368" t="s">
        <v>35</v>
      </c>
      <c r="H368">
        <v>0</v>
      </c>
      <c r="I368" t="s">
        <v>36</v>
      </c>
      <c r="J368">
        <v>12</v>
      </c>
      <c r="K368">
        <v>4</v>
      </c>
      <c r="L368">
        <v>9</v>
      </c>
      <c r="M368">
        <v>10</v>
      </c>
      <c r="N368">
        <v>3</v>
      </c>
      <c r="O368">
        <v>0</v>
      </c>
      <c r="Q368" t="str">
        <f t="shared" si="50"/>
        <v>xG Sangat Sedikit</v>
      </c>
      <c r="R368" t="str">
        <f t="shared" si="51"/>
        <v>Possession Cukup Banyak</v>
      </c>
      <c r="S368" t="str">
        <f t="shared" si="52"/>
        <v>Total Pass Cukup Sedikit</v>
      </c>
      <c r="T368" t="str">
        <f t="shared" si="53"/>
        <v>Pass Sukses Cukup Sedikit</v>
      </c>
      <c r="U368" t="str">
        <f t="shared" si="54"/>
        <v>Total Shot Cukup Sedikit</v>
      </c>
      <c r="V368" t="str">
        <f t="shared" si="57"/>
        <v>Shot on Target Normal</v>
      </c>
      <c r="W368" t="str">
        <f t="shared" si="58"/>
        <v>Fouls Normal</v>
      </c>
      <c r="X368" t="str">
        <f t="shared" si="59"/>
        <v>Corner Tinggi</v>
      </c>
      <c r="Y368" t="str">
        <f t="shared" si="55"/>
        <v>Yellow Card Tinggi</v>
      </c>
      <c r="Z368" t="str">
        <f t="shared" si="56"/>
        <v>Red Card Rendah</v>
      </c>
    </row>
    <row r="369" spans="1:26" x14ac:dyDescent="0.25">
      <c r="A369" t="s">
        <v>45</v>
      </c>
      <c r="B369">
        <v>2.2000000000000002</v>
      </c>
      <c r="C369">
        <v>49</v>
      </c>
      <c r="D369">
        <v>489</v>
      </c>
      <c r="E369">
        <v>410</v>
      </c>
      <c r="F369">
        <v>3</v>
      </c>
      <c r="G369" t="s">
        <v>35</v>
      </c>
      <c r="H369">
        <v>1</v>
      </c>
      <c r="I369" t="s">
        <v>40</v>
      </c>
      <c r="J369">
        <v>25</v>
      </c>
      <c r="K369">
        <v>12</v>
      </c>
      <c r="L369">
        <v>9</v>
      </c>
      <c r="M369">
        <v>3</v>
      </c>
      <c r="N369">
        <v>1</v>
      </c>
      <c r="O369">
        <v>0</v>
      </c>
      <c r="Q369" t="str">
        <f t="shared" si="50"/>
        <v>xG Cukup Sedikit</v>
      </c>
      <c r="R369" t="str">
        <f t="shared" si="51"/>
        <v>Possession Cukup Sedikit</v>
      </c>
      <c r="S369" t="str">
        <f t="shared" si="52"/>
        <v>Total Pass Cukup Sedikit</v>
      </c>
      <c r="T369" t="str">
        <f t="shared" si="53"/>
        <v>Pass Sukses Cukup Sedikit</v>
      </c>
      <c r="U369" t="str">
        <f t="shared" si="54"/>
        <v>Total Shot Cukup Banyak</v>
      </c>
      <c r="V369" t="str">
        <f t="shared" si="57"/>
        <v>Shot on Target Tinggi</v>
      </c>
      <c r="W369" t="str">
        <f t="shared" si="58"/>
        <v>Fouls Normal</v>
      </c>
      <c r="X369" t="str">
        <f t="shared" si="59"/>
        <v>Corner Rendah</v>
      </c>
      <c r="Y369" t="str">
        <f t="shared" si="55"/>
        <v>Yellow Card Rendah</v>
      </c>
      <c r="Z369" t="str">
        <f t="shared" si="56"/>
        <v>Red Card Rendah</v>
      </c>
    </row>
    <row r="370" spans="1:26" x14ac:dyDescent="0.25">
      <c r="A370" t="s">
        <v>55</v>
      </c>
      <c r="B370">
        <v>1.7</v>
      </c>
      <c r="C370">
        <v>31</v>
      </c>
      <c r="D370">
        <v>307</v>
      </c>
      <c r="E370">
        <v>227</v>
      </c>
      <c r="F370">
        <v>4</v>
      </c>
      <c r="G370" t="s">
        <v>35</v>
      </c>
      <c r="H370">
        <v>2</v>
      </c>
      <c r="I370" t="s">
        <v>35</v>
      </c>
      <c r="J370">
        <v>14</v>
      </c>
      <c r="K370">
        <v>10</v>
      </c>
      <c r="L370">
        <v>14</v>
      </c>
      <c r="M370">
        <v>0</v>
      </c>
      <c r="N370">
        <v>1</v>
      </c>
      <c r="O370">
        <v>0</v>
      </c>
      <c r="Q370" t="str">
        <f t="shared" si="50"/>
        <v>xG Cukup Sedikit</v>
      </c>
      <c r="R370" t="str">
        <f t="shared" si="51"/>
        <v>Possession Sangat Sedikit</v>
      </c>
      <c r="S370" t="str">
        <f t="shared" si="52"/>
        <v>Total Pass Sangat Sedikit</v>
      </c>
      <c r="T370" t="str">
        <f t="shared" si="53"/>
        <v>Pass Sukses Sangat Sedikit</v>
      </c>
      <c r="U370" t="str">
        <f t="shared" si="54"/>
        <v>Total Shot Cukup Sedikit</v>
      </c>
      <c r="V370" t="str">
        <f t="shared" si="57"/>
        <v>Shot on Target Tinggi</v>
      </c>
      <c r="W370" t="str">
        <f t="shared" si="58"/>
        <v>Fouls Tinggi</v>
      </c>
      <c r="X370" t="str">
        <f t="shared" si="59"/>
        <v>Corner Rendah</v>
      </c>
      <c r="Y370" t="str">
        <f t="shared" si="55"/>
        <v>Yellow Card Rendah</v>
      </c>
      <c r="Z370" t="str">
        <f t="shared" si="56"/>
        <v>Red Card Rendah</v>
      </c>
    </row>
    <row r="371" spans="1:26" x14ac:dyDescent="0.25">
      <c r="A371" t="s">
        <v>58</v>
      </c>
      <c r="B371">
        <v>1.5</v>
      </c>
      <c r="C371">
        <v>57</v>
      </c>
      <c r="D371">
        <v>640</v>
      </c>
      <c r="E371">
        <v>571</v>
      </c>
      <c r="F371">
        <v>3</v>
      </c>
      <c r="G371" t="s">
        <v>35</v>
      </c>
      <c r="H371">
        <v>2</v>
      </c>
      <c r="I371" t="s">
        <v>35</v>
      </c>
      <c r="J371">
        <v>12</v>
      </c>
      <c r="K371">
        <v>5</v>
      </c>
      <c r="L371">
        <v>7</v>
      </c>
      <c r="M371">
        <v>3</v>
      </c>
      <c r="N371">
        <v>1</v>
      </c>
      <c r="O371">
        <v>1</v>
      </c>
      <c r="Q371" t="str">
        <f t="shared" si="50"/>
        <v>xG Cukup Sedikit</v>
      </c>
      <c r="R371" t="str">
        <f t="shared" si="51"/>
        <v>Possession Cukup Banyak</v>
      </c>
      <c r="S371" t="str">
        <f t="shared" si="52"/>
        <v>Total Pass Cukup Banyak</v>
      </c>
      <c r="T371" t="str">
        <f t="shared" si="53"/>
        <v>Pass Sukses Cukup Banyak</v>
      </c>
      <c r="U371" t="str">
        <f t="shared" si="54"/>
        <v>Total Shot Cukup Sedikit</v>
      </c>
      <c r="V371" t="str">
        <f t="shared" si="57"/>
        <v>Shot on Target Tinggi</v>
      </c>
      <c r="W371" t="str">
        <f t="shared" si="58"/>
        <v>Fouls Rendah</v>
      </c>
      <c r="X371" t="str">
        <f t="shared" si="59"/>
        <v>Corner Rendah</v>
      </c>
      <c r="Y371" t="str">
        <f t="shared" si="55"/>
        <v>Yellow Card Rendah</v>
      </c>
      <c r="Z371" t="str">
        <f t="shared" si="56"/>
        <v>Red Card Tinggi</v>
      </c>
    </row>
    <row r="372" spans="1:26" x14ac:dyDescent="0.25">
      <c r="A372" t="s">
        <v>49</v>
      </c>
      <c r="B372">
        <v>1.6</v>
      </c>
      <c r="C372">
        <v>63</v>
      </c>
      <c r="D372">
        <v>547</v>
      </c>
      <c r="E372">
        <v>440</v>
      </c>
      <c r="F372">
        <v>2</v>
      </c>
      <c r="G372" t="s">
        <v>35</v>
      </c>
      <c r="H372">
        <v>0</v>
      </c>
      <c r="I372" t="s">
        <v>36</v>
      </c>
      <c r="J372">
        <v>20</v>
      </c>
      <c r="K372">
        <v>7</v>
      </c>
      <c r="L372">
        <v>19</v>
      </c>
      <c r="M372">
        <v>6</v>
      </c>
      <c r="N372">
        <v>0</v>
      </c>
      <c r="O372">
        <v>0</v>
      </c>
      <c r="Q372" t="str">
        <f t="shared" si="50"/>
        <v>xG Cukup Sedikit</v>
      </c>
      <c r="R372" t="str">
        <f t="shared" si="51"/>
        <v>Possession Cukup Banyak</v>
      </c>
      <c r="S372" t="str">
        <f t="shared" si="52"/>
        <v>Total Pass Cukup Banyak</v>
      </c>
      <c r="T372" t="str">
        <f t="shared" si="53"/>
        <v>Pass Sukses Cukup Banyak</v>
      </c>
      <c r="U372" t="str">
        <f t="shared" si="54"/>
        <v>Total Shot Cukup Banyak</v>
      </c>
      <c r="V372" t="str">
        <f t="shared" si="57"/>
        <v>Shot on Target Tinggi</v>
      </c>
      <c r="W372" t="str">
        <f t="shared" si="58"/>
        <v>Fouls Tinggi</v>
      </c>
      <c r="X372" t="str">
        <f t="shared" si="59"/>
        <v>Corner Tinggi</v>
      </c>
      <c r="Y372" t="str">
        <f t="shared" si="55"/>
        <v>Yellow Card Rendah</v>
      </c>
      <c r="Z372" t="str">
        <f t="shared" si="56"/>
        <v>Red Card Rendah</v>
      </c>
    </row>
    <row r="373" spans="1:26" x14ac:dyDescent="0.25">
      <c r="A373" t="s">
        <v>34</v>
      </c>
      <c r="B373">
        <v>1.3</v>
      </c>
      <c r="C373">
        <v>47</v>
      </c>
      <c r="D373">
        <v>477</v>
      </c>
      <c r="E373">
        <v>399</v>
      </c>
      <c r="F373">
        <v>0</v>
      </c>
      <c r="G373" t="s">
        <v>40</v>
      </c>
      <c r="H373">
        <v>0</v>
      </c>
      <c r="I373" t="s">
        <v>40</v>
      </c>
      <c r="J373">
        <v>13</v>
      </c>
      <c r="K373">
        <v>3</v>
      </c>
      <c r="L373">
        <v>11</v>
      </c>
      <c r="M373">
        <v>1</v>
      </c>
      <c r="N373">
        <v>0</v>
      </c>
      <c r="O373">
        <v>0</v>
      </c>
      <c r="Q373" t="str">
        <f t="shared" si="50"/>
        <v>xG Sangat Sedikit</v>
      </c>
      <c r="R373" t="str">
        <f t="shared" si="51"/>
        <v>Possession Cukup Sedikit</v>
      </c>
      <c r="S373" t="str">
        <f t="shared" si="52"/>
        <v>Total Pass Cukup Sedikit</v>
      </c>
      <c r="T373" t="str">
        <f t="shared" si="53"/>
        <v>Pass Sukses Cukup Sedikit</v>
      </c>
      <c r="U373" t="str">
        <f t="shared" si="54"/>
        <v>Total Shot Cukup Sedikit</v>
      </c>
      <c r="V373" t="str">
        <f t="shared" si="57"/>
        <v>Shot on Target Rendah</v>
      </c>
      <c r="W373" t="str">
        <f t="shared" si="58"/>
        <v>Fouls Normal</v>
      </c>
      <c r="X373" t="str">
        <f t="shared" si="59"/>
        <v>Corner Rendah</v>
      </c>
      <c r="Y373" t="str">
        <f t="shared" si="55"/>
        <v>Yellow Card Rendah</v>
      </c>
      <c r="Z373" t="str">
        <f t="shared" si="56"/>
        <v>Red Card Rendah</v>
      </c>
    </row>
    <row r="374" spans="1:26" x14ac:dyDescent="0.25">
      <c r="A374" t="s">
        <v>38</v>
      </c>
      <c r="B374">
        <v>0.7</v>
      </c>
      <c r="C374">
        <v>42</v>
      </c>
      <c r="D374">
        <v>464</v>
      </c>
      <c r="E374">
        <v>374</v>
      </c>
      <c r="F374">
        <v>1</v>
      </c>
      <c r="G374" t="s">
        <v>40</v>
      </c>
      <c r="H374">
        <v>0</v>
      </c>
      <c r="I374" t="s">
        <v>40</v>
      </c>
      <c r="J374">
        <v>14</v>
      </c>
      <c r="K374">
        <v>4</v>
      </c>
      <c r="L374">
        <v>10</v>
      </c>
      <c r="M374">
        <v>4</v>
      </c>
      <c r="N374">
        <v>1</v>
      </c>
      <c r="O374">
        <v>0</v>
      </c>
      <c r="Q374" t="str">
        <f t="shared" si="50"/>
        <v>xG Sangat Sedikit</v>
      </c>
      <c r="R374" t="str">
        <f t="shared" si="51"/>
        <v>Possession Cukup Sedikit</v>
      </c>
      <c r="S374" t="str">
        <f t="shared" si="52"/>
        <v>Total Pass Cukup Sedikit</v>
      </c>
      <c r="T374" t="str">
        <f t="shared" si="53"/>
        <v>Pass Sukses Cukup Sedikit</v>
      </c>
      <c r="U374" t="str">
        <f t="shared" si="54"/>
        <v>Total Shot Cukup Sedikit</v>
      </c>
      <c r="V374" t="str">
        <f t="shared" si="57"/>
        <v>Shot on Target Normal</v>
      </c>
      <c r="W374" t="str">
        <f t="shared" si="58"/>
        <v>Fouls Normal</v>
      </c>
      <c r="X374" t="str">
        <f t="shared" si="59"/>
        <v>Corner Rendah</v>
      </c>
      <c r="Y374" t="str">
        <f t="shared" si="55"/>
        <v>Yellow Card Rendah</v>
      </c>
      <c r="Z374" t="str">
        <f t="shared" si="56"/>
        <v>Red Card Rendah</v>
      </c>
    </row>
    <row r="375" spans="1:26" x14ac:dyDescent="0.25">
      <c r="A375" t="s">
        <v>39</v>
      </c>
      <c r="B375">
        <v>2.1</v>
      </c>
      <c r="C375">
        <v>69</v>
      </c>
      <c r="D375">
        <v>695</v>
      </c>
      <c r="E375">
        <v>580</v>
      </c>
      <c r="F375">
        <v>1</v>
      </c>
      <c r="G375" t="s">
        <v>36</v>
      </c>
      <c r="H375">
        <v>0</v>
      </c>
      <c r="I375" t="s">
        <v>40</v>
      </c>
      <c r="J375">
        <v>14</v>
      </c>
      <c r="K375">
        <v>3</v>
      </c>
      <c r="L375">
        <v>7</v>
      </c>
      <c r="M375">
        <v>11</v>
      </c>
      <c r="N375">
        <v>1</v>
      </c>
      <c r="O375">
        <v>1</v>
      </c>
      <c r="Q375" t="str">
        <f t="shared" si="50"/>
        <v>xG Cukup Sedikit</v>
      </c>
      <c r="R375" t="str">
        <f t="shared" si="51"/>
        <v>Possession Sangat Banyak</v>
      </c>
      <c r="S375" t="str">
        <f t="shared" si="52"/>
        <v>Total Pass Sangat Banyak</v>
      </c>
      <c r="T375" t="str">
        <f t="shared" si="53"/>
        <v>Pass Sukses Cukup Banyak</v>
      </c>
      <c r="U375" t="str">
        <f t="shared" si="54"/>
        <v>Total Shot Cukup Sedikit</v>
      </c>
      <c r="V375" t="str">
        <f t="shared" si="57"/>
        <v>Shot on Target Rendah</v>
      </c>
      <c r="W375" t="str">
        <f t="shared" si="58"/>
        <v>Fouls Rendah</v>
      </c>
      <c r="X375" t="str">
        <f t="shared" si="59"/>
        <v>Corner Tinggi</v>
      </c>
      <c r="Y375" t="str">
        <f t="shared" si="55"/>
        <v>Yellow Card Rendah</v>
      </c>
      <c r="Z375" t="str">
        <f t="shared" si="56"/>
        <v>Red Card Tinggi</v>
      </c>
    </row>
    <row r="376" spans="1:26" x14ac:dyDescent="0.25">
      <c r="A376" t="s">
        <v>33</v>
      </c>
      <c r="B376">
        <v>2.9</v>
      </c>
      <c r="C376">
        <v>67</v>
      </c>
      <c r="D376">
        <v>644</v>
      </c>
      <c r="E376">
        <v>555</v>
      </c>
      <c r="F376">
        <v>2</v>
      </c>
      <c r="G376" t="s">
        <v>35</v>
      </c>
      <c r="H376">
        <v>0</v>
      </c>
      <c r="I376" t="s">
        <v>36</v>
      </c>
      <c r="J376">
        <v>25</v>
      </c>
      <c r="K376">
        <v>10</v>
      </c>
      <c r="L376">
        <v>10</v>
      </c>
      <c r="M376">
        <v>4</v>
      </c>
      <c r="N376">
        <v>2</v>
      </c>
      <c r="O376">
        <v>0</v>
      </c>
      <c r="Q376" t="str">
        <f t="shared" si="50"/>
        <v>xG Cukup Banyak</v>
      </c>
      <c r="R376" t="str">
        <f t="shared" si="51"/>
        <v>Possession Sangat Banyak</v>
      </c>
      <c r="S376" t="str">
        <f t="shared" si="52"/>
        <v>Total Pass Cukup Banyak</v>
      </c>
      <c r="T376" t="str">
        <f t="shared" si="53"/>
        <v>Pass Sukses Cukup Banyak</v>
      </c>
      <c r="U376" t="str">
        <f t="shared" si="54"/>
        <v>Total Shot Cukup Banyak</v>
      </c>
      <c r="V376" t="str">
        <f t="shared" si="57"/>
        <v>Shot on Target Tinggi</v>
      </c>
      <c r="W376" t="str">
        <f t="shared" si="58"/>
        <v>Fouls Normal</v>
      </c>
      <c r="X376" t="str">
        <f t="shared" si="59"/>
        <v>Corner Rendah</v>
      </c>
      <c r="Y376" t="str">
        <f t="shared" si="55"/>
        <v>Yellow Card Rendah</v>
      </c>
      <c r="Z376" t="str">
        <f t="shared" si="56"/>
        <v>Red Card Rendah</v>
      </c>
    </row>
    <row r="377" spans="1:26" x14ac:dyDescent="0.25">
      <c r="A377" t="s">
        <v>46</v>
      </c>
      <c r="B377">
        <v>1.2</v>
      </c>
      <c r="C377">
        <v>65</v>
      </c>
      <c r="D377">
        <v>590</v>
      </c>
      <c r="E377">
        <v>501</v>
      </c>
      <c r="F377">
        <v>0</v>
      </c>
      <c r="G377" t="s">
        <v>40</v>
      </c>
      <c r="H377">
        <v>0</v>
      </c>
      <c r="I377" t="s">
        <v>36</v>
      </c>
      <c r="J377">
        <v>17</v>
      </c>
      <c r="K377">
        <v>6</v>
      </c>
      <c r="L377">
        <v>12</v>
      </c>
      <c r="M377">
        <v>12</v>
      </c>
      <c r="N377">
        <v>1</v>
      </c>
      <c r="O377">
        <v>0</v>
      </c>
      <c r="Q377" t="str">
        <f t="shared" si="50"/>
        <v>xG Sangat Sedikit</v>
      </c>
      <c r="R377" t="str">
        <f t="shared" si="51"/>
        <v>Possession Sangat Banyak</v>
      </c>
      <c r="S377" t="str">
        <f t="shared" si="52"/>
        <v>Total Pass Cukup Banyak</v>
      </c>
      <c r="T377" t="str">
        <f t="shared" si="53"/>
        <v>Pass Sukses Cukup Banyak</v>
      </c>
      <c r="U377" t="str">
        <f t="shared" si="54"/>
        <v>Total Shot Cukup Sedikit</v>
      </c>
      <c r="V377" t="str">
        <f t="shared" si="57"/>
        <v>Shot on Target Tinggi</v>
      </c>
      <c r="W377" t="str">
        <f t="shared" si="58"/>
        <v>Fouls Tinggi</v>
      </c>
      <c r="X377" t="str">
        <f t="shared" si="59"/>
        <v>Corner Tinggi</v>
      </c>
      <c r="Y377" t="str">
        <f t="shared" si="55"/>
        <v>Yellow Card Rendah</v>
      </c>
      <c r="Z377" t="str">
        <f t="shared" si="56"/>
        <v>Red Card Rendah</v>
      </c>
    </row>
    <row r="378" spans="1:26" x14ac:dyDescent="0.25">
      <c r="A378" t="s">
        <v>48</v>
      </c>
      <c r="B378">
        <v>1.2</v>
      </c>
      <c r="C378">
        <v>52</v>
      </c>
      <c r="D378">
        <v>487</v>
      </c>
      <c r="E378">
        <v>384</v>
      </c>
      <c r="F378">
        <v>0</v>
      </c>
      <c r="G378" t="s">
        <v>40</v>
      </c>
      <c r="H378">
        <v>0</v>
      </c>
      <c r="I378" t="s">
        <v>36</v>
      </c>
      <c r="J378">
        <v>10</v>
      </c>
      <c r="K378">
        <v>2</v>
      </c>
      <c r="L378">
        <v>10</v>
      </c>
      <c r="M378">
        <v>7</v>
      </c>
      <c r="N378">
        <v>2</v>
      </c>
      <c r="O378">
        <v>0</v>
      </c>
      <c r="Q378" t="str">
        <f t="shared" si="50"/>
        <v>xG Sangat Sedikit</v>
      </c>
      <c r="R378" t="str">
        <f t="shared" si="51"/>
        <v>Possession Cukup Banyak</v>
      </c>
      <c r="S378" t="str">
        <f t="shared" si="52"/>
        <v>Total Pass Cukup Sedikit</v>
      </c>
      <c r="T378" t="str">
        <f t="shared" si="53"/>
        <v>Pass Sukses Cukup Sedikit</v>
      </c>
      <c r="U378" t="str">
        <f t="shared" si="54"/>
        <v>Total Shot Sangat Sedikit</v>
      </c>
      <c r="V378" t="str">
        <f t="shared" si="57"/>
        <v>Shot on Target Rendah</v>
      </c>
      <c r="W378" t="str">
        <f t="shared" si="58"/>
        <v>Fouls Normal</v>
      </c>
      <c r="X378" t="str">
        <f t="shared" si="59"/>
        <v>Corner Tinggi</v>
      </c>
      <c r="Y378" t="str">
        <f t="shared" si="55"/>
        <v>Yellow Card Rendah</v>
      </c>
      <c r="Z378" t="str">
        <f t="shared" si="56"/>
        <v>Red Card Rendah</v>
      </c>
    </row>
    <row r="379" spans="1:26" x14ac:dyDescent="0.25">
      <c r="A379" t="s">
        <v>47</v>
      </c>
      <c r="B379">
        <v>0.6</v>
      </c>
      <c r="C379">
        <v>38</v>
      </c>
      <c r="D379">
        <v>363</v>
      </c>
      <c r="E379">
        <v>289</v>
      </c>
      <c r="F379">
        <v>1</v>
      </c>
      <c r="G379" t="s">
        <v>40</v>
      </c>
      <c r="H379">
        <v>0</v>
      </c>
      <c r="I379" t="s">
        <v>40</v>
      </c>
      <c r="J379">
        <v>7</v>
      </c>
      <c r="K379">
        <v>2</v>
      </c>
      <c r="L379">
        <v>7</v>
      </c>
      <c r="M379">
        <v>5</v>
      </c>
      <c r="N379">
        <v>0</v>
      </c>
      <c r="O379">
        <v>0</v>
      </c>
      <c r="Q379" t="str">
        <f t="shared" si="50"/>
        <v>xG Sangat Sedikit</v>
      </c>
      <c r="R379" t="str">
        <f t="shared" si="51"/>
        <v>Possession Cukup Sedikit</v>
      </c>
      <c r="S379" t="str">
        <f t="shared" si="52"/>
        <v>Total Pass Cukup Sedikit</v>
      </c>
      <c r="T379" t="str">
        <f t="shared" si="53"/>
        <v>Pass Sukses Cukup Sedikit</v>
      </c>
      <c r="U379" t="str">
        <f t="shared" si="54"/>
        <v>Total Shot Sangat Sedikit</v>
      </c>
      <c r="V379" t="str">
        <f t="shared" si="57"/>
        <v>Shot on Target Rendah</v>
      </c>
      <c r="W379" t="str">
        <f t="shared" si="58"/>
        <v>Fouls Rendah</v>
      </c>
      <c r="X379" t="str">
        <f t="shared" si="59"/>
        <v>Corner Normal</v>
      </c>
      <c r="Y379" t="str">
        <f t="shared" si="55"/>
        <v>Yellow Card Rendah</v>
      </c>
      <c r="Z379" t="str">
        <f t="shared" si="56"/>
        <v>Red Card Rendah</v>
      </c>
    </row>
    <row r="380" spans="1:26" x14ac:dyDescent="0.25">
      <c r="A380" t="s">
        <v>60</v>
      </c>
      <c r="B380">
        <v>2</v>
      </c>
      <c r="C380">
        <v>34</v>
      </c>
      <c r="D380">
        <v>301</v>
      </c>
      <c r="E380">
        <v>229</v>
      </c>
      <c r="F380">
        <v>1</v>
      </c>
      <c r="G380" t="s">
        <v>40</v>
      </c>
      <c r="H380">
        <v>1</v>
      </c>
      <c r="I380" t="s">
        <v>35</v>
      </c>
      <c r="J380">
        <v>4</v>
      </c>
      <c r="K380">
        <v>2</v>
      </c>
      <c r="L380">
        <v>13</v>
      </c>
      <c r="M380">
        <v>2</v>
      </c>
      <c r="N380">
        <v>3</v>
      </c>
      <c r="O380">
        <v>0</v>
      </c>
      <c r="Q380" t="str">
        <f t="shared" si="50"/>
        <v>xG Cukup Sedikit</v>
      </c>
      <c r="R380" t="str">
        <f t="shared" si="51"/>
        <v>Possession Sangat Sedikit</v>
      </c>
      <c r="S380" t="str">
        <f t="shared" si="52"/>
        <v>Total Pass Sangat Sedikit</v>
      </c>
      <c r="T380" t="str">
        <f t="shared" si="53"/>
        <v>Pass Sukses Sangat Sedikit</v>
      </c>
      <c r="U380" t="str">
        <f t="shared" si="54"/>
        <v>Total Shot Sangat Sedikit</v>
      </c>
      <c r="V380" t="str">
        <f t="shared" si="57"/>
        <v>Shot on Target Rendah</v>
      </c>
      <c r="W380" t="str">
        <f t="shared" si="58"/>
        <v>Fouls Tinggi</v>
      </c>
      <c r="X380" t="str">
        <f t="shared" si="59"/>
        <v>Corner Rendah</v>
      </c>
      <c r="Y380" t="str">
        <f t="shared" si="55"/>
        <v>Yellow Card Tinggi</v>
      </c>
      <c r="Z380" t="str">
        <f t="shared" si="56"/>
        <v>Red Card Rendah</v>
      </c>
    </row>
    <row r="381" spans="1:26" x14ac:dyDescent="0.25">
      <c r="A381" t="s">
        <v>43</v>
      </c>
      <c r="B381">
        <v>1</v>
      </c>
      <c r="C381">
        <v>49</v>
      </c>
      <c r="D381">
        <v>471</v>
      </c>
      <c r="E381">
        <v>374</v>
      </c>
      <c r="F381">
        <v>1</v>
      </c>
      <c r="G381" t="s">
        <v>36</v>
      </c>
      <c r="H381">
        <v>0</v>
      </c>
      <c r="I381" t="s">
        <v>40</v>
      </c>
      <c r="J381">
        <v>18</v>
      </c>
      <c r="K381">
        <v>6</v>
      </c>
      <c r="L381">
        <v>7</v>
      </c>
      <c r="M381">
        <v>8</v>
      </c>
      <c r="N381">
        <v>2</v>
      </c>
      <c r="O381">
        <v>0</v>
      </c>
      <c r="Q381" t="str">
        <f t="shared" si="50"/>
        <v>xG Sangat Sedikit</v>
      </c>
      <c r="R381" t="str">
        <f t="shared" si="51"/>
        <v>Possession Cukup Sedikit</v>
      </c>
      <c r="S381" t="str">
        <f t="shared" si="52"/>
        <v>Total Pass Cukup Sedikit</v>
      </c>
      <c r="T381" t="str">
        <f t="shared" si="53"/>
        <v>Pass Sukses Cukup Sedikit</v>
      </c>
      <c r="U381" t="str">
        <f t="shared" si="54"/>
        <v>Total Shot Cukup Sedikit</v>
      </c>
      <c r="V381" t="str">
        <f t="shared" si="57"/>
        <v>Shot on Target Tinggi</v>
      </c>
      <c r="W381" t="str">
        <f t="shared" si="58"/>
        <v>Fouls Rendah</v>
      </c>
      <c r="X381" t="str">
        <f t="shared" si="59"/>
        <v>Corner Tinggi</v>
      </c>
      <c r="Y381" t="str">
        <f t="shared" si="55"/>
        <v>Yellow Card Rendah</v>
      </c>
      <c r="Z381" t="str">
        <f t="shared" si="56"/>
        <v>Red Card Rendah</v>
      </c>
    </row>
    <row r="382" spans="1:26" x14ac:dyDescent="0.25">
      <c r="A382" t="s">
        <v>34</v>
      </c>
      <c r="B382">
        <v>0.4</v>
      </c>
      <c r="C382">
        <v>45</v>
      </c>
      <c r="D382">
        <v>424</v>
      </c>
      <c r="E382">
        <v>329</v>
      </c>
      <c r="F382">
        <v>0</v>
      </c>
      <c r="G382" t="s">
        <v>35</v>
      </c>
      <c r="H382">
        <v>0</v>
      </c>
      <c r="I382" t="s">
        <v>36</v>
      </c>
      <c r="J382">
        <v>10</v>
      </c>
      <c r="K382">
        <v>2</v>
      </c>
      <c r="L382">
        <v>10</v>
      </c>
      <c r="M382">
        <v>8</v>
      </c>
      <c r="N382">
        <v>3</v>
      </c>
      <c r="O382">
        <v>0</v>
      </c>
      <c r="Q382" t="str">
        <f t="shared" si="50"/>
        <v>xG Sangat Sedikit</v>
      </c>
      <c r="R382" t="str">
        <f t="shared" si="51"/>
        <v>Possession Cukup Sedikit</v>
      </c>
      <c r="S382" t="str">
        <f t="shared" si="52"/>
        <v>Total Pass Cukup Sedikit</v>
      </c>
      <c r="T382" t="str">
        <f t="shared" si="53"/>
        <v>Pass Sukses Cukup Sedikit</v>
      </c>
      <c r="U382" t="str">
        <f t="shared" si="54"/>
        <v>Total Shot Sangat Sedikit</v>
      </c>
      <c r="V382" t="str">
        <f t="shared" si="57"/>
        <v>Shot on Target Rendah</v>
      </c>
      <c r="W382" t="str">
        <f t="shared" si="58"/>
        <v>Fouls Normal</v>
      </c>
      <c r="X382" t="str">
        <f t="shared" si="59"/>
        <v>Corner Tinggi</v>
      </c>
      <c r="Y382" t="str">
        <f t="shared" si="55"/>
        <v>Yellow Card Tinggi</v>
      </c>
      <c r="Z382" t="str">
        <f t="shared" si="56"/>
        <v>Red Card Rendah</v>
      </c>
    </row>
    <row r="383" spans="1:26" x14ac:dyDescent="0.25">
      <c r="A383" t="s">
        <v>39</v>
      </c>
      <c r="B383">
        <v>2.6</v>
      </c>
      <c r="C383">
        <v>62</v>
      </c>
      <c r="D383">
        <v>620</v>
      </c>
      <c r="E383">
        <v>520</v>
      </c>
      <c r="F383">
        <v>2</v>
      </c>
      <c r="G383" t="s">
        <v>40</v>
      </c>
      <c r="H383">
        <v>0</v>
      </c>
      <c r="I383" t="s">
        <v>36</v>
      </c>
      <c r="J383">
        <v>18</v>
      </c>
      <c r="K383">
        <v>5</v>
      </c>
      <c r="L383">
        <v>18</v>
      </c>
      <c r="M383">
        <v>10</v>
      </c>
      <c r="N383">
        <v>1</v>
      </c>
      <c r="O383">
        <v>0</v>
      </c>
      <c r="Q383" t="str">
        <f t="shared" si="50"/>
        <v>xG Cukup Sedikit</v>
      </c>
      <c r="R383" t="str">
        <f t="shared" si="51"/>
        <v>Possession Cukup Banyak</v>
      </c>
      <c r="S383" t="str">
        <f t="shared" si="52"/>
        <v>Total Pass Cukup Banyak</v>
      </c>
      <c r="T383" t="str">
        <f t="shared" si="53"/>
        <v>Pass Sukses Cukup Banyak</v>
      </c>
      <c r="U383" t="str">
        <f t="shared" si="54"/>
        <v>Total Shot Cukup Sedikit</v>
      </c>
      <c r="V383" t="str">
        <f t="shared" si="57"/>
        <v>Shot on Target Tinggi</v>
      </c>
      <c r="W383" t="str">
        <f t="shared" si="58"/>
        <v>Fouls Tinggi</v>
      </c>
      <c r="X383" t="str">
        <f t="shared" si="59"/>
        <v>Corner Tinggi</v>
      </c>
      <c r="Y383" t="str">
        <f t="shared" si="55"/>
        <v>Yellow Card Rendah</v>
      </c>
      <c r="Z383" t="str">
        <f t="shared" si="56"/>
        <v>Red Card Rendah</v>
      </c>
    </row>
    <row r="384" spans="1:26" x14ac:dyDescent="0.25">
      <c r="A384" t="s">
        <v>43</v>
      </c>
      <c r="B384">
        <v>0.5</v>
      </c>
      <c r="C384">
        <v>47</v>
      </c>
      <c r="D384">
        <v>406</v>
      </c>
      <c r="E384">
        <v>324</v>
      </c>
      <c r="F384">
        <v>0</v>
      </c>
      <c r="G384" t="s">
        <v>35</v>
      </c>
      <c r="H384">
        <v>0</v>
      </c>
      <c r="I384" t="s">
        <v>35</v>
      </c>
      <c r="J384">
        <v>9</v>
      </c>
      <c r="K384">
        <v>3</v>
      </c>
      <c r="L384">
        <v>14</v>
      </c>
      <c r="M384">
        <v>2</v>
      </c>
      <c r="N384">
        <v>2</v>
      </c>
      <c r="O384">
        <v>0</v>
      </c>
      <c r="Q384" t="str">
        <f t="shared" si="50"/>
        <v>xG Sangat Sedikit</v>
      </c>
      <c r="R384" t="str">
        <f t="shared" si="51"/>
        <v>Possession Cukup Sedikit</v>
      </c>
      <c r="S384" t="str">
        <f t="shared" si="52"/>
        <v>Total Pass Cukup Sedikit</v>
      </c>
      <c r="T384" t="str">
        <f t="shared" si="53"/>
        <v>Pass Sukses Cukup Sedikit</v>
      </c>
      <c r="U384" t="str">
        <f t="shared" si="54"/>
        <v>Total Shot Sangat Sedikit</v>
      </c>
      <c r="V384" t="str">
        <f t="shared" si="57"/>
        <v>Shot on Target Rendah</v>
      </c>
      <c r="W384" t="str">
        <f t="shared" si="58"/>
        <v>Fouls Tinggi</v>
      </c>
      <c r="X384" t="str">
        <f t="shared" si="59"/>
        <v>Corner Rendah</v>
      </c>
      <c r="Y384" t="str">
        <f t="shared" si="55"/>
        <v>Yellow Card Rendah</v>
      </c>
      <c r="Z384" t="str">
        <f t="shared" si="56"/>
        <v>Red Card Rendah</v>
      </c>
    </row>
    <row r="385" spans="1:26" x14ac:dyDescent="0.25">
      <c r="A385" t="s">
        <v>45</v>
      </c>
      <c r="B385">
        <v>1.4</v>
      </c>
      <c r="C385">
        <v>60</v>
      </c>
      <c r="D385">
        <v>605</v>
      </c>
      <c r="E385">
        <v>510</v>
      </c>
      <c r="F385">
        <v>3</v>
      </c>
      <c r="G385" t="s">
        <v>40</v>
      </c>
      <c r="H385">
        <v>1</v>
      </c>
      <c r="I385" t="s">
        <v>40</v>
      </c>
      <c r="J385">
        <v>10</v>
      </c>
      <c r="K385">
        <v>5</v>
      </c>
      <c r="L385">
        <v>8</v>
      </c>
      <c r="M385">
        <v>5</v>
      </c>
      <c r="N385">
        <v>1</v>
      </c>
      <c r="O385">
        <v>0</v>
      </c>
      <c r="Q385" t="str">
        <f t="shared" si="50"/>
        <v>xG Sangat Sedikit</v>
      </c>
      <c r="R385" t="str">
        <f t="shared" si="51"/>
        <v>Possession Cukup Banyak</v>
      </c>
      <c r="S385" t="str">
        <f t="shared" si="52"/>
        <v>Total Pass Cukup Banyak</v>
      </c>
      <c r="T385" t="str">
        <f t="shared" si="53"/>
        <v>Pass Sukses Cukup Banyak</v>
      </c>
      <c r="U385" t="str">
        <f t="shared" si="54"/>
        <v>Total Shot Sangat Sedikit</v>
      </c>
      <c r="V385" t="str">
        <f t="shared" si="57"/>
        <v>Shot on Target Tinggi</v>
      </c>
      <c r="W385" t="str">
        <f t="shared" si="58"/>
        <v>Fouls Rendah</v>
      </c>
      <c r="X385" t="str">
        <f t="shared" si="59"/>
        <v>Corner Normal</v>
      </c>
      <c r="Y385" t="str">
        <f t="shared" si="55"/>
        <v>Yellow Card Rendah</v>
      </c>
      <c r="Z385" t="str">
        <f t="shared" si="56"/>
        <v>Red Card Rendah</v>
      </c>
    </row>
    <row r="386" spans="1:26" x14ac:dyDescent="0.25">
      <c r="A386" t="s">
        <v>47</v>
      </c>
      <c r="B386">
        <v>1.8</v>
      </c>
      <c r="C386">
        <v>77</v>
      </c>
      <c r="D386">
        <v>702</v>
      </c>
      <c r="E386">
        <v>604</v>
      </c>
      <c r="F386">
        <v>0</v>
      </c>
      <c r="G386" t="s">
        <v>35</v>
      </c>
      <c r="H386">
        <v>0</v>
      </c>
      <c r="I386" t="s">
        <v>35</v>
      </c>
      <c r="J386">
        <v>19</v>
      </c>
      <c r="K386">
        <v>4</v>
      </c>
      <c r="L386">
        <v>16</v>
      </c>
      <c r="M386">
        <v>12</v>
      </c>
      <c r="N386">
        <v>4</v>
      </c>
      <c r="O386">
        <v>0</v>
      </c>
      <c r="Q386" t="str">
        <f t="shared" si="50"/>
        <v>xG Cukup Sedikit</v>
      </c>
      <c r="R386" t="str">
        <f t="shared" si="51"/>
        <v>Possession Sangat Banyak</v>
      </c>
      <c r="S386" t="str">
        <f t="shared" si="52"/>
        <v>Total Pass Sangat Banyak</v>
      </c>
      <c r="T386" t="str">
        <f t="shared" si="53"/>
        <v>Pass Sukses Sangat Banyak</v>
      </c>
      <c r="U386" t="str">
        <f t="shared" si="54"/>
        <v>Total Shot Cukup Sedikit</v>
      </c>
      <c r="V386" t="str">
        <f t="shared" si="57"/>
        <v>Shot on Target Normal</v>
      </c>
      <c r="W386" t="str">
        <f t="shared" si="58"/>
        <v>Fouls Tinggi</v>
      </c>
      <c r="X386" t="str">
        <f t="shared" si="59"/>
        <v>Corner Tinggi</v>
      </c>
      <c r="Y386" t="str">
        <f t="shared" si="55"/>
        <v>Yellow Card Tinggi</v>
      </c>
      <c r="Z386" t="str">
        <f t="shared" si="56"/>
        <v>Red Card Rendah</v>
      </c>
    </row>
    <row r="387" spans="1:26" x14ac:dyDescent="0.25">
      <c r="A387" t="s">
        <v>49</v>
      </c>
      <c r="B387">
        <v>1.2</v>
      </c>
      <c r="C387">
        <v>47</v>
      </c>
      <c r="D387">
        <v>485</v>
      </c>
      <c r="E387">
        <v>363</v>
      </c>
      <c r="F387">
        <v>1</v>
      </c>
      <c r="G387" t="s">
        <v>36</v>
      </c>
      <c r="H387">
        <v>0</v>
      </c>
      <c r="I387" t="s">
        <v>35</v>
      </c>
      <c r="J387">
        <v>13</v>
      </c>
      <c r="K387">
        <v>4</v>
      </c>
      <c r="L387">
        <v>8</v>
      </c>
      <c r="M387">
        <v>6</v>
      </c>
      <c r="N387">
        <v>3</v>
      </c>
      <c r="O387">
        <v>0</v>
      </c>
      <c r="Q387" t="str">
        <f t="shared" ref="Q387:Q450" si="60">_xlfn.LET(
 _xlpm.x,B387,
 _xlpm.min,MIN($B$2:$B$761),
 _xlpm.max,MAX($B$2:$B$761),
 _xlpm.persen,(_xlpm.x-_xlpm.min)/(_xlpm.max-_xlpm.min)*100,
 IF(_xlpm.persen&lt;=25,"xG Sangat Sedikit",
   IF(_xlpm.persen&lt;=50,"xG Cukup Sedikit",
     IF(_xlpm.persen&lt;=75,"xG Cukup Banyak",
       "xG Sangat Banyak"))))</f>
        <v>xG Sangat Sedikit</v>
      </c>
      <c r="R387" t="str">
        <f t="shared" ref="R387:R450" si="61">_xlfn.LET(
 _xlpm.x,C387,
 _xlpm.min,MIN($C$2:$C$761),
 _xlpm.max,MAX($C$2:$C$761),
 _xlpm.persen,(_xlpm.x-_xlpm.min)/(_xlpm.max-_xlpm.min)*100,
 IF(_xlpm.persen&lt;=25,"Possession Sangat Sedikit",
   IF(_xlpm.persen&lt;=50,"Possession Cukup Sedikit",
     IF(_xlpm.persen&lt;=75,"Possession Cukup Banyak",
       "Possession Sangat Banyak"))))</f>
        <v>Possession Cukup Sedikit</v>
      </c>
      <c r="S387" t="str">
        <f t="shared" ref="S387:S450" si="62">_xlfn.LET(
 _xlpm.x,D387,
 _xlpm.min,MIN($D$2:$D$761),
 _xlpm.max,MAX($D$2:$D$761),
 _xlpm.persen,(_xlpm.x-_xlpm.min)/(_xlpm.max-_xlpm.min)*100,
 IF(_xlpm.persen&lt;=25,"Total Pass Sangat Sedikit",
   IF(_xlpm.persen&lt;=50,"Total Pass Cukup Sedikit",
     IF(_xlpm.persen&lt;=75,"Total Pass Cukup Banyak",
       "Total Pass Sangat Banyak"))))</f>
        <v>Total Pass Cukup Sedikit</v>
      </c>
      <c r="T387" t="str">
        <f t="shared" ref="T387:T450" si="63">_xlfn.LET(
 _xlpm.x,E387,
 _xlpm.min,MIN($E$2:$E$761),
 _xlpm.max,MAX($E$2:$E$761),
 _xlpm.persen,(_xlpm.x-_xlpm.min)/(_xlpm.max-_xlpm.min)*100,
 IF(_xlpm.persen&lt;=25,"Pass Sukses Sangat Sedikit",
   IF(_xlpm.persen&lt;=50,"Pass Sukses Cukup Sedikit",
     IF(_xlpm.persen&lt;=75,"Pass Sukses Cukup Banyak",
       "Pass Sukses Sangat Banyak"))))</f>
        <v>Pass Sukses Cukup Sedikit</v>
      </c>
      <c r="U387" t="str">
        <f t="shared" ref="U387:U450" si="64">_xlfn.LET(
 _xlpm.x,J387,
 _xlpm.min,MIN($J$2:$J$761),
 _xlpm.max,MAX($J$2:$J$761),
 _xlpm.persen,(_xlpm.x-_xlpm.min)/(_xlpm.max-_xlpm.min)*100,
 IF(_xlpm.persen&lt;=25,"Total Shot Sangat Sedikit",
   IF(_xlpm.persen&lt;=50,"Total Shot Cukup Sedikit",
     IF(_xlpm.persen&lt;=75,"Total Shot Cukup Banyak",
       "Total Shot Sangat Banyak"))))</f>
        <v>Total Shot Cukup Sedikit</v>
      </c>
      <c r="V387" t="str">
        <f t="shared" si="57"/>
        <v>Shot on Target Normal</v>
      </c>
      <c r="W387" t="str">
        <f t="shared" si="58"/>
        <v>Fouls Rendah</v>
      </c>
      <c r="X387" t="str">
        <f t="shared" si="59"/>
        <v>Corner Tinggi</v>
      </c>
      <c r="Y387" t="str">
        <f t="shared" ref="Y387:Y450" si="65">IF(N387&lt;$Y$1,"Yellow Card Rendah","Yellow Card Tinggi")</f>
        <v>Yellow Card Tinggi</v>
      </c>
      <c r="Z387" t="str">
        <f t="shared" ref="Z387:Z450" si="66">IF(O387&lt;$Z$1,"Red Card Rendah","Red Card Tinggi")</f>
        <v>Red Card Rendah</v>
      </c>
    </row>
    <row r="388" spans="1:26" x14ac:dyDescent="0.25">
      <c r="A388" t="s">
        <v>52</v>
      </c>
      <c r="B388">
        <v>2</v>
      </c>
      <c r="C388">
        <v>48</v>
      </c>
      <c r="D388">
        <v>433</v>
      </c>
      <c r="E388">
        <v>348</v>
      </c>
      <c r="F388">
        <v>2</v>
      </c>
      <c r="G388" t="s">
        <v>40</v>
      </c>
      <c r="H388">
        <v>1</v>
      </c>
      <c r="I388" t="s">
        <v>36</v>
      </c>
      <c r="J388">
        <v>15</v>
      </c>
      <c r="K388">
        <v>3</v>
      </c>
      <c r="L388">
        <v>11</v>
      </c>
      <c r="M388">
        <v>3</v>
      </c>
      <c r="N388">
        <v>2</v>
      </c>
      <c r="O388">
        <v>0</v>
      </c>
      <c r="Q388" t="str">
        <f t="shared" si="60"/>
        <v>xG Cukup Sedikit</v>
      </c>
      <c r="R388" t="str">
        <f t="shared" si="61"/>
        <v>Possession Cukup Sedikit</v>
      </c>
      <c r="S388" t="str">
        <f t="shared" si="62"/>
        <v>Total Pass Cukup Sedikit</v>
      </c>
      <c r="T388" t="str">
        <f t="shared" si="63"/>
        <v>Pass Sukses Cukup Sedikit</v>
      </c>
      <c r="U388" t="str">
        <f t="shared" si="64"/>
        <v>Total Shot Cukup Sedikit</v>
      </c>
      <c r="V388" t="str">
        <f t="shared" ref="V388:V451" si="67">IF(K388&gt;$V$1,"Shot on Target Tinggi",IF(K388&gt;($V$1/5*4),"Shot on Target Normal","Shot on Target Rendah"))</f>
        <v>Shot on Target Rendah</v>
      </c>
      <c r="W388" t="str">
        <f t="shared" ref="W388:W451" si="68">IF(L388&gt;$W$1,"Fouls Tinggi",IF(L388&gt;($W$1/5*4),"Fouls Normal","Fouls Rendah"))</f>
        <v>Fouls Normal</v>
      </c>
      <c r="X388" t="str">
        <f t="shared" ref="X388:X451" si="69">IF(M388&gt;$X$1,"Corner Tinggi",IF(M388&gt;($X$1/5*4),"Corner Normal","Corner Rendah"))</f>
        <v>Corner Rendah</v>
      </c>
      <c r="Y388" t="str">
        <f t="shared" si="65"/>
        <v>Yellow Card Rendah</v>
      </c>
      <c r="Z388" t="str">
        <f t="shared" si="66"/>
        <v>Red Card Rendah</v>
      </c>
    </row>
    <row r="389" spans="1:26" x14ac:dyDescent="0.25">
      <c r="A389" t="s">
        <v>55</v>
      </c>
      <c r="B389">
        <v>1.2</v>
      </c>
      <c r="C389">
        <v>54</v>
      </c>
      <c r="D389">
        <v>519</v>
      </c>
      <c r="E389">
        <v>410</v>
      </c>
      <c r="F389">
        <v>1</v>
      </c>
      <c r="G389" t="s">
        <v>35</v>
      </c>
      <c r="H389">
        <v>0</v>
      </c>
      <c r="I389" t="s">
        <v>35</v>
      </c>
      <c r="J389">
        <v>14</v>
      </c>
      <c r="K389">
        <v>6</v>
      </c>
      <c r="L389">
        <v>15</v>
      </c>
      <c r="M389">
        <v>7</v>
      </c>
      <c r="N389">
        <v>5</v>
      </c>
      <c r="O389">
        <v>0</v>
      </c>
      <c r="Q389" t="str">
        <f t="shared" si="60"/>
        <v>xG Sangat Sedikit</v>
      </c>
      <c r="R389" t="str">
        <f t="shared" si="61"/>
        <v>Possession Cukup Banyak</v>
      </c>
      <c r="S389" t="str">
        <f t="shared" si="62"/>
        <v>Total Pass Cukup Banyak</v>
      </c>
      <c r="T389" t="str">
        <f t="shared" si="63"/>
        <v>Pass Sukses Cukup Sedikit</v>
      </c>
      <c r="U389" t="str">
        <f t="shared" si="64"/>
        <v>Total Shot Cukup Sedikit</v>
      </c>
      <c r="V389" t="str">
        <f t="shared" si="67"/>
        <v>Shot on Target Tinggi</v>
      </c>
      <c r="W389" t="str">
        <f t="shared" si="68"/>
        <v>Fouls Tinggi</v>
      </c>
      <c r="X389" t="str">
        <f t="shared" si="69"/>
        <v>Corner Tinggi</v>
      </c>
      <c r="Y389" t="str">
        <f t="shared" si="65"/>
        <v>Yellow Card Tinggi</v>
      </c>
      <c r="Z389" t="str">
        <f t="shared" si="66"/>
        <v>Red Card Rendah</v>
      </c>
    </row>
    <row r="390" spans="1:26" x14ac:dyDescent="0.25">
      <c r="A390" t="s">
        <v>58</v>
      </c>
      <c r="B390">
        <v>0.8</v>
      </c>
      <c r="C390">
        <v>52</v>
      </c>
      <c r="D390">
        <v>570</v>
      </c>
      <c r="E390">
        <v>501</v>
      </c>
      <c r="F390">
        <v>2</v>
      </c>
      <c r="G390" t="s">
        <v>40</v>
      </c>
      <c r="H390">
        <v>1</v>
      </c>
      <c r="I390" t="s">
        <v>40</v>
      </c>
      <c r="J390">
        <v>11</v>
      </c>
      <c r="K390">
        <v>5</v>
      </c>
      <c r="L390">
        <v>9</v>
      </c>
      <c r="M390">
        <v>3</v>
      </c>
      <c r="N390">
        <v>1</v>
      </c>
      <c r="O390">
        <v>0</v>
      </c>
      <c r="Q390" t="str">
        <f t="shared" si="60"/>
        <v>xG Sangat Sedikit</v>
      </c>
      <c r="R390" t="str">
        <f t="shared" si="61"/>
        <v>Possession Cukup Banyak</v>
      </c>
      <c r="S390" t="str">
        <f t="shared" si="62"/>
        <v>Total Pass Cukup Banyak</v>
      </c>
      <c r="T390" t="str">
        <f t="shared" si="63"/>
        <v>Pass Sukses Cukup Banyak</v>
      </c>
      <c r="U390" t="str">
        <f t="shared" si="64"/>
        <v>Total Shot Cukup Sedikit</v>
      </c>
      <c r="V390" t="str">
        <f t="shared" si="67"/>
        <v>Shot on Target Tinggi</v>
      </c>
      <c r="W390" t="str">
        <f t="shared" si="68"/>
        <v>Fouls Normal</v>
      </c>
      <c r="X390" t="str">
        <f t="shared" si="69"/>
        <v>Corner Rendah</v>
      </c>
      <c r="Y390" t="str">
        <f t="shared" si="65"/>
        <v>Yellow Card Rendah</v>
      </c>
      <c r="Z390" t="str">
        <f t="shared" si="66"/>
        <v>Red Card Rendah</v>
      </c>
    </row>
    <row r="391" spans="1:26" x14ac:dyDescent="0.25">
      <c r="A391" t="s">
        <v>60</v>
      </c>
      <c r="B391">
        <v>1.2</v>
      </c>
      <c r="C391">
        <v>70</v>
      </c>
      <c r="D391">
        <v>724</v>
      </c>
      <c r="E391">
        <v>631</v>
      </c>
      <c r="F391">
        <v>1</v>
      </c>
      <c r="G391" t="s">
        <v>36</v>
      </c>
      <c r="H391">
        <v>1</v>
      </c>
      <c r="I391" t="s">
        <v>40</v>
      </c>
      <c r="J391">
        <v>15</v>
      </c>
      <c r="K391">
        <v>7</v>
      </c>
      <c r="L391">
        <v>12</v>
      </c>
      <c r="M391">
        <v>13</v>
      </c>
      <c r="N391">
        <v>1</v>
      </c>
      <c r="O391">
        <v>0</v>
      </c>
      <c r="Q391" t="str">
        <f t="shared" si="60"/>
        <v>xG Sangat Sedikit</v>
      </c>
      <c r="R391" t="str">
        <f t="shared" si="61"/>
        <v>Possession Sangat Banyak</v>
      </c>
      <c r="S391" t="str">
        <f t="shared" si="62"/>
        <v>Total Pass Sangat Banyak</v>
      </c>
      <c r="T391" t="str">
        <f t="shared" si="63"/>
        <v>Pass Sukses Sangat Banyak</v>
      </c>
      <c r="U391" t="str">
        <f t="shared" si="64"/>
        <v>Total Shot Cukup Sedikit</v>
      </c>
      <c r="V391" t="str">
        <f t="shared" si="67"/>
        <v>Shot on Target Tinggi</v>
      </c>
      <c r="W391" t="str">
        <f t="shared" si="68"/>
        <v>Fouls Tinggi</v>
      </c>
      <c r="X391" t="str">
        <f t="shared" si="69"/>
        <v>Corner Tinggi</v>
      </c>
      <c r="Y391" t="str">
        <f t="shared" si="65"/>
        <v>Yellow Card Rendah</v>
      </c>
      <c r="Z391" t="str">
        <f t="shared" si="66"/>
        <v>Red Card Rendah</v>
      </c>
    </row>
    <row r="392" spans="1:26" x14ac:dyDescent="0.25">
      <c r="A392" t="s">
        <v>33</v>
      </c>
      <c r="B392">
        <v>1.4</v>
      </c>
      <c r="C392">
        <v>52</v>
      </c>
      <c r="D392">
        <v>552</v>
      </c>
      <c r="E392">
        <v>470</v>
      </c>
      <c r="F392">
        <v>1</v>
      </c>
      <c r="G392" t="s">
        <v>35</v>
      </c>
      <c r="H392">
        <v>0</v>
      </c>
      <c r="I392" t="s">
        <v>35</v>
      </c>
      <c r="J392">
        <v>11</v>
      </c>
      <c r="K392">
        <v>4</v>
      </c>
      <c r="L392">
        <v>13</v>
      </c>
      <c r="M392">
        <v>4</v>
      </c>
      <c r="N392">
        <v>2</v>
      </c>
      <c r="O392">
        <v>0</v>
      </c>
      <c r="Q392" t="str">
        <f t="shared" si="60"/>
        <v>xG Sangat Sedikit</v>
      </c>
      <c r="R392" t="str">
        <f t="shared" si="61"/>
        <v>Possession Cukup Banyak</v>
      </c>
      <c r="S392" t="str">
        <f t="shared" si="62"/>
        <v>Total Pass Cukup Banyak</v>
      </c>
      <c r="T392" t="str">
        <f t="shared" si="63"/>
        <v>Pass Sukses Cukup Banyak</v>
      </c>
      <c r="U392" t="str">
        <f t="shared" si="64"/>
        <v>Total Shot Cukup Sedikit</v>
      </c>
      <c r="V392" t="str">
        <f t="shared" si="67"/>
        <v>Shot on Target Normal</v>
      </c>
      <c r="W392" t="str">
        <f t="shared" si="68"/>
        <v>Fouls Tinggi</v>
      </c>
      <c r="X392" t="str">
        <f t="shared" si="69"/>
        <v>Corner Rendah</v>
      </c>
      <c r="Y392" t="str">
        <f t="shared" si="65"/>
        <v>Yellow Card Rendah</v>
      </c>
      <c r="Z392" t="str">
        <f t="shared" si="66"/>
        <v>Red Card Rendah</v>
      </c>
    </row>
    <row r="393" spans="1:26" x14ac:dyDescent="0.25">
      <c r="A393" t="s">
        <v>51</v>
      </c>
      <c r="B393">
        <v>1.4</v>
      </c>
      <c r="C393">
        <v>42</v>
      </c>
      <c r="D393">
        <v>425</v>
      </c>
      <c r="E393">
        <v>320</v>
      </c>
      <c r="F393">
        <v>2</v>
      </c>
      <c r="G393" t="s">
        <v>40</v>
      </c>
      <c r="H393">
        <v>0</v>
      </c>
      <c r="I393" t="s">
        <v>36</v>
      </c>
      <c r="J393">
        <v>18</v>
      </c>
      <c r="K393">
        <v>3</v>
      </c>
      <c r="L393">
        <v>17</v>
      </c>
      <c r="M393">
        <v>3</v>
      </c>
      <c r="N393">
        <v>1</v>
      </c>
      <c r="O393">
        <v>0</v>
      </c>
      <c r="Q393" t="str">
        <f t="shared" si="60"/>
        <v>xG Sangat Sedikit</v>
      </c>
      <c r="R393" t="str">
        <f t="shared" si="61"/>
        <v>Possession Cukup Sedikit</v>
      </c>
      <c r="S393" t="str">
        <f t="shared" si="62"/>
        <v>Total Pass Cukup Sedikit</v>
      </c>
      <c r="T393" t="str">
        <f t="shared" si="63"/>
        <v>Pass Sukses Cukup Sedikit</v>
      </c>
      <c r="U393" t="str">
        <f t="shared" si="64"/>
        <v>Total Shot Cukup Sedikit</v>
      </c>
      <c r="V393" t="str">
        <f t="shared" si="67"/>
        <v>Shot on Target Rendah</v>
      </c>
      <c r="W393" t="str">
        <f t="shared" si="68"/>
        <v>Fouls Tinggi</v>
      </c>
      <c r="X393" t="str">
        <f t="shared" si="69"/>
        <v>Corner Rendah</v>
      </c>
      <c r="Y393" t="str">
        <f t="shared" si="65"/>
        <v>Yellow Card Rendah</v>
      </c>
      <c r="Z393" t="str">
        <f t="shared" si="66"/>
        <v>Red Card Rendah</v>
      </c>
    </row>
    <row r="394" spans="1:26" x14ac:dyDescent="0.25">
      <c r="A394" t="s">
        <v>59</v>
      </c>
      <c r="B394">
        <v>0.6</v>
      </c>
      <c r="C394">
        <v>46</v>
      </c>
      <c r="D394">
        <v>489</v>
      </c>
      <c r="E394">
        <v>402</v>
      </c>
      <c r="F394">
        <v>1</v>
      </c>
      <c r="G394" t="s">
        <v>35</v>
      </c>
      <c r="H394">
        <v>1</v>
      </c>
      <c r="I394" t="s">
        <v>36</v>
      </c>
      <c r="J394">
        <v>10</v>
      </c>
      <c r="K394">
        <v>4</v>
      </c>
      <c r="L394">
        <v>13</v>
      </c>
      <c r="M394">
        <v>5</v>
      </c>
      <c r="N394">
        <v>2</v>
      </c>
      <c r="O394">
        <v>0</v>
      </c>
      <c r="Q394" t="str">
        <f t="shared" si="60"/>
        <v>xG Sangat Sedikit</v>
      </c>
      <c r="R394" t="str">
        <f t="shared" si="61"/>
        <v>Possession Cukup Sedikit</v>
      </c>
      <c r="S394" t="str">
        <f t="shared" si="62"/>
        <v>Total Pass Cukup Sedikit</v>
      </c>
      <c r="T394" t="str">
        <f t="shared" si="63"/>
        <v>Pass Sukses Cukup Sedikit</v>
      </c>
      <c r="U394" t="str">
        <f t="shared" si="64"/>
        <v>Total Shot Sangat Sedikit</v>
      </c>
      <c r="V394" t="str">
        <f t="shared" si="67"/>
        <v>Shot on Target Normal</v>
      </c>
      <c r="W394" t="str">
        <f t="shared" si="68"/>
        <v>Fouls Tinggi</v>
      </c>
      <c r="X394" t="str">
        <f t="shared" si="69"/>
        <v>Corner Normal</v>
      </c>
      <c r="Y394" t="str">
        <f t="shared" si="65"/>
        <v>Yellow Card Rendah</v>
      </c>
      <c r="Z394" t="str">
        <f t="shared" si="66"/>
        <v>Red Card Rendah</v>
      </c>
    </row>
    <row r="395" spans="1:26" x14ac:dyDescent="0.25">
      <c r="A395" t="s">
        <v>38</v>
      </c>
      <c r="B395">
        <v>0.3</v>
      </c>
      <c r="C395">
        <v>25</v>
      </c>
      <c r="D395">
        <v>266</v>
      </c>
      <c r="E395">
        <v>211</v>
      </c>
      <c r="F395">
        <v>1</v>
      </c>
      <c r="G395" t="s">
        <v>35</v>
      </c>
      <c r="H395">
        <v>1</v>
      </c>
      <c r="I395" t="s">
        <v>35</v>
      </c>
      <c r="J395">
        <v>1</v>
      </c>
      <c r="K395">
        <v>1</v>
      </c>
      <c r="L395">
        <v>15</v>
      </c>
      <c r="M395">
        <v>1</v>
      </c>
      <c r="N395">
        <v>3</v>
      </c>
      <c r="O395">
        <v>0</v>
      </c>
      <c r="Q395" t="str">
        <f t="shared" si="60"/>
        <v>xG Sangat Sedikit</v>
      </c>
      <c r="R395" t="str">
        <f t="shared" si="61"/>
        <v>Possession Sangat Sedikit</v>
      </c>
      <c r="S395" t="str">
        <f t="shared" si="62"/>
        <v>Total Pass Sangat Sedikit</v>
      </c>
      <c r="T395" t="str">
        <f t="shared" si="63"/>
        <v>Pass Sukses Sangat Sedikit</v>
      </c>
      <c r="U395" t="str">
        <f t="shared" si="64"/>
        <v>Total Shot Sangat Sedikit</v>
      </c>
      <c r="V395" t="str">
        <f t="shared" si="67"/>
        <v>Shot on Target Rendah</v>
      </c>
      <c r="W395" t="str">
        <f t="shared" si="68"/>
        <v>Fouls Tinggi</v>
      </c>
      <c r="X395" t="str">
        <f t="shared" si="69"/>
        <v>Corner Rendah</v>
      </c>
      <c r="Y395" t="str">
        <f t="shared" si="65"/>
        <v>Yellow Card Tinggi</v>
      </c>
      <c r="Z395" t="str">
        <f t="shared" si="66"/>
        <v>Red Card Rendah</v>
      </c>
    </row>
    <row r="396" spans="1:26" x14ac:dyDescent="0.25">
      <c r="A396" t="s">
        <v>48</v>
      </c>
      <c r="B396">
        <v>2.2000000000000002</v>
      </c>
      <c r="C396">
        <v>36</v>
      </c>
      <c r="D396">
        <v>383</v>
      </c>
      <c r="E396">
        <v>306</v>
      </c>
      <c r="F396">
        <v>1</v>
      </c>
      <c r="G396" t="s">
        <v>40</v>
      </c>
      <c r="H396">
        <v>0</v>
      </c>
      <c r="I396" t="s">
        <v>36</v>
      </c>
      <c r="J396">
        <v>23</v>
      </c>
      <c r="K396">
        <v>8</v>
      </c>
      <c r="L396">
        <v>14</v>
      </c>
      <c r="M396">
        <v>10</v>
      </c>
      <c r="N396">
        <v>3</v>
      </c>
      <c r="O396">
        <v>0</v>
      </c>
      <c r="Q396" t="str">
        <f t="shared" si="60"/>
        <v>xG Cukup Sedikit</v>
      </c>
      <c r="R396" t="str">
        <f t="shared" si="61"/>
        <v>Possession Sangat Sedikit</v>
      </c>
      <c r="S396" t="str">
        <f t="shared" si="62"/>
        <v>Total Pass Cukup Sedikit</v>
      </c>
      <c r="T396" t="str">
        <f t="shared" si="63"/>
        <v>Pass Sukses Cukup Sedikit</v>
      </c>
      <c r="U396" t="str">
        <f t="shared" si="64"/>
        <v>Total Shot Cukup Banyak</v>
      </c>
      <c r="V396" t="str">
        <f t="shared" si="67"/>
        <v>Shot on Target Tinggi</v>
      </c>
      <c r="W396" t="str">
        <f t="shared" si="68"/>
        <v>Fouls Tinggi</v>
      </c>
      <c r="X396" t="str">
        <f t="shared" si="69"/>
        <v>Corner Tinggi</v>
      </c>
      <c r="Y396" t="str">
        <f t="shared" si="65"/>
        <v>Yellow Card Tinggi</v>
      </c>
      <c r="Z396" t="str">
        <f t="shared" si="66"/>
        <v>Red Card Rendah</v>
      </c>
    </row>
    <row r="397" spans="1:26" x14ac:dyDescent="0.25">
      <c r="A397" t="s">
        <v>44</v>
      </c>
      <c r="B397">
        <v>1</v>
      </c>
      <c r="C397">
        <v>30</v>
      </c>
      <c r="D397">
        <v>287</v>
      </c>
      <c r="E397">
        <v>211</v>
      </c>
      <c r="F397">
        <v>0</v>
      </c>
      <c r="G397" t="s">
        <v>35</v>
      </c>
      <c r="H397">
        <v>0</v>
      </c>
      <c r="I397" t="s">
        <v>35</v>
      </c>
      <c r="J397">
        <v>10</v>
      </c>
      <c r="K397">
        <v>1</v>
      </c>
      <c r="L397">
        <v>15</v>
      </c>
      <c r="M397">
        <v>5</v>
      </c>
      <c r="N397">
        <v>0</v>
      </c>
      <c r="O397">
        <v>0</v>
      </c>
      <c r="Q397" t="str">
        <f t="shared" si="60"/>
        <v>xG Sangat Sedikit</v>
      </c>
      <c r="R397" t="str">
        <f t="shared" si="61"/>
        <v>Possession Sangat Sedikit</v>
      </c>
      <c r="S397" t="str">
        <f t="shared" si="62"/>
        <v>Total Pass Sangat Sedikit</v>
      </c>
      <c r="T397" t="str">
        <f t="shared" si="63"/>
        <v>Pass Sukses Sangat Sedikit</v>
      </c>
      <c r="U397" t="str">
        <f t="shared" si="64"/>
        <v>Total Shot Sangat Sedikit</v>
      </c>
      <c r="V397" t="str">
        <f t="shared" si="67"/>
        <v>Shot on Target Rendah</v>
      </c>
      <c r="W397" t="str">
        <f t="shared" si="68"/>
        <v>Fouls Tinggi</v>
      </c>
      <c r="X397" t="str">
        <f t="shared" si="69"/>
        <v>Corner Normal</v>
      </c>
      <c r="Y397" t="str">
        <f t="shared" si="65"/>
        <v>Yellow Card Rendah</v>
      </c>
      <c r="Z397" t="str">
        <f t="shared" si="66"/>
        <v>Red Card Rendah</v>
      </c>
    </row>
    <row r="398" spans="1:26" x14ac:dyDescent="0.25">
      <c r="A398" t="s">
        <v>42</v>
      </c>
      <c r="B398">
        <v>0.9</v>
      </c>
      <c r="C398">
        <v>60</v>
      </c>
      <c r="D398">
        <v>544</v>
      </c>
      <c r="E398">
        <v>483</v>
      </c>
      <c r="F398">
        <v>2</v>
      </c>
      <c r="G398" t="s">
        <v>40</v>
      </c>
      <c r="H398">
        <v>0</v>
      </c>
      <c r="I398" t="s">
        <v>36</v>
      </c>
      <c r="J398">
        <v>9</v>
      </c>
      <c r="K398">
        <v>4</v>
      </c>
      <c r="L398">
        <v>15</v>
      </c>
      <c r="M398">
        <v>1</v>
      </c>
      <c r="N398">
        <v>3</v>
      </c>
      <c r="O398">
        <v>0</v>
      </c>
      <c r="Q398" t="str">
        <f t="shared" si="60"/>
        <v>xG Sangat Sedikit</v>
      </c>
      <c r="R398" t="str">
        <f t="shared" si="61"/>
        <v>Possession Cukup Banyak</v>
      </c>
      <c r="S398" t="str">
        <f t="shared" si="62"/>
        <v>Total Pass Cukup Banyak</v>
      </c>
      <c r="T398" t="str">
        <f t="shared" si="63"/>
        <v>Pass Sukses Cukup Banyak</v>
      </c>
      <c r="U398" t="str">
        <f t="shared" si="64"/>
        <v>Total Shot Sangat Sedikit</v>
      </c>
      <c r="V398" t="str">
        <f t="shared" si="67"/>
        <v>Shot on Target Normal</v>
      </c>
      <c r="W398" t="str">
        <f t="shared" si="68"/>
        <v>Fouls Tinggi</v>
      </c>
      <c r="X398" t="str">
        <f t="shared" si="69"/>
        <v>Corner Rendah</v>
      </c>
      <c r="Y398" t="str">
        <f t="shared" si="65"/>
        <v>Yellow Card Tinggi</v>
      </c>
      <c r="Z398" t="str">
        <f t="shared" si="66"/>
        <v>Red Card Rendah</v>
      </c>
    </row>
    <row r="399" spans="1:26" x14ac:dyDescent="0.25">
      <c r="A399" t="s">
        <v>46</v>
      </c>
      <c r="B399">
        <v>1.6</v>
      </c>
      <c r="C399">
        <v>61</v>
      </c>
      <c r="D399">
        <v>552</v>
      </c>
      <c r="E399">
        <v>428</v>
      </c>
      <c r="F399">
        <v>1</v>
      </c>
      <c r="G399" t="s">
        <v>36</v>
      </c>
      <c r="H399">
        <v>0</v>
      </c>
      <c r="I399" t="s">
        <v>35</v>
      </c>
      <c r="J399">
        <v>14</v>
      </c>
      <c r="K399">
        <v>5</v>
      </c>
      <c r="L399">
        <v>8</v>
      </c>
      <c r="M399">
        <v>9</v>
      </c>
      <c r="N399">
        <v>2</v>
      </c>
      <c r="O399">
        <v>0</v>
      </c>
      <c r="Q399" t="str">
        <f t="shared" si="60"/>
        <v>xG Cukup Sedikit</v>
      </c>
      <c r="R399" t="str">
        <f t="shared" si="61"/>
        <v>Possession Cukup Banyak</v>
      </c>
      <c r="S399" t="str">
        <f t="shared" si="62"/>
        <v>Total Pass Cukup Banyak</v>
      </c>
      <c r="T399" t="str">
        <f t="shared" si="63"/>
        <v>Pass Sukses Cukup Sedikit</v>
      </c>
      <c r="U399" t="str">
        <f t="shared" si="64"/>
        <v>Total Shot Cukup Sedikit</v>
      </c>
      <c r="V399" t="str">
        <f t="shared" si="67"/>
        <v>Shot on Target Tinggi</v>
      </c>
      <c r="W399" t="str">
        <f t="shared" si="68"/>
        <v>Fouls Rendah</v>
      </c>
      <c r="X399" t="str">
        <f t="shared" si="69"/>
        <v>Corner Tinggi</v>
      </c>
      <c r="Y399" t="str">
        <f t="shared" si="65"/>
        <v>Yellow Card Rendah</v>
      </c>
      <c r="Z399" t="str">
        <f t="shared" si="66"/>
        <v>Red Card Rendah</v>
      </c>
    </row>
    <row r="400" spans="1:26" x14ac:dyDescent="0.25">
      <c r="A400" t="s">
        <v>57</v>
      </c>
      <c r="B400">
        <v>1.6</v>
      </c>
      <c r="C400">
        <v>60</v>
      </c>
      <c r="D400">
        <v>525</v>
      </c>
      <c r="E400">
        <v>445</v>
      </c>
      <c r="F400">
        <v>6</v>
      </c>
      <c r="G400" t="s">
        <v>40</v>
      </c>
      <c r="H400">
        <v>2</v>
      </c>
      <c r="I400" t="s">
        <v>36</v>
      </c>
      <c r="J400">
        <v>14</v>
      </c>
      <c r="K400">
        <v>8</v>
      </c>
      <c r="L400">
        <v>13</v>
      </c>
      <c r="M400">
        <v>5</v>
      </c>
      <c r="N400">
        <v>3</v>
      </c>
      <c r="O400">
        <v>0</v>
      </c>
      <c r="Q400" t="str">
        <f t="shared" si="60"/>
        <v>xG Cukup Sedikit</v>
      </c>
      <c r="R400" t="str">
        <f t="shared" si="61"/>
        <v>Possession Cukup Banyak</v>
      </c>
      <c r="S400" t="str">
        <f t="shared" si="62"/>
        <v>Total Pass Cukup Banyak</v>
      </c>
      <c r="T400" t="str">
        <f t="shared" si="63"/>
        <v>Pass Sukses Cukup Banyak</v>
      </c>
      <c r="U400" t="str">
        <f t="shared" si="64"/>
        <v>Total Shot Cukup Sedikit</v>
      </c>
      <c r="V400" t="str">
        <f t="shared" si="67"/>
        <v>Shot on Target Tinggi</v>
      </c>
      <c r="W400" t="str">
        <f t="shared" si="68"/>
        <v>Fouls Tinggi</v>
      </c>
      <c r="X400" t="str">
        <f t="shared" si="69"/>
        <v>Corner Normal</v>
      </c>
      <c r="Y400" t="str">
        <f t="shared" si="65"/>
        <v>Yellow Card Tinggi</v>
      </c>
      <c r="Z400" t="str">
        <f t="shared" si="66"/>
        <v>Red Card Rendah</v>
      </c>
    </row>
    <row r="401" spans="1:26" x14ac:dyDescent="0.25">
      <c r="A401" t="s">
        <v>54</v>
      </c>
      <c r="B401">
        <v>0.5</v>
      </c>
      <c r="C401">
        <v>38</v>
      </c>
      <c r="D401">
        <v>399</v>
      </c>
      <c r="E401">
        <v>322</v>
      </c>
      <c r="F401">
        <v>0</v>
      </c>
      <c r="G401" t="s">
        <v>35</v>
      </c>
      <c r="H401">
        <v>0</v>
      </c>
      <c r="I401" t="s">
        <v>35</v>
      </c>
      <c r="J401">
        <v>8</v>
      </c>
      <c r="K401">
        <v>2</v>
      </c>
      <c r="L401">
        <v>7</v>
      </c>
      <c r="M401">
        <v>4</v>
      </c>
      <c r="N401">
        <v>3</v>
      </c>
      <c r="O401">
        <v>0</v>
      </c>
      <c r="Q401" t="str">
        <f t="shared" si="60"/>
        <v>xG Sangat Sedikit</v>
      </c>
      <c r="R401" t="str">
        <f t="shared" si="61"/>
        <v>Possession Cukup Sedikit</v>
      </c>
      <c r="S401" t="str">
        <f t="shared" si="62"/>
        <v>Total Pass Cukup Sedikit</v>
      </c>
      <c r="T401" t="str">
        <f t="shared" si="63"/>
        <v>Pass Sukses Cukup Sedikit</v>
      </c>
      <c r="U401" t="str">
        <f t="shared" si="64"/>
        <v>Total Shot Sangat Sedikit</v>
      </c>
      <c r="V401" t="str">
        <f t="shared" si="67"/>
        <v>Shot on Target Rendah</v>
      </c>
      <c r="W401" t="str">
        <f t="shared" si="68"/>
        <v>Fouls Rendah</v>
      </c>
      <c r="X401" t="str">
        <f t="shared" si="69"/>
        <v>Corner Rendah</v>
      </c>
      <c r="Y401" t="str">
        <f t="shared" si="65"/>
        <v>Yellow Card Tinggi</v>
      </c>
      <c r="Z401" t="str">
        <f t="shared" si="66"/>
        <v>Red Card Rendah</v>
      </c>
    </row>
    <row r="402" spans="1:26" x14ac:dyDescent="0.25">
      <c r="A402" t="s">
        <v>45</v>
      </c>
      <c r="B402">
        <v>1.7</v>
      </c>
      <c r="C402">
        <v>64</v>
      </c>
      <c r="D402">
        <v>518</v>
      </c>
      <c r="E402">
        <v>429</v>
      </c>
      <c r="F402">
        <v>1</v>
      </c>
      <c r="G402" t="s">
        <v>36</v>
      </c>
      <c r="H402">
        <v>0</v>
      </c>
      <c r="I402" t="s">
        <v>35</v>
      </c>
      <c r="J402">
        <v>22</v>
      </c>
      <c r="K402">
        <v>4</v>
      </c>
      <c r="L402">
        <v>7</v>
      </c>
      <c r="M402">
        <v>7</v>
      </c>
      <c r="N402">
        <v>2</v>
      </c>
      <c r="O402">
        <v>0</v>
      </c>
      <c r="Q402" t="str">
        <f t="shared" si="60"/>
        <v>xG Cukup Sedikit</v>
      </c>
      <c r="R402" t="str">
        <f t="shared" si="61"/>
        <v>Possession Sangat Banyak</v>
      </c>
      <c r="S402" t="str">
        <f t="shared" si="62"/>
        <v>Total Pass Cukup Banyak</v>
      </c>
      <c r="T402" t="str">
        <f t="shared" si="63"/>
        <v>Pass Sukses Cukup Sedikit</v>
      </c>
      <c r="U402" t="str">
        <f t="shared" si="64"/>
        <v>Total Shot Cukup Banyak</v>
      </c>
      <c r="V402" t="str">
        <f t="shared" si="67"/>
        <v>Shot on Target Normal</v>
      </c>
      <c r="W402" t="str">
        <f t="shared" si="68"/>
        <v>Fouls Rendah</v>
      </c>
      <c r="X402" t="str">
        <f t="shared" si="69"/>
        <v>Corner Tinggi</v>
      </c>
      <c r="Y402" t="str">
        <f t="shared" si="65"/>
        <v>Yellow Card Rendah</v>
      </c>
      <c r="Z402" t="str">
        <f t="shared" si="66"/>
        <v>Red Card Rendah</v>
      </c>
    </row>
    <row r="403" spans="1:26" x14ac:dyDescent="0.25">
      <c r="A403" t="s">
        <v>47</v>
      </c>
      <c r="B403">
        <v>1.5</v>
      </c>
      <c r="C403">
        <v>63</v>
      </c>
      <c r="D403">
        <v>664</v>
      </c>
      <c r="E403">
        <v>573</v>
      </c>
      <c r="F403">
        <v>1</v>
      </c>
      <c r="G403" t="s">
        <v>35</v>
      </c>
      <c r="H403">
        <v>0</v>
      </c>
      <c r="I403" t="s">
        <v>35</v>
      </c>
      <c r="J403">
        <v>18</v>
      </c>
      <c r="K403">
        <v>6</v>
      </c>
      <c r="L403">
        <v>7</v>
      </c>
      <c r="M403">
        <v>8</v>
      </c>
      <c r="N403">
        <v>1</v>
      </c>
      <c r="O403">
        <v>0</v>
      </c>
      <c r="Q403" t="str">
        <f t="shared" si="60"/>
        <v>xG Cukup Sedikit</v>
      </c>
      <c r="R403" t="str">
        <f t="shared" si="61"/>
        <v>Possession Cukup Banyak</v>
      </c>
      <c r="S403" t="str">
        <f t="shared" si="62"/>
        <v>Total Pass Sangat Banyak</v>
      </c>
      <c r="T403" t="str">
        <f t="shared" si="63"/>
        <v>Pass Sukses Cukup Banyak</v>
      </c>
      <c r="U403" t="str">
        <f t="shared" si="64"/>
        <v>Total Shot Cukup Sedikit</v>
      </c>
      <c r="V403" t="str">
        <f t="shared" si="67"/>
        <v>Shot on Target Tinggi</v>
      </c>
      <c r="W403" t="str">
        <f t="shared" si="68"/>
        <v>Fouls Rendah</v>
      </c>
      <c r="X403" t="str">
        <f t="shared" si="69"/>
        <v>Corner Tinggi</v>
      </c>
      <c r="Y403" t="str">
        <f t="shared" si="65"/>
        <v>Yellow Card Rendah</v>
      </c>
      <c r="Z403" t="str">
        <f t="shared" si="66"/>
        <v>Red Card Rendah</v>
      </c>
    </row>
    <row r="404" spans="1:26" x14ac:dyDescent="0.25">
      <c r="A404" t="s">
        <v>49</v>
      </c>
      <c r="B404">
        <v>2.4</v>
      </c>
      <c r="C404">
        <v>53</v>
      </c>
      <c r="D404">
        <v>441</v>
      </c>
      <c r="E404">
        <v>327</v>
      </c>
      <c r="F404">
        <v>3</v>
      </c>
      <c r="G404" t="s">
        <v>40</v>
      </c>
      <c r="H404">
        <v>0</v>
      </c>
      <c r="I404" t="s">
        <v>36</v>
      </c>
      <c r="J404">
        <v>17</v>
      </c>
      <c r="K404">
        <v>7</v>
      </c>
      <c r="L404">
        <v>1</v>
      </c>
      <c r="M404">
        <v>4</v>
      </c>
      <c r="N404">
        <v>1</v>
      </c>
      <c r="O404">
        <v>0</v>
      </c>
      <c r="Q404" t="str">
        <f t="shared" si="60"/>
        <v>xG Cukup Sedikit</v>
      </c>
      <c r="R404" t="str">
        <f t="shared" si="61"/>
        <v>Possession Cukup Banyak</v>
      </c>
      <c r="S404" t="str">
        <f t="shared" si="62"/>
        <v>Total Pass Cukup Sedikit</v>
      </c>
      <c r="T404" t="str">
        <f t="shared" si="63"/>
        <v>Pass Sukses Cukup Sedikit</v>
      </c>
      <c r="U404" t="str">
        <f t="shared" si="64"/>
        <v>Total Shot Cukup Sedikit</v>
      </c>
      <c r="V404" t="str">
        <f t="shared" si="67"/>
        <v>Shot on Target Tinggi</v>
      </c>
      <c r="W404" t="str">
        <f t="shared" si="68"/>
        <v>Fouls Rendah</v>
      </c>
      <c r="X404" t="str">
        <f t="shared" si="69"/>
        <v>Corner Rendah</v>
      </c>
      <c r="Y404" t="str">
        <f t="shared" si="65"/>
        <v>Yellow Card Rendah</v>
      </c>
      <c r="Z404" t="str">
        <f t="shared" si="66"/>
        <v>Red Card Rendah</v>
      </c>
    </row>
    <row r="405" spans="1:26" x14ac:dyDescent="0.25">
      <c r="A405" t="s">
        <v>34</v>
      </c>
      <c r="B405">
        <v>0.9</v>
      </c>
      <c r="C405">
        <v>52</v>
      </c>
      <c r="D405">
        <v>469</v>
      </c>
      <c r="E405">
        <v>383</v>
      </c>
      <c r="F405">
        <v>1</v>
      </c>
      <c r="G405" t="s">
        <v>36</v>
      </c>
      <c r="H405">
        <v>1</v>
      </c>
      <c r="I405" t="s">
        <v>36</v>
      </c>
      <c r="J405">
        <v>9</v>
      </c>
      <c r="K405">
        <v>4</v>
      </c>
      <c r="L405">
        <v>15</v>
      </c>
      <c r="M405">
        <v>6</v>
      </c>
      <c r="N405">
        <v>3</v>
      </c>
      <c r="O405">
        <v>0</v>
      </c>
      <c r="Q405" t="str">
        <f t="shared" si="60"/>
        <v>xG Sangat Sedikit</v>
      </c>
      <c r="R405" t="str">
        <f t="shared" si="61"/>
        <v>Possession Cukup Banyak</v>
      </c>
      <c r="S405" t="str">
        <f t="shared" si="62"/>
        <v>Total Pass Cukup Sedikit</v>
      </c>
      <c r="T405" t="str">
        <f t="shared" si="63"/>
        <v>Pass Sukses Cukup Sedikit</v>
      </c>
      <c r="U405" t="str">
        <f t="shared" si="64"/>
        <v>Total Shot Sangat Sedikit</v>
      </c>
      <c r="V405" t="str">
        <f t="shared" si="67"/>
        <v>Shot on Target Normal</v>
      </c>
      <c r="W405" t="str">
        <f t="shared" si="68"/>
        <v>Fouls Tinggi</v>
      </c>
      <c r="X405" t="str">
        <f t="shared" si="69"/>
        <v>Corner Tinggi</v>
      </c>
      <c r="Y405" t="str">
        <f t="shared" si="65"/>
        <v>Yellow Card Tinggi</v>
      </c>
      <c r="Z405" t="str">
        <f t="shared" si="66"/>
        <v>Red Card Rendah</v>
      </c>
    </row>
    <row r="406" spans="1:26" x14ac:dyDescent="0.25">
      <c r="A406" t="s">
        <v>52</v>
      </c>
      <c r="B406">
        <v>1.4</v>
      </c>
      <c r="C406">
        <v>43</v>
      </c>
      <c r="D406">
        <v>411</v>
      </c>
      <c r="E406">
        <v>333</v>
      </c>
      <c r="F406">
        <v>2</v>
      </c>
      <c r="G406" t="s">
        <v>40</v>
      </c>
      <c r="H406">
        <v>1</v>
      </c>
      <c r="I406" t="s">
        <v>40</v>
      </c>
      <c r="J406">
        <v>10</v>
      </c>
      <c r="K406">
        <v>5</v>
      </c>
      <c r="L406">
        <v>21</v>
      </c>
      <c r="M406">
        <v>4</v>
      </c>
      <c r="N406">
        <v>5</v>
      </c>
      <c r="O406">
        <v>0</v>
      </c>
      <c r="Q406" t="str">
        <f t="shared" si="60"/>
        <v>xG Sangat Sedikit</v>
      </c>
      <c r="R406" t="str">
        <f t="shared" si="61"/>
        <v>Possession Cukup Sedikit</v>
      </c>
      <c r="S406" t="str">
        <f t="shared" si="62"/>
        <v>Total Pass Cukup Sedikit</v>
      </c>
      <c r="T406" t="str">
        <f t="shared" si="63"/>
        <v>Pass Sukses Cukup Sedikit</v>
      </c>
      <c r="U406" t="str">
        <f t="shared" si="64"/>
        <v>Total Shot Sangat Sedikit</v>
      </c>
      <c r="V406" t="str">
        <f t="shared" si="67"/>
        <v>Shot on Target Tinggi</v>
      </c>
      <c r="W406" t="str">
        <f t="shared" si="68"/>
        <v>Fouls Tinggi</v>
      </c>
      <c r="X406" t="str">
        <f t="shared" si="69"/>
        <v>Corner Rendah</v>
      </c>
      <c r="Y406" t="str">
        <f t="shared" si="65"/>
        <v>Yellow Card Tinggi</v>
      </c>
      <c r="Z406" t="str">
        <f t="shared" si="66"/>
        <v>Red Card Rendah</v>
      </c>
    </row>
    <row r="407" spans="1:26" x14ac:dyDescent="0.25">
      <c r="A407" t="s">
        <v>43</v>
      </c>
      <c r="B407">
        <v>0.7</v>
      </c>
      <c r="C407">
        <v>48</v>
      </c>
      <c r="D407">
        <v>383</v>
      </c>
      <c r="E407">
        <v>292</v>
      </c>
      <c r="F407">
        <v>1</v>
      </c>
      <c r="G407" t="s">
        <v>36</v>
      </c>
      <c r="H407">
        <v>1</v>
      </c>
      <c r="I407" t="s">
        <v>36</v>
      </c>
      <c r="J407">
        <v>11</v>
      </c>
      <c r="K407">
        <v>3</v>
      </c>
      <c r="L407">
        <v>18</v>
      </c>
      <c r="M407">
        <v>3</v>
      </c>
      <c r="N407">
        <v>4</v>
      </c>
      <c r="O407">
        <v>0</v>
      </c>
      <c r="Q407" t="str">
        <f t="shared" si="60"/>
        <v>xG Sangat Sedikit</v>
      </c>
      <c r="R407" t="str">
        <f t="shared" si="61"/>
        <v>Possession Cukup Sedikit</v>
      </c>
      <c r="S407" t="str">
        <f t="shared" si="62"/>
        <v>Total Pass Cukup Sedikit</v>
      </c>
      <c r="T407" t="str">
        <f t="shared" si="63"/>
        <v>Pass Sukses Cukup Sedikit</v>
      </c>
      <c r="U407" t="str">
        <f t="shared" si="64"/>
        <v>Total Shot Cukup Sedikit</v>
      </c>
      <c r="V407" t="str">
        <f t="shared" si="67"/>
        <v>Shot on Target Rendah</v>
      </c>
      <c r="W407" t="str">
        <f t="shared" si="68"/>
        <v>Fouls Tinggi</v>
      </c>
      <c r="X407" t="str">
        <f t="shared" si="69"/>
        <v>Corner Rendah</v>
      </c>
      <c r="Y407" t="str">
        <f t="shared" si="65"/>
        <v>Yellow Card Tinggi</v>
      </c>
      <c r="Z407" t="str">
        <f t="shared" si="66"/>
        <v>Red Card Rendah</v>
      </c>
    </row>
    <row r="408" spans="1:26" x14ac:dyDescent="0.25">
      <c r="A408" t="s">
        <v>58</v>
      </c>
      <c r="B408">
        <v>3</v>
      </c>
      <c r="C408">
        <v>67</v>
      </c>
      <c r="D408">
        <v>762</v>
      </c>
      <c r="E408">
        <v>691</v>
      </c>
      <c r="F408">
        <v>3</v>
      </c>
      <c r="G408" t="s">
        <v>40</v>
      </c>
      <c r="H408">
        <v>2</v>
      </c>
      <c r="I408" t="s">
        <v>40</v>
      </c>
      <c r="J408">
        <v>23</v>
      </c>
      <c r="K408">
        <v>8</v>
      </c>
      <c r="L408">
        <v>3</v>
      </c>
      <c r="M408">
        <v>11</v>
      </c>
      <c r="N408">
        <v>2</v>
      </c>
      <c r="O408">
        <v>0</v>
      </c>
      <c r="Q408" t="str">
        <f t="shared" si="60"/>
        <v>xG Cukup Banyak</v>
      </c>
      <c r="R408" t="str">
        <f t="shared" si="61"/>
        <v>Possession Sangat Banyak</v>
      </c>
      <c r="S408" t="str">
        <f t="shared" si="62"/>
        <v>Total Pass Sangat Banyak</v>
      </c>
      <c r="T408" t="str">
        <f t="shared" si="63"/>
        <v>Pass Sukses Sangat Banyak</v>
      </c>
      <c r="U408" t="str">
        <f t="shared" si="64"/>
        <v>Total Shot Cukup Banyak</v>
      </c>
      <c r="V408" t="str">
        <f t="shared" si="67"/>
        <v>Shot on Target Tinggi</v>
      </c>
      <c r="W408" t="str">
        <f t="shared" si="68"/>
        <v>Fouls Rendah</v>
      </c>
      <c r="X408" t="str">
        <f t="shared" si="69"/>
        <v>Corner Tinggi</v>
      </c>
      <c r="Y408" t="str">
        <f t="shared" si="65"/>
        <v>Yellow Card Rendah</v>
      </c>
      <c r="Z408" t="str">
        <f t="shared" si="66"/>
        <v>Red Card Rendah</v>
      </c>
    </row>
    <row r="409" spans="1:26" x14ac:dyDescent="0.25">
      <c r="A409" t="s">
        <v>55</v>
      </c>
      <c r="B409">
        <v>0.5</v>
      </c>
      <c r="C409">
        <v>38</v>
      </c>
      <c r="D409">
        <v>382</v>
      </c>
      <c r="E409">
        <v>300</v>
      </c>
      <c r="F409">
        <v>1</v>
      </c>
      <c r="G409" t="s">
        <v>36</v>
      </c>
      <c r="H409">
        <v>0</v>
      </c>
      <c r="I409" t="s">
        <v>35</v>
      </c>
      <c r="J409">
        <v>9</v>
      </c>
      <c r="K409">
        <v>3</v>
      </c>
      <c r="L409">
        <v>13</v>
      </c>
      <c r="M409">
        <v>5</v>
      </c>
      <c r="N409">
        <v>2</v>
      </c>
      <c r="O409">
        <v>0</v>
      </c>
      <c r="Q409" t="str">
        <f t="shared" si="60"/>
        <v>xG Sangat Sedikit</v>
      </c>
      <c r="R409" t="str">
        <f t="shared" si="61"/>
        <v>Possession Cukup Sedikit</v>
      </c>
      <c r="S409" t="str">
        <f t="shared" si="62"/>
        <v>Total Pass Cukup Sedikit</v>
      </c>
      <c r="T409" t="str">
        <f t="shared" si="63"/>
        <v>Pass Sukses Cukup Sedikit</v>
      </c>
      <c r="U409" t="str">
        <f t="shared" si="64"/>
        <v>Total Shot Sangat Sedikit</v>
      </c>
      <c r="V409" t="str">
        <f t="shared" si="67"/>
        <v>Shot on Target Rendah</v>
      </c>
      <c r="W409" t="str">
        <f t="shared" si="68"/>
        <v>Fouls Tinggi</v>
      </c>
      <c r="X409" t="str">
        <f t="shared" si="69"/>
        <v>Corner Normal</v>
      </c>
      <c r="Y409" t="str">
        <f t="shared" si="65"/>
        <v>Yellow Card Rendah</v>
      </c>
      <c r="Z409" t="str">
        <f t="shared" si="66"/>
        <v>Red Card Rendah</v>
      </c>
    </row>
    <row r="410" spans="1:26" x14ac:dyDescent="0.25">
      <c r="A410" t="s">
        <v>60</v>
      </c>
      <c r="B410">
        <v>1.2</v>
      </c>
      <c r="C410">
        <v>65</v>
      </c>
      <c r="D410">
        <v>557</v>
      </c>
      <c r="E410">
        <v>450</v>
      </c>
      <c r="F410">
        <v>1</v>
      </c>
      <c r="G410" t="s">
        <v>35</v>
      </c>
      <c r="H410">
        <v>0</v>
      </c>
      <c r="I410" t="s">
        <v>35</v>
      </c>
      <c r="J410">
        <v>20</v>
      </c>
      <c r="K410">
        <v>6</v>
      </c>
      <c r="L410">
        <v>13</v>
      </c>
      <c r="M410">
        <v>12</v>
      </c>
      <c r="N410">
        <v>4</v>
      </c>
      <c r="O410">
        <v>0</v>
      </c>
      <c r="Q410" t="str">
        <f t="shared" si="60"/>
        <v>xG Sangat Sedikit</v>
      </c>
      <c r="R410" t="str">
        <f t="shared" si="61"/>
        <v>Possession Sangat Banyak</v>
      </c>
      <c r="S410" t="str">
        <f t="shared" si="62"/>
        <v>Total Pass Cukup Banyak</v>
      </c>
      <c r="T410" t="str">
        <f t="shared" si="63"/>
        <v>Pass Sukses Cukup Banyak</v>
      </c>
      <c r="U410" t="str">
        <f t="shared" si="64"/>
        <v>Total Shot Cukup Banyak</v>
      </c>
      <c r="V410" t="str">
        <f t="shared" si="67"/>
        <v>Shot on Target Tinggi</v>
      </c>
      <c r="W410" t="str">
        <f t="shared" si="68"/>
        <v>Fouls Tinggi</v>
      </c>
      <c r="X410" t="str">
        <f t="shared" si="69"/>
        <v>Corner Tinggi</v>
      </c>
      <c r="Y410" t="str">
        <f t="shared" si="65"/>
        <v>Yellow Card Tinggi</v>
      </c>
      <c r="Z410" t="str">
        <f t="shared" si="66"/>
        <v>Red Card Rendah</v>
      </c>
    </row>
    <row r="411" spans="1:26" x14ac:dyDescent="0.25">
      <c r="A411" t="s">
        <v>39</v>
      </c>
      <c r="B411">
        <v>1.8</v>
      </c>
      <c r="C411">
        <v>47</v>
      </c>
      <c r="D411">
        <v>497</v>
      </c>
      <c r="E411">
        <v>414</v>
      </c>
      <c r="F411">
        <v>3</v>
      </c>
      <c r="G411" t="s">
        <v>40</v>
      </c>
      <c r="H411">
        <v>2</v>
      </c>
      <c r="I411" t="s">
        <v>40</v>
      </c>
      <c r="J411">
        <v>11</v>
      </c>
      <c r="K411">
        <v>3</v>
      </c>
      <c r="L411">
        <v>7</v>
      </c>
      <c r="M411">
        <v>2</v>
      </c>
      <c r="N411">
        <v>1</v>
      </c>
      <c r="O411">
        <v>0</v>
      </c>
      <c r="Q411" t="str">
        <f t="shared" si="60"/>
        <v>xG Cukup Sedikit</v>
      </c>
      <c r="R411" t="str">
        <f t="shared" si="61"/>
        <v>Possession Cukup Sedikit</v>
      </c>
      <c r="S411" t="str">
        <f t="shared" si="62"/>
        <v>Total Pass Cukup Sedikit</v>
      </c>
      <c r="T411" t="str">
        <f t="shared" si="63"/>
        <v>Pass Sukses Cukup Sedikit</v>
      </c>
      <c r="U411" t="str">
        <f t="shared" si="64"/>
        <v>Total Shot Cukup Sedikit</v>
      </c>
      <c r="V411" t="str">
        <f t="shared" si="67"/>
        <v>Shot on Target Rendah</v>
      </c>
      <c r="W411" t="str">
        <f t="shared" si="68"/>
        <v>Fouls Rendah</v>
      </c>
      <c r="X411" t="str">
        <f t="shared" si="69"/>
        <v>Corner Rendah</v>
      </c>
      <c r="Y411" t="str">
        <f t="shared" si="65"/>
        <v>Yellow Card Rendah</v>
      </c>
      <c r="Z411" t="str">
        <f t="shared" si="66"/>
        <v>Red Card Rendah</v>
      </c>
    </row>
    <row r="412" spans="1:26" x14ac:dyDescent="0.25">
      <c r="A412" t="s">
        <v>33</v>
      </c>
      <c r="B412">
        <v>2.6</v>
      </c>
      <c r="C412">
        <v>56</v>
      </c>
      <c r="D412">
        <v>640</v>
      </c>
      <c r="E412">
        <v>576</v>
      </c>
      <c r="F412">
        <v>3</v>
      </c>
      <c r="G412" t="s">
        <v>40</v>
      </c>
      <c r="H412">
        <v>2</v>
      </c>
      <c r="I412" t="s">
        <v>40</v>
      </c>
      <c r="J412">
        <v>20</v>
      </c>
      <c r="K412">
        <v>10</v>
      </c>
      <c r="L412">
        <v>14</v>
      </c>
      <c r="M412">
        <v>7</v>
      </c>
      <c r="N412">
        <v>4</v>
      </c>
      <c r="O412">
        <v>0</v>
      </c>
      <c r="Q412" t="str">
        <f t="shared" si="60"/>
        <v>xG Cukup Sedikit</v>
      </c>
      <c r="R412" t="str">
        <f t="shared" si="61"/>
        <v>Possession Cukup Banyak</v>
      </c>
      <c r="S412" t="str">
        <f t="shared" si="62"/>
        <v>Total Pass Cukup Banyak</v>
      </c>
      <c r="T412" t="str">
        <f t="shared" si="63"/>
        <v>Pass Sukses Cukup Banyak</v>
      </c>
      <c r="U412" t="str">
        <f t="shared" si="64"/>
        <v>Total Shot Cukup Banyak</v>
      </c>
      <c r="V412" t="str">
        <f t="shared" si="67"/>
        <v>Shot on Target Tinggi</v>
      </c>
      <c r="W412" t="str">
        <f t="shared" si="68"/>
        <v>Fouls Tinggi</v>
      </c>
      <c r="X412" t="str">
        <f t="shared" si="69"/>
        <v>Corner Tinggi</v>
      </c>
      <c r="Y412" t="str">
        <f t="shared" si="65"/>
        <v>Yellow Card Tinggi</v>
      </c>
      <c r="Z412" t="str">
        <f t="shared" si="66"/>
        <v>Red Card Rendah</v>
      </c>
    </row>
    <row r="413" spans="1:26" x14ac:dyDescent="0.25">
      <c r="A413" t="s">
        <v>38</v>
      </c>
      <c r="B413">
        <v>0.3</v>
      </c>
      <c r="C413">
        <v>32</v>
      </c>
      <c r="D413">
        <v>293</v>
      </c>
      <c r="E413">
        <v>205</v>
      </c>
      <c r="F413">
        <v>0</v>
      </c>
      <c r="G413" t="s">
        <v>36</v>
      </c>
      <c r="H413">
        <v>0</v>
      </c>
      <c r="I413" t="s">
        <v>36</v>
      </c>
      <c r="J413">
        <v>6</v>
      </c>
      <c r="K413">
        <v>1</v>
      </c>
      <c r="L413">
        <v>16</v>
      </c>
      <c r="M413">
        <v>2</v>
      </c>
      <c r="N413">
        <v>3</v>
      </c>
      <c r="O413">
        <v>0</v>
      </c>
      <c r="Q413" t="str">
        <f t="shared" si="60"/>
        <v>xG Sangat Sedikit</v>
      </c>
      <c r="R413" t="str">
        <f t="shared" si="61"/>
        <v>Possession Sangat Sedikit</v>
      </c>
      <c r="S413" t="str">
        <f t="shared" si="62"/>
        <v>Total Pass Sangat Sedikit</v>
      </c>
      <c r="T413" t="str">
        <f t="shared" si="63"/>
        <v>Pass Sukses Sangat Sedikit</v>
      </c>
      <c r="U413" t="str">
        <f t="shared" si="64"/>
        <v>Total Shot Sangat Sedikit</v>
      </c>
      <c r="V413" t="str">
        <f t="shared" si="67"/>
        <v>Shot on Target Rendah</v>
      </c>
      <c r="W413" t="str">
        <f t="shared" si="68"/>
        <v>Fouls Tinggi</v>
      </c>
      <c r="X413" t="str">
        <f t="shared" si="69"/>
        <v>Corner Rendah</v>
      </c>
      <c r="Y413" t="str">
        <f t="shared" si="65"/>
        <v>Yellow Card Tinggi</v>
      </c>
      <c r="Z413" t="str">
        <f t="shared" si="66"/>
        <v>Red Card Rendah</v>
      </c>
    </row>
    <row r="414" spans="1:26" x14ac:dyDescent="0.25">
      <c r="A414" t="s">
        <v>59</v>
      </c>
      <c r="B414">
        <v>1.2</v>
      </c>
      <c r="C414">
        <v>34</v>
      </c>
      <c r="D414">
        <v>333</v>
      </c>
      <c r="E414">
        <v>229</v>
      </c>
      <c r="F414">
        <v>2</v>
      </c>
      <c r="G414" t="s">
        <v>36</v>
      </c>
      <c r="H414">
        <v>1</v>
      </c>
      <c r="I414" t="s">
        <v>40</v>
      </c>
      <c r="J414">
        <v>9</v>
      </c>
      <c r="K414">
        <v>4</v>
      </c>
      <c r="L414">
        <v>15</v>
      </c>
      <c r="M414">
        <v>2</v>
      </c>
      <c r="N414">
        <v>3</v>
      </c>
      <c r="O414">
        <v>0</v>
      </c>
      <c r="Q414" t="str">
        <f t="shared" si="60"/>
        <v>xG Sangat Sedikit</v>
      </c>
      <c r="R414" t="str">
        <f t="shared" si="61"/>
        <v>Possession Sangat Sedikit</v>
      </c>
      <c r="S414" t="str">
        <f t="shared" si="62"/>
        <v>Total Pass Sangat Sedikit</v>
      </c>
      <c r="T414" t="str">
        <f t="shared" si="63"/>
        <v>Pass Sukses Sangat Sedikit</v>
      </c>
      <c r="U414" t="str">
        <f t="shared" si="64"/>
        <v>Total Shot Sangat Sedikit</v>
      </c>
      <c r="V414" t="str">
        <f t="shared" si="67"/>
        <v>Shot on Target Normal</v>
      </c>
      <c r="W414" t="str">
        <f t="shared" si="68"/>
        <v>Fouls Tinggi</v>
      </c>
      <c r="X414" t="str">
        <f t="shared" si="69"/>
        <v>Corner Rendah</v>
      </c>
      <c r="Y414" t="str">
        <f t="shared" si="65"/>
        <v>Yellow Card Tinggi</v>
      </c>
      <c r="Z414" t="str">
        <f t="shared" si="66"/>
        <v>Red Card Rendah</v>
      </c>
    </row>
    <row r="415" spans="1:26" x14ac:dyDescent="0.25">
      <c r="A415" t="s">
        <v>51</v>
      </c>
      <c r="B415">
        <v>0.8</v>
      </c>
      <c r="C415">
        <v>46</v>
      </c>
      <c r="D415">
        <v>379</v>
      </c>
      <c r="E415">
        <v>283</v>
      </c>
      <c r="F415">
        <v>1</v>
      </c>
      <c r="G415" t="s">
        <v>36</v>
      </c>
      <c r="H415">
        <v>0</v>
      </c>
      <c r="I415" t="s">
        <v>35</v>
      </c>
      <c r="J415">
        <v>11</v>
      </c>
      <c r="K415">
        <v>3</v>
      </c>
      <c r="L415">
        <v>18</v>
      </c>
      <c r="M415">
        <v>2</v>
      </c>
      <c r="N415">
        <v>3</v>
      </c>
      <c r="O415">
        <v>0</v>
      </c>
      <c r="Q415" t="str">
        <f t="shared" si="60"/>
        <v>xG Sangat Sedikit</v>
      </c>
      <c r="R415" t="str">
        <f t="shared" si="61"/>
        <v>Possession Cukup Sedikit</v>
      </c>
      <c r="S415" t="str">
        <f t="shared" si="62"/>
        <v>Total Pass Cukup Sedikit</v>
      </c>
      <c r="T415" t="str">
        <f t="shared" si="63"/>
        <v>Pass Sukses Sangat Sedikit</v>
      </c>
      <c r="U415" t="str">
        <f t="shared" si="64"/>
        <v>Total Shot Cukup Sedikit</v>
      </c>
      <c r="V415" t="str">
        <f t="shared" si="67"/>
        <v>Shot on Target Rendah</v>
      </c>
      <c r="W415" t="str">
        <f t="shared" si="68"/>
        <v>Fouls Tinggi</v>
      </c>
      <c r="X415" t="str">
        <f t="shared" si="69"/>
        <v>Corner Rendah</v>
      </c>
      <c r="Y415" t="str">
        <f t="shared" si="65"/>
        <v>Yellow Card Tinggi</v>
      </c>
      <c r="Z415" t="str">
        <f t="shared" si="66"/>
        <v>Red Card Rendah</v>
      </c>
    </row>
    <row r="416" spans="1:26" x14ac:dyDescent="0.25">
      <c r="A416" t="s">
        <v>48</v>
      </c>
      <c r="B416">
        <v>0.4</v>
      </c>
      <c r="C416">
        <v>32</v>
      </c>
      <c r="D416">
        <v>304</v>
      </c>
      <c r="E416">
        <v>197</v>
      </c>
      <c r="F416">
        <v>1</v>
      </c>
      <c r="G416" t="s">
        <v>40</v>
      </c>
      <c r="H416">
        <v>0</v>
      </c>
      <c r="I416" t="s">
        <v>36</v>
      </c>
      <c r="J416">
        <v>5</v>
      </c>
      <c r="K416">
        <v>3</v>
      </c>
      <c r="L416">
        <v>6</v>
      </c>
      <c r="M416">
        <v>2</v>
      </c>
      <c r="N416">
        <v>4</v>
      </c>
      <c r="O416">
        <v>0</v>
      </c>
      <c r="Q416" t="str">
        <f t="shared" si="60"/>
        <v>xG Sangat Sedikit</v>
      </c>
      <c r="R416" t="str">
        <f t="shared" si="61"/>
        <v>Possession Sangat Sedikit</v>
      </c>
      <c r="S416" t="str">
        <f t="shared" si="62"/>
        <v>Total Pass Sangat Sedikit</v>
      </c>
      <c r="T416" t="str">
        <f t="shared" si="63"/>
        <v>Pass Sukses Sangat Sedikit</v>
      </c>
      <c r="U416" t="str">
        <f t="shared" si="64"/>
        <v>Total Shot Sangat Sedikit</v>
      </c>
      <c r="V416" t="str">
        <f t="shared" si="67"/>
        <v>Shot on Target Rendah</v>
      </c>
      <c r="W416" t="str">
        <f t="shared" si="68"/>
        <v>Fouls Rendah</v>
      </c>
      <c r="X416" t="str">
        <f t="shared" si="69"/>
        <v>Corner Rendah</v>
      </c>
      <c r="Y416" t="str">
        <f t="shared" si="65"/>
        <v>Yellow Card Tinggi</v>
      </c>
      <c r="Z416" t="str">
        <f t="shared" si="66"/>
        <v>Red Card Rendah</v>
      </c>
    </row>
    <row r="417" spans="1:26" x14ac:dyDescent="0.25">
      <c r="A417" t="s">
        <v>54</v>
      </c>
      <c r="B417">
        <v>1</v>
      </c>
      <c r="C417">
        <v>46</v>
      </c>
      <c r="D417">
        <v>492</v>
      </c>
      <c r="E417">
        <v>414</v>
      </c>
      <c r="F417">
        <v>1</v>
      </c>
      <c r="G417" t="s">
        <v>35</v>
      </c>
      <c r="H417">
        <v>1</v>
      </c>
      <c r="I417" t="s">
        <v>35</v>
      </c>
      <c r="J417">
        <v>8</v>
      </c>
      <c r="K417">
        <v>5</v>
      </c>
      <c r="L417">
        <v>3</v>
      </c>
      <c r="M417">
        <v>3</v>
      </c>
      <c r="N417">
        <v>1</v>
      </c>
      <c r="O417">
        <v>0</v>
      </c>
      <c r="Q417" t="str">
        <f t="shared" si="60"/>
        <v>xG Sangat Sedikit</v>
      </c>
      <c r="R417" t="str">
        <f t="shared" si="61"/>
        <v>Possession Cukup Sedikit</v>
      </c>
      <c r="S417" t="str">
        <f t="shared" si="62"/>
        <v>Total Pass Cukup Sedikit</v>
      </c>
      <c r="T417" t="str">
        <f t="shared" si="63"/>
        <v>Pass Sukses Cukup Sedikit</v>
      </c>
      <c r="U417" t="str">
        <f t="shared" si="64"/>
        <v>Total Shot Sangat Sedikit</v>
      </c>
      <c r="V417" t="str">
        <f t="shared" si="67"/>
        <v>Shot on Target Tinggi</v>
      </c>
      <c r="W417" t="str">
        <f t="shared" si="68"/>
        <v>Fouls Rendah</v>
      </c>
      <c r="X417" t="str">
        <f t="shared" si="69"/>
        <v>Corner Rendah</v>
      </c>
      <c r="Y417" t="str">
        <f t="shared" si="65"/>
        <v>Yellow Card Rendah</v>
      </c>
      <c r="Z417" t="str">
        <f t="shared" si="66"/>
        <v>Red Card Rendah</v>
      </c>
    </row>
    <row r="418" spans="1:26" x14ac:dyDescent="0.25">
      <c r="A418" t="s">
        <v>44</v>
      </c>
      <c r="B418">
        <v>0.9</v>
      </c>
      <c r="C418">
        <v>28</v>
      </c>
      <c r="D418">
        <v>272</v>
      </c>
      <c r="E418">
        <v>203</v>
      </c>
      <c r="F418">
        <v>2</v>
      </c>
      <c r="G418" t="s">
        <v>35</v>
      </c>
      <c r="H418">
        <v>2</v>
      </c>
      <c r="I418" t="s">
        <v>40</v>
      </c>
      <c r="J418">
        <v>6</v>
      </c>
      <c r="K418">
        <v>2</v>
      </c>
      <c r="L418">
        <v>12</v>
      </c>
      <c r="M418">
        <v>2</v>
      </c>
      <c r="N418">
        <v>4</v>
      </c>
      <c r="O418">
        <v>0</v>
      </c>
      <c r="Q418" t="str">
        <f t="shared" si="60"/>
        <v>xG Sangat Sedikit</v>
      </c>
      <c r="R418" t="str">
        <f t="shared" si="61"/>
        <v>Possession Sangat Sedikit</v>
      </c>
      <c r="S418" t="str">
        <f t="shared" si="62"/>
        <v>Total Pass Sangat Sedikit</v>
      </c>
      <c r="T418" t="str">
        <f t="shared" si="63"/>
        <v>Pass Sukses Sangat Sedikit</v>
      </c>
      <c r="U418" t="str">
        <f t="shared" si="64"/>
        <v>Total Shot Sangat Sedikit</v>
      </c>
      <c r="V418" t="str">
        <f t="shared" si="67"/>
        <v>Shot on Target Rendah</v>
      </c>
      <c r="W418" t="str">
        <f t="shared" si="68"/>
        <v>Fouls Tinggi</v>
      </c>
      <c r="X418" t="str">
        <f t="shared" si="69"/>
        <v>Corner Rendah</v>
      </c>
      <c r="Y418" t="str">
        <f t="shared" si="65"/>
        <v>Yellow Card Tinggi</v>
      </c>
      <c r="Z418" t="str">
        <f t="shared" si="66"/>
        <v>Red Card Rendah</v>
      </c>
    </row>
    <row r="419" spans="1:26" x14ac:dyDescent="0.25">
      <c r="A419" t="s">
        <v>57</v>
      </c>
      <c r="B419">
        <v>0.8</v>
      </c>
      <c r="C419">
        <v>66</v>
      </c>
      <c r="D419">
        <v>619</v>
      </c>
      <c r="E419">
        <v>522</v>
      </c>
      <c r="F419">
        <v>1</v>
      </c>
      <c r="G419" t="s">
        <v>40</v>
      </c>
      <c r="H419">
        <v>0</v>
      </c>
      <c r="I419" t="s">
        <v>36</v>
      </c>
      <c r="J419">
        <v>10</v>
      </c>
      <c r="K419">
        <v>3</v>
      </c>
      <c r="L419">
        <v>9</v>
      </c>
      <c r="M419">
        <v>3</v>
      </c>
      <c r="N419">
        <v>8</v>
      </c>
      <c r="O419">
        <v>0</v>
      </c>
      <c r="Q419" t="str">
        <f t="shared" si="60"/>
        <v>xG Sangat Sedikit</v>
      </c>
      <c r="R419" t="str">
        <f t="shared" si="61"/>
        <v>Possession Sangat Banyak</v>
      </c>
      <c r="S419" t="str">
        <f t="shared" si="62"/>
        <v>Total Pass Cukup Banyak</v>
      </c>
      <c r="T419" t="str">
        <f t="shared" si="63"/>
        <v>Pass Sukses Cukup Banyak</v>
      </c>
      <c r="U419" t="str">
        <f t="shared" si="64"/>
        <v>Total Shot Sangat Sedikit</v>
      </c>
      <c r="V419" t="str">
        <f t="shared" si="67"/>
        <v>Shot on Target Rendah</v>
      </c>
      <c r="W419" t="str">
        <f t="shared" si="68"/>
        <v>Fouls Normal</v>
      </c>
      <c r="X419" t="str">
        <f t="shared" si="69"/>
        <v>Corner Rendah</v>
      </c>
      <c r="Y419" t="str">
        <f t="shared" si="65"/>
        <v>Yellow Card Tinggi</v>
      </c>
      <c r="Z419" t="str">
        <f t="shared" si="66"/>
        <v>Red Card Rendah</v>
      </c>
    </row>
    <row r="420" spans="1:26" x14ac:dyDescent="0.25">
      <c r="A420" t="s">
        <v>42</v>
      </c>
      <c r="B420">
        <v>0.7</v>
      </c>
      <c r="C420">
        <v>37</v>
      </c>
      <c r="D420">
        <v>320</v>
      </c>
      <c r="E420">
        <v>235</v>
      </c>
      <c r="F420">
        <v>1</v>
      </c>
      <c r="G420" t="s">
        <v>40</v>
      </c>
      <c r="H420">
        <v>0</v>
      </c>
      <c r="I420" t="s">
        <v>36</v>
      </c>
      <c r="J420">
        <v>7</v>
      </c>
      <c r="K420">
        <v>4</v>
      </c>
      <c r="L420">
        <v>10</v>
      </c>
      <c r="M420">
        <v>6</v>
      </c>
      <c r="N420">
        <v>3</v>
      </c>
      <c r="O420">
        <v>0</v>
      </c>
      <c r="Q420" t="str">
        <f t="shared" si="60"/>
        <v>xG Sangat Sedikit</v>
      </c>
      <c r="R420" t="str">
        <f t="shared" si="61"/>
        <v>Possession Cukup Sedikit</v>
      </c>
      <c r="S420" t="str">
        <f t="shared" si="62"/>
        <v>Total Pass Sangat Sedikit</v>
      </c>
      <c r="T420" t="str">
        <f t="shared" si="63"/>
        <v>Pass Sukses Sangat Sedikit</v>
      </c>
      <c r="U420" t="str">
        <f t="shared" si="64"/>
        <v>Total Shot Sangat Sedikit</v>
      </c>
      <c r="V420" t="str">
        <f t="shared" si="67"/>
        <v>Shot on Target Normal</v>
      </c>
      <c r="W420" t="str">
        <f t="shared" si="68"/>
        <v>Fouls Normal</v>
      </c>
      <c r="X420" t="str">
        <f t="shared" si="69"/>
        <v>Corner Tinggi</v>
      </c>
      <c r="Y420" t="str">
        <f t="shared" si="65"/>
        <v>Yellow Card Tinggi</v>
      </c>
      <c r="Z420" t="str">
        <f t="shared" si="66"/>
        <v>Red Card Rendah</v>
      </c>
    </row>
    <row r="421" spans="1:26" x14ac:dyDescent="0.25">
      <c r="A421" t="s">
        <v>46</v>
      </c>
      <c r="B421">
        <v>1.5</v>
      </c>
      <c r="C421">
        <v>51</v>
      </c>
      <c r="D421">
        <v>505</v>
      </c>
      <c r="E421">
        <v>434</v>
      </c>
      <c r="F421">
        <v>2</v>
      </c>
      <c r="G421" t="s">
        <v>40</v>
      </c>
      <c r="H421">
        <v>0</v>
      </c>
      <c r="I421" t="s">
        <v>35</v>
      </c>
      <c r="J421">
        <v>14</v>
      </c>
      <c r="K421">
        <v>6</v>
      </c>
      <c r="L421">
        <v>6</v>
      </c>
      <c r="M421">
        <v>7</v>
      </c>
      <c r="N421">
        <v>3</v>
      </c>
      <c r="O421">
        <v>0</v>
      </c>
      <c r="Q421" t="str">
        <f t="shared" si="60"/>
        <v>xG Cukup Sedikit</v>
      </c>
      <c r="R421" t="str">
        <f t="shared" si="61"/>
        <v>Possession Cukup Banyak</v>
      </c>
      <c r="S421" t="str">
        <f t="shared" si="62"/>
        <v>Total Pass Cukup Sedikit</v>
      </c>
      <c r="T421" t="str">
        <f t="shared" si="63"/>
        <v>Pass Sukses Cukup Sedikit</v>
      </c>
      <c r="U421" t="str">
        <f t="shared" si="64"/>
        <v>Total Shot Cukup Sedikit</v>
      </c>
      <c r="V421" t="str">
        <f t="shared" si="67"/>
        <v>Shot on Target Tinggi</v>
      </c>
      <c r="W421" t="str">
        <f t="shared" si="68"/>
        <v>Fouls Rendah</v>
      </c>
      <c r="X421" t="str">
        <f t="shared" si="69"/>
        <v>Corner Tinggi</v>
      </c>
      <c r="Y421" t="str">
        <f t="shared" si="65"/>
        <v>Yellow Card Tinggi</v>
      </c>
      <c r="Z421" t="str">
        <f t="shared" si="66"/>
        <v>Red Card Rendah</v>
      </c>
    </row>
    <row r="422" spans="1:26" x14ac:dyDescent="0.25">
      <c r="A422" t="s">
        <v>57</v>
      </c>
      <c r="B422">
        <v>2.2000000000000002</v>
      </c>
      <c r="C422">
        <v>47</v>
      </c>
      <c r="D422">
        <v>479</v>
      </c>
      <c r="E422">
        <v>410</v>
      </c>
      <c r="F422">
        <v>3</v>
      </c>
      <c r="G422" t="s">
        <v>40</v>
      </c>
      <c r="H422">
        <v>2</v>
      </c>
      <c r="I422" t="s">
        <v>40</v>
      </c>
      <c r="J422">
        <v>12</v>
      </c>
      <c r="K422">
        <v>5</v>
      </c>
      <c r="L422">
        <v>9</v>
      </c>
      <c r="M422">
        <v>5</v>
      </c>
      <c r="N422">
        <v>2</v>
      </c>
      <c r="O422">
        <v>0</v>
      </c>
      <c r="Q422" t="str">
        <f t="shared" si="60"/>
        <v>xG Cukup Sedikit</v>
      </c>
      <c r="R422" t="str">
        <f t="shared" si="61"/>
        <v>Possession Cukup Sedikit</v>
      </c>
      <c r="S422" t="str">
        <f t="shared" si="62"/>
        <v>Total Pass Cukup Sedikit</v>
      </c>
      <c r="T422" t="str">
        <f t="shared" si="63"/>
        <v>Pass Sukses Cukup Sedikit</v>
      </c>
      <c r="U422" t="str">
        <f t="shared" si="64"/>
        <v>Total Shot Cukup Sedikit</v>
      </c>
      <c r="V422" t="str">
        <f t="shared" si="67"/>
        <v>Shot on Target Tinggi</v>
      </c>
      <c r="W422" t="str">
        <f t="shared" si="68"/>
        <v>Fouls Normal</v>
      </c>
      <c r="X422" t="str">
        <f t="shared" si="69"/>
        <v>Corner Normal</v>
      </c>
      <c r="Y422" t="str">
        <f t="shared" si="65"/>
        <v>Yellow Card Rendah</v>
      </c>
      <c r="Z422" t="str">
        <f t="shared" si="66"/>
        <v>Red Card Rendah</v>
      </c>
    </row>
    <row r="423" spans="1:26" x14ac:dyDescent="0.25">
      <c r="A423" t="s">
        <v>43</v>
      </c>
      <c r="B423">
        <v>0.5</v>
      </c>
      <c r="C423">
        <v>47</v>
      </c>
      <c r="D423">
        <v>432</v>
      </c>
      <c r="E423">
        <v>364</v>
      </c>
      <c r="F423">
        <v>1</v>
      </c>
      <c r="G423" t="s">
        <v>35</v>
      </c>
      <c r="H423">
        <v>1</v>
      </c>
      <c r="I423" t="s">
        <v>40</v>
      </c>
      <c r="J423">
        <v>10</v>
      </c>
      <c r="K423">
        <v>4</v>
      </c>
      <c r="L423">
        <v>16</v>
      </c>
      <c r="M423">
        <v>5</v>
      </c>
      <c r="N423">
        <v>6</v>
      </c>
      <c r="O423">
        <v>0</v>
      </c>
      <c r="Q423" t="str">
        <f t="shared" si="60"/>
        <v>xG Sangat Sedikit</v>
      </c>
      <c r="R423" t="str">
        <f t="shared" si="61"/>
        <v>Possession Cukup Sedikit</v>
      </c>
      <c r="S423" t="str">
        <f t="shared" si="62"/>
        <v>Total Pass Cukup Sedikit</v>
      </c>
      <c r="T423" t="str">
        <f t="shared" si="63"/>
        <v>Pass Sukses Cukup Sedikit</v>
      </c>
      <c r="U423" t="str">
        <f t="shared" si="64"/>
        <v>Total Shot Sangat Sedikit</v>
      </c>
      <c r="V423" t="str">
        <f t="shared" si="67"/>
        <v>Shot on Target Normal</v>
      </c>
      <c r="W423" t="str">
        <f t="shared" si="68"/>
        <v>Fouls Tinggi</v>
      </c>
      <c r="X423" t="str">
        <f t="shared" si="69"/>
        <v>Corner Normal</v>
      </c>
      <c r="Y423" t="str">
        <f t="shared" si="65"/>
        <v>Yellow Card Tinggi</v>
      </c>
      <c r="Z423" t="str">
        <f t="shared" si="66"/>
        <v>Red Card Rendah</v>
      </c>
    </row>
    <row r="424" spans="1:26" x14ac:dyDescent="0.25">
      <c r="A424" t="s">
        <v>46</v>
      </c>
      <c r="B424">
        <v>1.5</v>
      </c>
      <c r="C424">
        <v>61</v>
      </c>
      <c r="D424">
        <v>605</v>
      </c>
      <c r="E424">
        <v>537</v>
      </c>
      <c r="F424">
        <v>1</v>
      </c>
      <c r="G424" t="s">
        <v>35</v>
      </c>
      <c r="H424">
        <v>0</v>
      </c>
      <c r="I424" t="s">
        <v>35</v>
      </c>
      <c r="J424">
        <v>15</v>
      </c>
      <c r="K424">
        <v>4</v>
      </c>
      <c r="L424">
        <v>8</v>
      </c>
      <c r="M424">
        <v>0</v>
      </c>
      <c r="N424">
        <v>0</v>
      </c>
      <c r="O424">
        <v>0</v>
      </c>
      <c r="Q424" t="str">
        <f t="shared" si="60"/>
        <v>xG Cukup Sedikit</v>
      </c>
      <c r="R424" t="str">
        <f t="shared" si="61"/>
        <v>Possession Cukup Banyak</v>
      </c>
      <c r="S424" t="str">
        <f t="shared" si="62"/>
        <v>Total Pass Cukup Banyak</v>
      </c>
      <c r="T424" t="str">
        <f t="shared" si="63"/>
        <v>Pass Sukses Cukup Banyak</v>
      </c>
      <c r="U424" t="str">
        <f t="shared" si="64"/>
        <v>Total Shot Cukup Sedikit</v>
      </c>
      <c r="V424" t="str">
        <f t="shared" si="67"/>
        <v>Shot on Target Normal</v>
      </c>
      <c r="W424" t="str">
        <f t="shared" si="68"/>
        <v>Fouls Rendah</v>
      </c>
      <c r="X424" t="str">
        <f t="shared" si="69"/>
        <v>Corner Rendah</v>
      </c>
      <c r="Y424" t="str">
        <f t="shared" si="65"/>
        <v>Yellow Card Rendah</v>
      </c>
      <c r="Z424" t="str">
        <f t="shared" si="66"/>
        <v>Red Card Rendah</v>
      </c>
    </row>
    <row r="425" spans="1:26" x14ac:dyDescent="0.25">
      <c r="A425" t="s">
        <v>44</v>
      </c>
      <c r="B425">
        <v>1.1000000000000001</v>
      </c>
      <c r="C425">
        <v>42</v>
      </c>
      <c r="D425">
        <v>380</v>
      </c>
      <c r="E425">
        <v>295</v>
      </c>
      <c r="F425">
        <v>1</v>
      </c>
      <c r="G425" t="s">
        <v>36</v>
      </c>
      <c r="H425">
        <v>1</v>
      </c>
      <c r="I425" t="s">
        <v>40</v>
      </c>
      <c r="J425">
        <v>16</v>
      </c>
      <c r="K425">
        <v>5</v>
      </c>
      <c r="L425">
        <v>12</v>
      </c>
      <c r="M425">
        <v>1</v>
      </c>
      <c r="N425">
        <v>2</v>
      </c>
      <c r="O425">
        <v>0</v>
      </c>
      <c r="Q425" t="str">
        <f t="shared" si="60"/>
        <v>xG Sangat Sedikit</v>
      </c>
      <c r="R425" t="str">
        <f t="shared" si="61"/>
        <v>Possession Cukup Sedikit</v>
      </c>
      <c r="S425" t="str">
        <f t="shared" si="62"/>
        <v>Total Pass Cukup Sedikit</v>
      </c>
      <c r="T425" t="str">
        <f t="shared" si="63"/>
        <v>Pass Sukses Cukup Sedikit</v>
      </c>
      <c r="U425" t="str">
        <f t="shared" si="64"/>
        <v>Total Shot Cukup Sedikit</v>
      </c>
      <c r="V425" t="str">
        <f t="shared" si="67"/>
        <v>Shot on Target Tinggi</v>
      </c>
      <c r="W425" t="str">
        <f t="shared" si="68"/>
        <v>Fouls Tinggi</v>
      </c>
      <c r="X425" t="str">
        <f t="shared" si="69"/>
        <v>Corner Rendah</v>
      </c>
      <c r="Y425" t="str">
        <f t="shared" si="65"/>
        <v>Yellow Card Rendah</v>
      </c>
      <c r="Z425" t="str">
        <f t="shared" si="66"/>
        <v>Red Card Rendah</v>
      </c>
    </row>
    <row r="426" spans="1:26" x14ac:dyDescent="0.25">
      <c r="A426" t="s">
        <v>49</v>
      </c>
      <c r="B426">
        <v>1.1000000000000001</v>
      </c>
      <c r="C426">
        <v>42</v>
      </c>
      <c r="D426">
        <v>442</v>
      </c>
      <c r="E426">
        <v>360</v>
      </c>
      <c r="F426">
        <v>0</v>
      </c>
      <c r="G426" t="s">
        <v>35</v>
      </c>
      <c r="H426">
        <v>0</v>
      </c>
      <c r="I426" t="s">
        <v>35</v>
      </c>
      <c r="J426">
        <v>19</v>
      </c>
      <c r="K426">
        <v>6</v>
      </c>
      <c r="L426">
        <v>12</v>
      </c>
      <c r="M426">
        <v>9</v>
      </c>
      <c r="N426">
        <v>4</v>
      </c>
      <c r="O426">
        <v>0</v>
      </c>
      <c r="Q426" t="str">
        <f t="shared" si="60"/>
        <v>xG Sangat Sedikit</v>
      </c>
      <c r="R426" t="str">
        <f t="shared" si="61"/>
        <v>Possession Cukup Sedikit</v>
      </c>
      <c r="S426" t="str">
        <f t="shared" si="62"/>
        <v>Total Pass Cukup Sedikit</v>
      </c>
      <c r="T426" t="str">
        <f t="shared" si="63"/>
        <v>Pass Sukses Cukup Sedikit</v>
      </c>
      <c r="U426" t="str">
        <f t="shared" si="64"/>
        <v>Total Shot Cukup Sedikit</v>
      </c>
      <c r="V426" t="str">
        <f t="shared" si="67"/>
        <v>Shot on Target Tinggi</v>
      </c>
      <c r="W426" t="str">
        <f t="shared" si="68"/>
        <v>Fouls Tinggi</v>
      </c>
      <c r="X426" t="str">
        <f t="shared" si="69"/>
        <v>Corner Tinggi</v>
      </c>
      <c r="Y426" t="str">
        <f t="shared" si="65"/>
        <v>Yellow Card Tinggi</v>
      </c>
      <c r="Z426" t="str">
        <f t="shared" si="66"/>
        <v>Red Card Rendah</v>
      </c>
    </row>
    <row r="427" spans="1:26" x14ac:dyDescent="0.25">
      <c r="A427" t="s">
        <v>38</v>
      </c>
      <c r="B427">
        <v>1.6</v>
      </c>
      <c r="C427">
        <v>47</v>
      </c>
      <c r="D427">
        <v>452</v>
      </c>
      <c r="E427">
        <v>371</v>
      </c>
      <c r="F427">
        <v>1</v>
      </c>
      <c r="G427" t="s">
        <v>36</v>
      </c>
      <c r="H427">
        <v>0</v>
      </c>
      <c r="I427" t="s">
        <v>35</v>
      </c>
      <c r="J427">
        <v>13</v>
      </c>
      <c r="K427">
        <v>6</v>
      </c>
      <c r="L427">
        <v>16</v>
      </c>
      <c r="M427">
        <v>10</v>
      </c>
      <c r="N427">
        <v>4</v>
      </c>
      <c r="O427">
        <v>0</v>
      </c>
      <c r="Q427" t="str">
        <f t="shared" si="60"/>
        <v>xG Cukup Sedikit</v>
      </c>
      <c r="R427" t="str">
        <f t="shared" si="61"/>
        <v>Possession Cukup Sedikit</v>
      </c>
      <c r="S427" t="str">
        <f t="shared" si="62"/>
        <v>Total Pass Cukup Sedikit</v>
      </c>
      <c r="T427" t="str">
        <f t="shared" si="63"/>
        <v>Pass Sukses Cukup Sedikit</v>
      </c>
      <c r="U427" t="str">
        <f t="shared" si="64"/>
        <v>Total Shot Cukup Sedikit</v>
      </c>
      <c r="V427" t="str">
        <f t="shared" si="67"/>
        <v>Shot on Target Tinggi</v>
      </c>
      <c r="W427" t="str">
        <f t="shared" si="68"/>
        <v>Fouls Tinggi</v>
      </c>
      <c r="X427" t="str">
        <f t="shared" si="69"/>
        <v>Corner Tinggi</v>
      </c>
      <c r="Y427" t="str">
        <f t="shared" si="65"/>
        <v>Yellow Card Tinggi</v>
      </c>
      <c r="Z427" t="str">
        <f t="shared" si="66"/>
        <v>Red Card Rendah</v>
      </c>
    </row>
    <row r="428" spans="1:26" x14ac:dyDescent="0.25">
      <c r="A428" t="s">
        <v>54</v>
      </c>
      <c r="B428">
        <v>0.8</v>
      </c>
      <c r="C428">
        <v>52</v>
      </c>
      <c r="D428">
        <v>523</v>
      </c>
      <c r="E428">
        <v>411</v>
      </c>
      <c r="F428">
        <v>1</v>
      </c>
      <c r="G428" t="s">
        <v>35</v>
      </c>
      <c r="H428">
        <v>1</v>
      </c>
      <c r="I428" t="s">
        <v>35</v>
      </c>
      <c r="J428">
        <v>6</v>
      </c>
      <c r="K428">
        <v>6</v>
      </c>
      <c r="L428">
        <v>9</v>
      </c>
      <c r="M428">
        <v>4</v>
      </c>
      <c r="N428">
        <v>1</v>
      </c>
      <c r="O428">
        <v>0</v>
      </c>
      <c r="Q428" t="str">
        <f t="shared" si="60"/>
        <v>xG Sangat Sedikit</v>
      </c>
      <c r="R428" t="str">
        <f t="shared" si="61"/>
        <v>Possession Cukup Banyak</v>
      </c>
      <c r="S428" t="str">
        <f t="shared" si="62"/>
        <v>Total Pass Cukup Banyak</v>
      </c>
      <c r="T428" t="str">
        <f t="shared" si="63"/>
        <v>Pass Sukses Cukup Sedikit</v>
      </c>
      <c r="U428" t="str">
        <f t="shared" si="64"/>
        <v>Total Shot Sangat Sedikit</v>
      </c>
      <c r="V428" t="str">
        <f t="shared" si="67"/>
        <v>Shot on Target Tinggi</v>
      </c>
      <c r="W428" t="str">
        <f t="shared" si="68"/>
        <v>Fouls Normal</v>
      </c>
      <c r="X428" t="str">
        <f t="shared" si="69"/>
        <v>Corner Rendah</v>
      </c>
      <c r="Y428" t="str">
        <f t="shared" si="65"/>
        <v>Yellow Card Rendah</v>
      </c>
      <c r="Z428" t="str">
        <f t="shared" si="66"/>
        <v>Red Card Rendah</v>
      </c>
    </row>
    <row r="429" spans="1:26" x14ac:dyDescent="0.25">
      <c r="A429" t="s">
        <v>33</v>
      </c>
      <c r="B429">
        <v>1.6</v>
      </c>
      <c r="C429">
        <v>67</v>
      </c>
      <c r="D429">
        <v>698</v>
      </c>
      <c r="E429">
        <v>586</v>
      </c>
      <c r="F429">
        <v>0</v>
      </c>
      <c r="G429" t="s">
        <v>36</v>
      </c>
      <c r="H429">
        <v>0</v>
      </c>
      <c r="I429" t="s">
        <v>36</v>
      </c>
      <c r="J429">
        <v>15</v>
      </c>
      <c r="K429">
        <v>6</v>
      </c>
      <c r="L429">
        <v>12</v>
      </c>
      <c r="M429">
        <v>11</v>
      </c>
      <c r="N429">
        <v>1</v>
      </c>
      <c r="O429">
        <v>0</v>
      </c>
      <c r="Q429" t="str">
        <f t="shared" si="60"/>
        <v>xG Cukup Sedikit</v>
      </c>
      <c r="R429" t="str">
        <f t="shared" si="61"/>
        <v>Possession Sangat Banyak</v>
      </c>
      <c r="S429" t="str">
        <f t="shared" si="62"/>
        <v>Total Pass Sangat Banyak</v>
      </c>
      <c r="T429" t="str">
        <f t="shared" si="63"/>
        <v>Pass Sukses Cukup Banyak</v>
      </c>
      <c r="U429" t="str">
        <f t="shared" si="64"/>
        <v>Total Shot Cukup Sedikit</v>
      </c>
      <c r="V429" t="str">
        <f t="shared" si="67"/>
        <v>Shot on Target Tinggi</v>
      </c>
      <c r="W429" t="str">
        <f t="shared" si="68"/>
        <v>Fouls Tinggi</v>
      </c>
      <c r="X429" t="str">
        <f t="shared" si="69"/>
        <v>Corner Tinggi</v>
      </c>
      <c r="Y429" t="str">
        <f t="shared" si="65"/>
        <v>Yellow Card Rendah</v>
      </c>
      <c r="Z429" t="str">
        <f t="shared" si="66"/>
        <v>Red Card Rendah</v>
      </c>
    </row>
    <row r="430" spans="1:26" x14ac:dyDescent="0.25">
      <c r="A430" t="s">
        <v>48</v>
      </c>
      <c r="B430">
        <v>1.4</v>
      </c>
      <c r="C430">
        <v>30</v>
      </c>
      <c r="D430">
        <v>270</v>
      </c>
      <c r="E430">
        <v>182</v>
      </c>
      <c r="F430">
        <v>2</v>
      </c>
      <c r="G430" t="s">
        <v>36</v>
      </c>
      <c r="H430">
        <v>1</v>
      </c>
      <c r="I430" t="s">
        <v>35</v>
      </c>
      <c r="J430">
        <v>4</v>
      </c>
      <c r="K430">
        <v>3</v>
      </c>
      <c r="L430">
        <v>11</v>
      </c>
      <c r="M430">
        <v>1</v>
      </c>
      <c r="N430">
        <v>4</v>
      </c>
      <c r="O430">
        <v>1</v>
      </c>
      <c r="Q430" t="str">
        <f t="shared" si="60"/>
        <v>xG Sangat Sedikit</v>
      </c>
      <c r="R430" t="str">
        <f t="shared" si="61"/>
        <v>Possession Sangat Sedikit</v>
      </c>
      <c r="S430" t="str">
        <f t="shared" si="62"/>
        <v>Total Pass Sangat Sedikit</v>
      </c>
      <c r="T430" t="str">
        <f t="shared" si="63"/>
        <v>Pass Sukses Sangat Sedikit</v>
      </c>
      <c r="U430" t="str">
        <f t="shared" si="64"/>
        <v>Total Shot Sangat Sedikit</v>
      </c>
      <c r="V430" t="str">
        <f t="shared" si="67"/>
        <v>Shot on Target Rendah</v>
      </c>
      <c r="W430" t="str">
        <f t="shared" si="68"/>
        <v>Fouls Normal</v>
      </c>
      <c r="X430" t="str">
        <f t="shared" si="69"/>
        <v>Corner Rendah</v>
      </c>
      <c r="Y430" t="str">
        <f t="shared" si="65"/>
        <v>Yellow Card Tinggi</v>
      </c>
      <c r="Z430" t="str">
        <f t="shared" si="66"/>
        <v>Red Card Tinggi</v>
      </c>
    </row>
    <row r="431" spans="1:26" x14ac:dyDescent="0.25">
      <c r="A431" t="s">
        <v>42</v>
      </c>
      <c r="B431">
        <v>0.7</v>
      </c>
      <c r="C431">
        <v>23</v>
      </c>
      <c r="D431">
        <v>221</v>
      </c>
      <c r="E431">
        <v>154</v>
      </c>
      <c r="F431">
        <v>2</v>
      </c>
      <c r="G431" t="s">
        <v>36</v>
      </c>
      <c r="H431">
        <v>2</v>
      </c>
      <c r="I431" t="s">
        <v>40</v>
      </c>
      <c r="J431">
        <v>5</v>
      </c>
      <c r="K431">
        <v>3</v>
      </c>
      <c r="L431">
        <v>10</v>
      </c>
      <c r="M431">
        <v>2</v>
      </c>
      <c r="N431">
        <v>4</v>
      </c>
      <c r="O431">
        <v>1</v>
      </c>
      <c r="Q431" t="str">
        <f t="shared" si="60"/>
        <v>xG Sangat Sedikit</v>
      </c>
      <c r="R431" t="str">
        <f t="shared" si="61"/>
        <v>Possession Sangat Sedikit</v>
      </c>
      <c r="S431" t="str">
        <f t="shared" si="62"/>
        <v>Total Pass Sangat Sedikit</v>
      </c>
      <c r="T431" t="str">
        <f t="shared" si="63"/>
        <v>Pass Sukses Sangat Sedikit</v>
      </c>
      <c r="U431" t="str">
        <f t="shared" si="64"/>
        <v>Total Shot Sangat Sedikit</v>
      </c>
      <c r="V431" t="str">
        <f t="shared" si="67"/>
        <v>Shot on Target Rendah</v>
      </c>
      <c r="W431" t="str">
        <f t="shared" si="68"/>
        <v>Fouls Normal</v>
      </c>
      <c r="X431" t="str">
        <f t="shared" si="69"/>
        <v>Corner Rendah</v>
      </c>
      <c r="Y431" t="str">
        <f t="shared" si="65"/>
        <v>Yellow Card Tinggi</v>
      </c>
      <c r="Z431" t="str">
        <f t="shared" si="66"/>
        <v>Red Card Tinggi</v>
      </c>
    </row>
    <row r="432" spans="1:26" x14ac:dyDescent="0.25">
      <c r="A432" t="s">
        <v>58</v>
      </c>
      <c r="B432">
        <v>0.9</v>
      </c>
      <c r="C432">
        <v>62</v>
      </c>
      <c r="D432">
        <v>598</v>
      </c>
      <c r="E432">
        <v>511</v>
      </c>
      <c r="F432">
        <v>1</v>
      </c>
      <c r="G432" t="s">
        <v>36</v>
      </c>
      <c r="H432">
        <v>1</v>
      </c>
      <c r="I432" t="s">
        <v>40</v>
      </c>
      <c r="J432">
        <v>16</v>
      </c>
      <c r="K432">
        <v>6</v>
      </c>
      <c r="L432">
        <v>10</v>
      </c>
      <c r="M432">
        <v>6</v>
      </c>
      <c r="N432">
        <v>4</v>
      </c>
      <c r="O432">
        <v>0</v>
      </c>
      <c r="Q432" t="str">
        <f t="shared" si="60"/>
        <v>xG Sangat Sedikit</v>
      </c>
      <c r="R432" t="str">
        <f t="shared" si="61"/>
        <v>Possession Cukup Banyak</v>
      </c>
      <c r="S432" t="str">
        <f t="shared" si="62"/>
        <v>Total Pass Cukup Banyak</v>
      </c>
      <c r="T432" t="str">
        <f t="shared" si="63"/>
        <v>Pass Sukses Cukup Banyak</v>
      </c>
      <c r="U432" t="str">
        <f t="shared" si="64"/>
        <v>Total Shot Cukup Sedikit</v>
      </c>
      <c r="V432" t="str">
        <f t="shared" si="67"/>
        <v>Shot on Target Tinggi</v>
      </c>
      <c r="W432" t="str">
        <f t="shared" si="68"/>
        <v>Fouls Normal</v>
      </c>
      <c r="X432" t="str">
        <f t="shared" si="69"/>
        <v>Corner Tinggi</v>
      </c>
      <c r="Y432" t="str">
        <f t="shared" si="65"/>
        <v>Yellow Card Tinggi</v>
      </c>
      <c r="Z432" t="str">
        <f t="shared" si="66"/>
        <v>Red Card Rendah</v>
      </c>
    </row>
    <row r="433" spans="1:26" x14ac:dyDescent="0.25">
      <c r="A433" t="s">
        <v>59</v>
      </c>
      <c r="B433">
        <v>0.3</v>
      </c>
      <c r="C433">
        <v>26</v>
      </c>
      <c r="D433">
        <v>257</v>
      </c>
      <c r="E433">
        <v>192</v>
      </c>
      <c r="F433">
        <v>2</v>
      </c>
      <c r="G433" t="s">
        <v>35</v>
      </c>
      <c r="H433">
        <v>0</v>
      </c>
      <c r="I433" t="s">
        <v>35</v>
      </c>
      <c r="J433">
        <v>5</v>
      </c>
      <c r="K433">
        <v>3</v>
      </c>
      <c r="L433">
        <v>6</v>
      </c>
      <c r="M433">
        <v>0</v>
      </c>
      <c r="N433">
        <v>4</v>
      </c>
      <c r="O433">
        <v>0</v>
      </c>
      <c r="Q433" t="str">
        <f t="shared" si="60"/>
        <v>xG Sangat Sedikit</v>
      </c>
      <c r="R433" t="str">
        <f t="shared" si="61"/>
        <v>Possession Sangat Sedikit</v>
      </c>
      <c r="S433" t="str">
        <f t="shared" si="62"/>
        <v>Total Pass Sangat Sedikit</v>
      </c>
      <c r="T433" t="str">
        <f t="shared" si="63"/>
        <v>Pass Sukses Sangat Sedikit</v>
      </c>
      <c r="U433" t="str">
        <f t="shared" si="64"/>
        <v>Total Shot Sangat Sedikit</v>
      </c>
      <c r="V433" t="str">
        <f t="shared" si="67"/>
        <v>Shot on Target Rendah</v>
      </c>
      <c r="W433" t="str">
        <f t="shared" si="68"/>
        <v>Fouls Rendah</v>
      </c>
      <c r="X433" t="str">
        <f t="shared" si="69"/>
        <v>Corner Rendah</v>
      </c>
      <c r="Y433" t="str">
        <f t="shared" si="65"/>
        <v>Yellow Card Tinggi</v>
      </c>
      <c r="Z433" t="str">
        <f t="shared" si="66"/>
        <v>Red Card Rendah</v>
      </c>
    </row>
    <row r="434" spans="1:26" x14ac:dyDescent="0.25">
      <c r="A434" t="s">
        <v>51</v>
      </c>
      <c r="B434">
        <v>1</v>
      </c>
      <c r="C434">
        <v>43</v>
      </c>
      <c r="D434">
        <v>439</v>
      </c>
      <c r="E434">
        <v>338</v>
      </c>
      <c r="F434">
        <v>1</v>
      </c>
      <c r="G434" t="s">
        <v>36</v>
      </c>
      <c r="H434">
        <v>0</v>
      </c>
      <c r="I434" t="s">
        <v>35</v>
      </c>
      <c r="J434">
        <v>19</v>
      </c>
      <c r="K434">
        <v>3</v>
      </c>
      <c r="L434">
        <v>11</v>
      </c>
      <c r="M434">
        <v>7</v>
      </c>
      <c r="N434">
        <v>3</v>
      </c>
      <c r="O434">
        <v>0</v>
      </c>
      <c r="Q434" t="str">
        <f t="shared" si="60"/>
        <v>xG Sangat Sedikit</v>
      </c>
      <c r="R434" t="str">
        <f t="shared" si="61"/>
        <v>Possession Cukup Sedikit</v>
      </c>
      <c r="S434" t="str">
        <f t="shared" si="62"/>
        <v>Total Pass Cukup Sedikit</v>
      </c>
      <c r="T434" t="str">
        <f t="shared" si="63"/>
        <v>Pass Sukses Cukup Sedikit</v>
      </c>
      <c r="U434" t="str">
        <f t="shared" si="64"/>
        <v>Total Shot Cukup Sedikit</v>
      </c>
      <c r="V434" t="str">
        <f t="shared" si="67"/>
        <v>Shot on Target Rendah</v>
      </c>
      <c r="W434" t="str">
        <f t="shared" si="68"/>
        <v>Fouls Normal</v>
      </c>
      <c r="X434" t="str">
        <f t="shared" si="69"/>
        <v>Corner Tinggi</v>
      </c>
      <c r="Y434" t="str">
        <f t="shared" si="65"/>
        <v>Yellow Card Tinggi</v>
      </c>
      <c r="Z434" t="str">
        <f t="shared" si="66"/>
        <v>Red Card Rendah</v>
      </c>
    </row>
    <row r="435" spans="1:26" x14ac:dyDescent="0.25">
      <c r="A435" t="s">
        <v>45</v>
      </c>
      <c r="B435">
        <v>1.1000000000000001</v>
      </c>
      <c r="C435">
        <v>59</v>
      </c>
      <c r="D435">
        <v>593</v>
      </c>
      <c r="E435">
        <v>501</v>
      </c>
      <c r="F435">
        <v>2</v>
      </c>
      <c r="G435" t="s">
        <v>35</v>
      </c>
      <c r="H435">
        <v>2</v>
      </c>
      <c r="I435" t="s">
        <v>35</v>
      </c>
      <c r="J435">
        <v>15</v>
      </c>
      <c r="K435">
        <v>5</v>
      </c>
      <c r="L435">
        <v>8</v>
      </c>
      <c r="M435">
        <v>2</v>
      </c>
      <c r="N435">
        <v>2</v>
      </c>
      <c r="O435">
        <v>0</v>
      </c>
      <c r="Q435" t="str">
        <f t="shared" si="60"/>
        <v>xG Sangat Sedikit</v>
      </c>
      <c r="R435" t="str">
        <f t="shared" si="61"/>
        <v>Possession Cukup Banyak</v>
      </c>
      <c r="S435" t="str">
        <f t="shared" si="62"/>
        <v>Total Pass Cukup Banyak</v>
      </c>
      <c r="T435" t="str">
        <f t="shared" si="63"/>
        <v>Pass Sukses Cukup Banyak</v>
      </c>
      <c r="U435" t="str">
        <f t="shared" si="64"/>
        <v>Total Shot Cukup Sedikit</v>
      </c>
      <c r="V435" t="str">
        <f t="shared" si="67"/>
        <v>Shot on Target Tinggi</v>
      </c>
      <c r="W435" t="str">
        <f t="shared" si="68"/>
        <v>Fouls Rendah</v>
      </c>
      <c r="X435" t="str">
        <f t="shared" si="69"/>
        <v>Corner Rendah</v>
      </c>
      <c r="Y435" t="str">
        <f t="shared" si="65"/>
        <v>Yellow Card Rendah</v>
      </c>
      <c r="Z435" t="str">
        <f t="shared" si="66"/>
        <v>Red Card Rendah</v>
      </c>
    </row>
    <row r="436" spans="1:26" x14ac:dyDescent="0.25">
      <c r="A436" t="s">
        <v>55</v>
      </c>
      <c r="B436">
        <v>0.9</v>
      </c>
      <c r="C436">
        <v>59</v>
      </c>
      <c r="D436">
        <v>581</v>
      </c>
      <c r="E436">
        <v>458</v>
      </c>
      <c r="F436">
        <v>1</v>
      </c>
      <c r="G436" t="s">
        <v>35</v>
      </c>
      <c r="H436">
        <v>1</v>
      </c>
      <c r="I436" t="s">
        <v>40</v>
      </c>
      <c r="J436">
        <v>17</v>
      </c>
      <c r="K436">
        <v>5</v>
      </c>
      <c r="L436">
        <v>11</v>
      </c>
      <c r="M436">
        <v>8</v>
      </c>
      <c r="N436">
        <v>1</v>
      </c>
      <c r="O436">
        <v>0</v>
      </c>
      <c r="Q436" t="str">
        <f t="shared" si="60"/>
        <v>xG Sangat Sedikit</v>
      </c>
      <c r="R436" t="str">
        <f t="shared" si="61"/>
        <v>Possession Cukup Banyak</v>
      </c>
      <c r="S436" t="str">
        <f t="shared" si="62"/>
        <v>Total Pass Cukup Banyak</v>
      </c>
      <c r="T436" t="str">
        <f t="shared" si="63"/>
        <v>Pass Sukses Cukup Banyak</v>
      </c>
      <c r="U436" t="str">
        <f t="shared" si="64"/>
        <v>Total Shot Cukup Sedikit</v>
      </c>
      <c r="V436" t="str">
        <f t="shared" si="67"/>
        <v>Shot on Target Tinggi</v>
      </c>
      <c r="W436" t="str">
        <f t="shared" si="68"/>
        <v>Fouls Normal</v>
      </c>
      <c r="X436" t="str">
        <f t="shared" si="69"/>
        <v>Corner Tinggi</v>
      </c>
      <c r="Y436" t="str">
        <f t="shared" si="65"/>
        <v>Yellow Card Rendah</v>
      </c>
      <c r="Z436" t="str">
        <f t="shared" si="66"/>
        <v>Red Card Rendah</v>
      </c>
    </row>
    <row r="437" spans="1:26" x14ac:dyDescent="0.25">
      <c r="A437" t="s">
        <v>34</v>
      </c>
      <c r="B437">
        <v>1.3</v>
      </c>
      <c r="C437">
        <v>59</v>
      </c>
      <c r="D437">
        <v>563</v>
      </c>
      <c r="E437">
        <v>473</v>
      </c>
      <c r="F437">
        <v>1</v>
      </c>
      <c r="G437" t="s">
        <v>40</v>
      </c>
      <c r="H437">
        <v>0</v>
      </c>
      <c r="I437" t="s">
        <v>36</v>
      </c>
      <c r="J437">
        <v>14</v>
      </c>
      <c r="K437">
        <v>2</v>
      </c>
      <c r="L437">
        <v>15</v>
      </c>
      <c r="M437">
        <v>5</v>
      </c>
      <c r="N437">
        <v>4</v>
      </c>
      <c r="O437">
        <v>0</v>
      </c>
      <c r="Q437" t="str">
        <f t="shared" si="60"/>
        <v>xG Sangat Sedikit</v>
      </c>
      <c r="R437" t="str">
        <f t="shared" si="61"/>
        <v>Possession Cukup Banyak</v>
      </c>
      <c r="S437" t="str">
        <f t="shared" si="62"/>
        <v>Total Pass Cukup Banyak</v>
      </c>
      <c r="T437" t="str">
        <f t="shared" si="63"/>
        <v>Pass Sukses Cukup Banyak</v>
      </c>
      <c r="U437" t="str">
        <f t="shared" si="64"/>
        <v>Total Shot Cukup Sedikit</v>
      </c>
      <c r="V437" t="str">
        <f t="shared" si="67"/>
        <v>Shot on Target Rendah</v>
      </c>
      <c r="W437" t="str">
        <f t="shared" si="68"/>
        <v>Fouls Tinggi</v>
      </c>
      <c r="X437" t="str">
        <f t="shared" si="69"/>
        <v>Corner Normal</v>
      </c>
      <c r="Y437" t="str">
        <f t="shared" si="65"/>
        <v>Yellow Card Tinggi</v>
      </c>
      <c r="Z437" t="str">
        <f t="shared" si="66"/>
        <v>Red Card Rendah</v>
      </c>
    </row>
    <row r="438" spans="1:26" x14ac:dyDescent="0.25">
      <c r="A438" t="s">
        <v>39</v>
      </c>
      <c r="B438">
        <v>2.5</v>
      </c>
      <c r="C438">
        <v>55</v>
      </c>
      <c r="D438">
        <v>574</v>
      </c>
      <c r="E438">
        <v>476</v>
      </c>
      <c r="F438">
        <v>2</v>
      </c>
      <c r="G438" t="s">
        <v>40</v>
      </c>
      <c r="H438">
        <v>1</v>
      </c>
      <c r="I438" t="s">
        <v>40</v>
      </c>
      <c r="J438">
        <v>10</v>
      </c>
      <c r="K438">
        <v>6</v>
      </c>
      <c r="L438">
        <v>8</v>
      </c>
      <c r="M438">
        <v>10</v>
      </c>
      <c r="N438">
        <v>3</v>
      </c>
      <c r="O438">
        <v>0</v>
      </c>
      <c r="Q438" t="str">
        <f t="shared" si="60"/>
        <v>xG Cukup Sedikit</v>
      </c>
      <c r="R438" t="str">
        <f t="shared" si="61"/>
        <v>Possession Cukup Banyak</v>
      </c>
      <c r="S438" t="str">
        <f t="shared" si="62"/>
        <v>Total Pass Cukup Banyak</v>
      </c>
      <c r="T438" t="str">
        <f t="shared" si="63"/>
        <v>Pass Sukses Cukup Banyak</v>
      </c>
      <c r="U438" t="str">
        <f t="shared" si="64"/>
        <v>Total Shot Sangat Sedikit</v>
      </c>
      <c r="V438" t="str">
        <f t="shared" si="67"/>
        <v>Shot on Target Tinggi</v>
      </c>
      <c r="W438" t="str">
        <f t="shared" si="68"/>
        <v>Fouls Rendah</v>
      </c>
      <c r="X438" t="str">
        <f t="shared" si="69"/>
        <v>Corner Tinggi</v>
      </c>
      <c r="Y438" t="str">
        <f t="shared" si="65"/>
        <v>Yellow Card Tinggi</v>
      </c>
      <c r="Z438" t="str">
        <f t="shared" si="66"/>
        <v>Red Card Rendah</v>
      </c>
    </row>
    <row r="439" spans="1:26" x14ac:dyDescent="0.25">
      <c r="A439" t="s">
        <v>52</v>
      </c>
      <c r="B439">
        <v>0.8</v>
      </c>
      <c r="C439">
        <v>56</v>
      </c>
      <c r="D439">
        <v>561</v>
      </c>
      <c r="E439">
        <v>493</v>
      </c>
      <c r="F439">
        <v>2</v>
      </c>
      <c r="G439" t="s">
        <v>36</v>
      </c>
      <c r="H439">
        <v>2</v>
      </c>
      <c r="I439" t="s">
        <v>40</v>
      </c>
      <c r="J439">
        <v>7</v>
      </c>
      <c r="K439">
        <v>3</v>
      </c>
      <c r="L439">
        <v>14</v>
      </c>
      <c r="M439">
        <v>0</v>
      </c>
      <c r="N439">
        <v>1</v>
      </c>
      <c r="O439">
        <v>0</v>
      </c>
      <c r="Q439" t="str">
        <f t="shared" si="60"/>
        <v>xG Sangat Sedikit</v>
      </c>
      <c r="R439" t="str">
        <f t="shared" si="61"/>
        <v>Possession Cukup Banyak</v>
      </c>
      <c r="S439" t="str">
        <f t="shared" si="62"/>
        <v>Total Pass Cukup Banyak</v>
      </c>
      <c r="T439" t="str">
        <f t="shared" si="63"/>
        <v>Pass Sukses Cukup Banyak</v>
      </c>
      <c r="U439" t="str">
        <f t="shared" si="64"/>
        <v>Total Shot Sangat Sedikit</v>
      </c>
      <c r="V439" t="str">
        <f t="shared" si="67"/>
        <v>Shot on Target Rendah</v>
      </c>
      <c r="W439" t="str">
        <f t="shared" si="68"/>
        <v>Fouls Tinggi</v>
      </c>
      <c r="X439" t="str">
        <f t="shared" si="69"/>
        <v>Corner Rendah</v>
      </c>
      <c r="Y439" t="str">
        <f t="shared" si="65"/>
        <v>Yellow Card Rendah</v>
      </c>
      <c r="Z439" t="str">
        <f t="shared" si="66"/>
        <v>Red Card Rendah</v>
      </c>
    </row>
    <row r="440" spans="1:26" x14ac:dyDescent="0.25">
      <c r="A440" t="s">
        <v>60</v>
      </c>
      <c r="B440">
        <v>4.4000000000000004</v>
      </c>
      <c r="C440">
        <v>61</v>
      </c>
      <c r="D440">
        <v>675</v>
      </c>
      <c r="E440">
        <v>591</v>
      </c>
      <c r="F440">
        <v>3</v>
      </c>
      <c r="G440" t="s">
        <v>40</v>
      </c>
      <c r="H440">
        <v>1</v>
      </c>
      <c r="I440" t="s">
        <v>40</v>
      </c>
      <c r="J440">
        <v>24</v>
      </c>
      <c r="K440">
        <v>10</v>
      </c>
      <c r="L440">
        <v>14</v>
      </c>
      <c r="M440">
        <v>3</v>
      </c>
      <c r="N440">
        <v>3</v>
      </c>
      <c r="O440">
        <v>0</v>
      </c>
      <c r="Q440" t="str">
        <f t="shared" si="60"/>
        <v>xG Sangat Banyak</v>
      </c>
      <c r="R440" t="str">
        <f t="shared" si="61"/>
        <v>Possession Cukup Banyak</v>
      </c>
      <c r="S440" t="str">
        <f t="shared" si="62"/>
        <v>Total Pass Sangat Banyak</v>
      </c>
      <c r="T440" t="str">
        <f t="shared" si="63"/>
        <v>Pass Sukses Cukup Banyak</v>
      </c>
      <c r="U440" t="str">
        <f t="shared" si="64"/>
        <v>Total Shot Cukup Banyak</v>
      </c>
      <c r="V440" t="str">
        <f t="shared" si="67"/>
        <v>Shot on Target Tinggi</v>
      </c>
      <c r="W440" t="str">
        <f t="shared" si="68"/>
        <v>Fouls Tinggi</v>
      </c>
      <c r="X440" t="str">
        <f t="shared" si="69"/>
        <v>Corner Rendah</v>
      </c>
      <c r="Y440" t="str">
        <f t="shared" si="65"/>
        <v>Yellow Card Tinggi</v>
      </c>
      <c r="Z440" t="str">
        <f t="shared" si="66"/>
        <v>Red Card Rendah</v>
      </c>
    </row>
    <row r="441" spans="1:26" x14ac:dyDescent="0.25">
      <c r="A441" t="s">
        <v>47</v>
      </c>
      <c r="B441">
        <v>0.6</v>
      </c>
      <c r="C441">
        <v>60</v>
      </c>
      <c r="D441">
        <v>620</v>
      </c>
      <c r="E441">
        <v>530</v>
      </c>
      <c r="F441">
        <v>1</v>
      </c>
      <c r="G441" t="s">
        <v>35</v>
      </c>
      <c r="H441">
        <v>0</v>
      </c>
      <c r="I441" t="s">
        <v>35</v>
      </c>
      <c r="J441">
        <v>9</v>
      </c>
      <c r="K441">
        <v>3</v>
      </c>
      <c r="L441">
        <v>12</v>
      </c>
      <c r="M441">
        <v>4</v>
      </c>
      <c r="N441">
        <v>5</v>
      </c>
      <c r="O441">
        <v>0</v>
      </c>
      <c r="Q441" t="str">
        <f t="shared" si="60"/>
        <v>xG Sangat Sedikit</v>
      </c>
      <c r="R441" t="str">
        <f t="shared" si="61"/>
        <v>Possession Cukup Banyak</v>
      </c>
      <c r="S441" t="str">
        <f t="shared" si="62"/>
        <v>Total Pass Cukup Banyak</v>
      </c>
      <c r="T441" t="str">
        <f t="shared" si="63"/>
        <v>Pass Sukses Cukup Banyak</v>
      </c>
      <c r="U441" t="str">
        <f t="shared" si="64"/>
        <v>Total Shot Sangat Sedikit</v>
      </c>
      <c r="V441" t="str">
        <f t="shared" si="67"/>
        <v>Shot on Target Rendah</v>
      </c>
      <c r="W441" t="str">
        <f t="shared" si="68"/>
        <v>Fouls Tinggi</v>
      </c>
      <c r="X441" t="str">
        <f t="shared" si="69"/>
        <v>Corner Rendah</v>
      </c>
      <c r="Y441" t="str">
        <f t="shared" si="65"/>
        <v>Yellow Card Tinggi</v>
      </c>
      <c r="Z441" t="str">
        <f t="shared" si="66"/>
        <v>Red Card Rendah</v>
      </c>
    </row>
    <row r="442" spans="1:26" x14ac:dyDescent="0.25">
      <c r="A442" t="s">
        <v>39</v>
      </c>
      <c r="B442">
        <v>1.4</v>
      </c>
      <c r="C442">
        <v>68</v>
      </c>
      <c r="D442">
        <v>691</v>
      </c>
      <c r="E442">
        <v>584</v>
      </c>
      <c r="F442">
        <v>1</v>
      </c>
      <c r="G442" t="s">
        <v>40</v>
      </c>
      <c r="H442">
        <v>1</v>
      </c>
      <c r="I442" t="s">
        <v>40</v>
      </c>
      <c r="J442">
        <v>16</v>
      </c>
      <c r="K442">
        <v>4</v>
      </c>
      <c r="L442">
        <v>15</v>
      </c>
      <c r="M442">
        <v>8</v>
      </c>
      <c r="N442">
        <v>2</v>
      </c>
      <c r="O442">
        <v>0</v>
      </c>
      <c r="Q442" t="str">
        <f t="shared" si="60"/>
        <v>xG Sangat Sedikit</v>
      </c>
      <c r="R442" t="str">
        <f t="shared" si="61"/>
        <v>Possession Sangat Banyak</v>
      </c>
      <c r="S442" t="str">
        <f t="shared" si="62"/>
        <v>Total Pass Sangat Banyak</v>
      </c>
      <c r="T442" t="str">
        <f t="shared" si="63"/>
        <v>Pass Sukses Cukup Banyak</v>
      </c>
      <c r="U442" t="str">
        <f t="shared" si="64"/>
        <v>Total Shot Cukup Sedikit</v>
      </c>
      <c r="V442" t="str">
        <f t="shared" si="67"/>
        <v>Shot on Target Normal</v>
      </c>
      <c r="W442" t="str">
        <f t="shared" si="68"/>
        <v>Fouls Tinggi</v>
      </c>
      <c r="X442" t="str">
        <f t="shared" si="69"/>
        <v>Corner Tinggi</v>
      </c>
      <c r="Y442" t="str">
        <f t="shared" si="65"/>
        <v>Yellow Card Rendah</v>
      </c>
      <c r="Z442" t="str">
        <f t="shared" si="66"/>
        <v>Red Card Rendah</v>
      </c>
    </row>
    <row r="443" spans="1:26" x14ac:dyDescent="0.25">
      <c r="A443" t="s">
        <v>47</v>
      </c>
      <c r="B443">
        <v>0.6</v>
      </c>
      <c r="C443">
        <v>41</v>
      </c>
      <c r="D443">
        <v>411</v>
      </c>
      <c r="E443">
        <v>345</v>
      </c>
      <c r="F443">
        <v>1</v>
      </c>
      <c r="G443" t="s">
        <v>35</v>
      </c>
      <c r="H443">
        <v>0</v>
      </c>
      <c r="I443" t="s">
        <v>36</v>
      </c>
      <c r="J443">
        <v>8</v>
      </c>
      <c r="K443">
        <v>2</v>
      </c>
      <c r="L443">
        <v>9</v>
      </c>
      <c r="M443">
        <v>1</v>
      </c>
      <c r="N443">
        <v>3</v>
      </c>
      <c r="O443">
        <v>0</v>
      </c>
      <c r="Q443" t="str">
        <f t="shared" si="60"/>
        <v>xG Sangat Sedikit</v>
      </c>
      <c r="R443" t="str">
        <f t="shared" si="61"/>
        <v>Possession Cukup Sedikit</v>
      </c>
      <c r="S443" t="str">
        <f t="shared" si="62"/>
        <v>Total Pass Cukup Sedikit</v>
      </c>
      <c r="T443" t="str">
        <f t="shared" si="63"/>
        <v>Pass Sukses Cukup Sedikit</v>
      </c>
      <c r="U443" t="str">
        <f t="shared" si="64"/>
        <v>Total Shot Sangat Sedikit</v>
      </c>
      <c r="V443" t="str">
        <f t="shared" si="67"/>
        <v>Shot on Target Rendah</v>
      </c>
      <c r="W443" t="str">
        <f t="shared" si="68"/>
        <v>Fouls Normal</v>
      </c>
      <c r="X443" t="str">
        <f t="shared" si="69"/>
        <v>Corner Rendah</v>
      </c>
      <c r="Y443" t="str">
        <f t="shared" si="65"/>
        <v>Yellow Card Tinggi</v>
      </c>
      <c r="Z443" t="str">
        <f t="shared" si="66"/>
        <v>Red Card Rendah</v>
      </c>
    </row>
    <row r="444" spans="1:26" x14ac:dyDescent="0.25">
      <c r="A444" t="s">
        <v>43</v>
      </c>
      <c r="B444">
        <v>1</v>
      </c>
      <c r="C444">
        <v>56</v>
      </c>
      <c r="D444">
        <v>514</v>
      </c>
      <c r="E444">
        <v>394</v>
      </c>
      <c r="F444">
        <v>3</v>
      </c>
      <c r="G444" t="s">
        <v>35</v>
      </c>
      <c r="H444">
        <v>2</v>
      </c>
      <c r="I444" t="s">
        <v>35</v>
      </c>
      <c r="J444">
        <v>17</v>
      </c>
      <c r="K444">
        <v>6</v>
      </c>
      <c r="L444">
        <v>10</v>
      </c>
      <c r="M444">
        <v>3</v>
      </c>
      <c r="N444">
        <v>3</v>
      </c>
      <c r="O444">
        <v>0</v>
      </c>
      <c r="Q444" t="str">
        <f t="shared" si="60"/>
        <v>xG Sangat Sedikit</v>
      </c>
      <c r="R444" t="str">
        <f t="shared" si="61"/>
        <v>Possession Cukup Banyak</v>
      </c>
      <c r="S444" t="str">
        <f t="shared" si="62"/>
        <v>Total Pass Cukup Banyak</v>
      </c>
      <c r="T444" t="str">
        <f t="shared" si="63"/>
        <v>Pass Sukses Cukup Sedikit</v>
      </c>
      <c r="U444" t="str">
        <f t="shared" si="64"/>
        <v>Total Shot Cukup Sedikit</v>
      </c>
      <c r="V444" t="str">
        <f t="shared" si="67"/>
        <v>Shot on Target Tinggi</v>
      </c>
      <c r="W444" t="str">
        <f t="shared" si="68"/>
        <v>Fouls Normal</v>
      </c>
      <c r="X444" t="str">
        <f t="shared" si="69"/>
        <v>Corner Rendah</v>
      </c>
      <c r="Y444" t="str">
        <f t="shared" si="65"/>
        <v>Yellow Card Tinggi</v>
      </c>
      <c r="Z444" t="str">
        <f t="shared" si="66"/>
        <v>Red Card Rendah</v>
      </c>
    </row>
    <row r="445" spans="1:26" x14ac:dyDescent="0.25">
      <c r="A445" t="s">
        <v>49</v>
      </c>
      <c r="B445">
        <v>2.1</v>
      </c>
      <c r="C445">
        <v>55</v>
      </c>
      <c r="D445">
        <v>494</v>
      </c>
      <c r="E445">
        <v>385</v>
      </c>
      <c r="F445">
        <v>0</v>
      </c>
      <c r="G445" t="s">
        <v>35</v>
      </c>
      <c r="H445">
        <v>0</v>
      </c>
      <c r="I445" t="s">
        <v>35</v>
      </c>
      <c r="J445">
        <v>17</v>
      </c>
      <c r="K445">
        <v>2</v>
      </c>
      <c r="L445">
        <v>14</v>
      </c>
      <c r="M445">
        <v>9</v>
      </c>
      <c r="N445">
        <v>1</v>
      </c>
      <c r="O445">
        <v>0</v>
      </c>
      <c r="Q445" t="str">
        <f t="shared" si="60"/>
        <v>xG Cukup Sedikit</v>
      </c>
      <c r="R445" t="str">
        <f t="shared" si="61"/>
        <v>Possession Cukup Banyak</v>
      </c>
      <c r="S445" t="str">
        <f t="shared" si="62"/>
        <v>Total Pass Cukup Sedikit</v>
      </c>
      <c r="T445" t="str">
        <f t="shared" si="63"/>
        <v>Pass Sukses Cukup Sedikit</v>
      </c>
      <c r="U445" t="str">
        <f t="shared" si="64"/>
        <v>Total Shot Cukup Sedikit</v>
      </c>
      <c r="V445" t="str">
        <f t="shared" si="67"/>
        <v>Shot on Target Rendah</v>
      </c>
      <c r="W445" t="str">
        <f t="shared" si="68"/>
        <v>Fouls Tinggi</v>
      </c>
      <c r="X445" t="str">
        <f t="shared" si="69"/>
        <v>Corner Tinggi</v>
      </c>
      <c r="Y445" t="str">
        <f t="shared" si="65"/>
        <v>Yellow Card Rendah</v>
      </c>
      <c r="Z445" t="str">
        <f t="shared" si="66"/>
        <v>Red Card Rendah</v>
      </c>
    </row>
    <row r="446" spans="1:26" x14ac:dyDescent="0.25">
      <c r="A446" t="s">
        <v>34</v>
      </c>
      <c r="B446">
        <v>2.6</v>
      </c>
      <c r="C446">
        <v>42</v>
      </c>
      <c r="D446">
        <v>486</v>
      </c>
      <c r="E446">
        <v>410</v>
      </c>
      <c r="F446">
        <v>2</v>
      </c>
      <c r="G446" t="s">
        <v>35</v>
      </c>
      <c r="H446">
        <v>1</v>
      </c>
      <c r="I446" t="s">
        <v>36</v>
      </c>
      <c r="J446">
        <v>11</v>
      </c>
      <c r="K446">
        <v>4</v>
      </c>
      <c r="L446">
        <v>10</v>
      </c>
      <c r="M446">
        <v>3</v>
      </c>
      <c r="N446">
        <v>1</v>
      </c>
      <c r="O446">
        <v>0</v>
      </c>
      <c r="Q446" t="str">
        <f t="shared" si="60"/>
        <v>xG Cukup Sedikit</v>
      </c>
      <c r="R446" t="str">
        <f t="shared" si="61"/>
        <v>Possession Cukup Sedikit</v>
      </c>
      <c r="S446" t="str">
        <f t="shared" si="62"/>
        <v>Total Pass Cukup Sedikit</v>
      </c>
      <c r="T446" t="str">
        <f t="shared" si="63"/>
        <v>Pass Sukses Cukup Sedikit</v>
      </c>
      <c r="U446" t="str">
        <f t="shared" si="64"/>
        <v>Total Shot Cukup Sedikit</v>
      </c>
      <c r="V446" t="str">
        <f t="shared" si="67"/>
        <v>Shot on Target Normal</v>
      </c>
      <c r="W446" t="str">
        <f t="shared" si="68"/>
        <v>Fouls Normal</v>
      </c>
      <c r="X446" t="str">
        <f t="shared" si="69"/>
        <v>Corner Rendah</v>
      </c>
      <c r="Y446" t="str">
        <f t="shared" si="65"/>
        <v>Yellow Card Rendah</v>
      </c>
      <c r="Z446" t="str">
        <f t="shared" si="66"/>
        <v>Red Card Rendah</v>
      </c>
    </row>
    <row r="447" spans="1:26" x14ac:dyDescent="0.25">
      <c r="A447" t="s">
        <v>38</v>
      </c>
      <c r="B447">
        <v>0.6</v>
      </c>
      <c r="C447">
        <v>48</v>
      </c>
      <c r="D447">
        <v>479</v>
      </c>
      <c r="E447">
        <v>393</v>
      </c>
      <c r="F447">
        <v>1</v>
      </c>
      <c r="G447" t="s">
        <v>35</v>
      </c>
      <c r="H447">
        <v>1</v>
      </c>
      <c r="I447" t="s">
        <v>35</v>
      </c>
      <c r="J447">
        <v>9</v>
      </c>
      <c r="K447">
        <v>2</v>
      </c>
      <c r="L447">
        <v>6</v>
      </c>
      <c r="M447">
        <v>5</v>
      </c>
      <c r="N447">
        <v>1</v>
      </c>
      <c r="O447">
        <v>0</v>
      </c>
      <c r="Q447" t="str">
        <f t="shared" si="60"/>
        <v>xG Sangat Sedikit</v>
      </c>
      <c r="R447" t="str">
        <f t="shared" si="61"/>
        <v>Possession Cukup Sedikit</v>
      </c>
      <c r="S447" t="str">
        <f t="shared" si="62"/>
        <v>Total Pass Cukup Sedikit</v>
      </c>
      <c r="T447" t="str">
        <f t="shared" si="63"/>
        <v>Pass Sukses Cukup Sedikit</v>
      </c>
      <c r="U447" t="str">
        <f t="shared" si="64"/>
        <v>Total Shot Sangat Sedikit</v>
      </c>
      <c r="V447" t="str">
        <f t="shared" si="67"/>
        <v>Shot on Target Rendah</v>
      </c>
      <c r="W447" t="str">
        <f t="shared" si="68"/>
        <v>Fouls Rendah</v>
      </c>
      <c r="X447" t="str">
        <f t="shared" si="69"/>
        <v>Corner Normal</v>
      </c>
      <c r="Y447" t="str">
        <f t="shared" si="65"/>
        <v>Yellow Card Rendah</v>
      </c>
      <c r="Z447" t="str">
        <f t="shared" si="66"/>
        <v>Red Card Rendah</v>
      </c>
    </row>
    <row r="448" spans="1:26" x14ac:dyDescent="0.25">
      <c r="A448" t="s">
        <v>46</v>
      </c>
      <c r="B448">
        <v>2.1</v>
      </c>
      <c r="C448">
        <v>67</v>
      </c>
      <c r="D448">
        <v>703</v>
      </c>
      <c r="E448">
        <v>594</v>
      </c>
      <c r="F448">
        <v>0</v>
      </c>
      <c r="G448" t="s">
        <v>36</v>
      </c>
      <c r="H448">
        <v>0</v>
      </c>
      <c r="I448" t="s">
        <v>36</v>
      </c>
      <c r="J448">
        <v>14</v>
      </c>
      <c r="K448">
        <v>3</v>
      </c>
      <c r="L448">
        <v>8</v>
      </c>
      <c r="M448">
        <v>10</v>
      </c>
      <c r="N448">
        <v>2</v>
      </c>
      <c r="O448">
        <v>0</v>
      </c>
      <c r="Q448" t="str">
        <f t="shared" si="60"/>
        <v>xG Cukup Sedikit</v>
      </c>
      <c r="R448" t="str">
        <f t="shared" si="61"/>
        <v>Possession Sangat Banyak</v>
      </c>
      <c r="S448" t="str">
        <f t="shared" si="62"/>
        <v>Total Pass Sangat Banyak</v>
      </c>
      <c r="T448" t="str">
        <f t="shared" si="63"/>
        <v>Pass Sukses Sangat Banyak</v>
      </c>
      <c r="U448" t="str">
        <f t="shared" si="64"/>
        <v>Total Shot Cukup Sedikit</v>
      </c>
      <c r="V448" t="str">
        <f t="shared" si="67"/>
        <v>Shot on Target Rendah</v>
      </c>
      <c r="W448" t="str">
        <f t="shared" si="68"/>
        <v>Fouls Rendah</v>
      </c>
      <c r="X448" t="str">
        <f t="shared" si="69"/>
        <v>Corner Tinggi</v>
      </c>
      <c r="Y448" t="str">
        <f t="shared" si="65"/>
        <v>Yellow Card Rendah</v>
      </c>
      <c r="Z448" t="str">
        <f t="shared" si="66"/>
        <v>Red Card Rendah</v>
      </c>
    </row>
    <row r="449" spans="1:26" x14ac:dyDescent="0.25">
      <c r="A449" t="s">
        <v>33</v>
      </c>
      <c r="B449">
        <v>0.6</v>
      </c>
      <c r="C449">
        <v>47</v>
      </c>
      <c r="D449">
        <v>396</v>
      </c>
      <c r="E449">
        <v>320</v>
      </c>
      <c r="F449">
        <v>0</v>
      </c>
      <c r="G449" t="s">
        <v>36</v>
      </c>
      <c r="H449">
        <v>0</v>
      </c>
      <c r="I449" t="s">
        <v>36</v>
      </c>
      <c r="J449">
        <v>10</v>
      </c>
      <c r="K449">
        <v>4</v>
      </c>
      <c r="L449">
        <v>11</v>
      </c>
      <c r="M449">
        <v>3</v>
      </c>
      <c r="N449">
        <v>5</v>
      </c>
      <c r="O449">
        <v>0</v>
      </c>
      <c r="Q449" t="str">
        <f t="shared" si="60"/>
        <v>xG Sangat Sedikit</v>
      </c>
      <c r="R449" t="str">
        <f t="shared" si="61"/>
        <v>Possession Cukup Sedikit</v>
      </c>
      <c r="S449" t="str">
        <f t="shared" si="62"/>
        <v>Total Pass Cukup Sedikit</v>
      </c>
      <c r="T449" t="str">
        <f t="shared" si="63"/>
        <v>Pass Sukses Cukup Sedikit</v>
      </c>
      <c r="U449" t="str">
        <f t="shared" si="64"/>
        <v>Total Shot Sangat Sedikit</v>
      </c>
      <c r="V449" t="str">
        <f t="shared" si="67"/>
        <v>Shot on Target Normal</v>
      </c>
      <c r="W449" t="str">
        <f t="shared" si="68"/>
        <v>Fouls Normal</v>
      </c>
      <c r="X449" t="str">
        <f t="shared" si="69"/>
        <v>Corner Rendah</v>
      </c>
      <c r="Y449" t="str">
        <f t="shared" si="65"/>
        <v>Yellow Card Tinggi</v>
      </c>
      <c r="Z449" t="str">
        <f t="shared" si="66"/>
        <v>Red Card Rendah</v>
      </c>
    </row>
    <row r="450" spans="1:26" x14ac:dyDescent="0.25">
      <c r="A450" t="s">
        <v>48</v>
      </c>
      <c r="B450">
        <v>0.9</v>
      </c>
      <c r="C450">
        <v>35</v>
      </c>
      <c r="D450">
        <v>339</v>
      </c>
      <c r="E450">
        <v>249</v>
      </c>
      <c r="F450">
        <v>1</v>
      </c>
      <c r="G450" t="s">
        <v>36</v>
      </c>
      <c r="H450">
        <v>0</v>
      </c>
      <c r="I450" t="s">
        <v>36</v>
      </c>
      <c r="J450">
        <v>16</v>
      </c>
      <c r="K450">
        <v>9</v>
      </c>
      <c r="L450">
        <v>11</v>
      </c>
      <c r="M450">
        <v>3</v>
      </c>
      <c r="N450">
        <v>2</v>
      </c>
      <c r="O450">
        <v>1</v>
      </c>
      <c r="Q450" t="str">
        <f t="shared" si="60"/>
        <v>xG Sangat Sedikit</v>
      </c>
      <c r="R450" t="str">
        <f t="shared" si="61"/>
        <v>Possession Sangat Sedikit</v>
      </c>
      <c r="S450" t="str">
        <f t="shared" si="62"/>
        <v>Total Pass Sangat Sedikit</v>
      </c>
      <c r="T450" t="str">
        <f t="shared" si="63"/>
        <v>Pass Sukses Sangat Sedikit</v>
      </c>
      <c r="U450" t="str">
        <f t="shared" si="64"/>
        <v>Total Shot Cukup Sedikit</v>
      </c>
      <c r="V450" t="str">
        <f t="shared" si="67"/>
        <v>Shot on Target Tinggi</v>
      </c>
      <c r="W450" t="str">
        <f t="shared" si="68"/>
        <v>Fouls Normal</v>
      </c>
      <c r="X450" t="str">
        <f t="shared" si="69"/>
        <v>Corner Rendah</v>
      </c>
      <c r="Y450" t="str">
        <f t="shared" si="65"/>
        <v>Yellow Card Rendah</v>
      </c>
      <c r="Z450" t="str">
        <f t="shared" si="66"/>
        <v>Red Card Tinggi</v>
      </c>
    </row>
    <row r="451" spans="1:26" x14ac:dyDescent="0.25">
      <c r="A451" t="s">
        <v>60</v>
      </c>
      <c r="B451">
        <v>1.3</v>
      </c>
      <c r="C451">
        <v>59</v>
      </c>
      <c r="D451">
        <v>571</v>
      </c>
      <c r="E451">
        <v>485</v>
      </c>
      <c r="F451">
        <v>2</v>
      </c>
      <c r="G451" t="s">
        <v>35</v>
      </c>
      <c r="H451">
        <v>2</v>
      </c>
      <c r="I451" t="s">
        <v>40</v>
      </c>
      <c r="J451">
        <v>13</v>
      </c>
      <c r="K451">
        <v>3</v>
      </c>
      <c r="L451">
        <v>10</v>
      </c>
      <c r="M451">
        <v>7</v>
      </c>
      <c r="N451">
        <v>2</v>
      </c>
      <c r="O451">
        <v>0</v>
      </c>
      <c r="Q451" t="str">
        <f t="shared" ref="Q451:Q514" si="70">_xlfn.LET(
 _xlpm.x,B451,
 _xlpm.min,MIN($B$2:$B$761),
 _xlpm.max,MAX($B$2:$B$761),
 _xlpm.persen,(_xlpm.x-_xlpm.min)/(_xlpm.max-_xlpm.min)*100,
 IF(_xlpm.persen&lt;=25,"xG Sangat Sedikit",
   IF(_xlpm.persen&lt;=50,"xG Cukup Sedikit",
     IF(_xlpm.persen&lt;=75,"xG Cukup Banyak",
       "xG Sangat Banyak"))))</f>
        <v>xG Sangat Sedikit</v>
      </c>
      <c r="R451" t="str">
        <f t="shared" ref="R451:R514" si="71">_xlfn.LET(
 _xlpm.x,C451,
 _xlpm.min,MIN($C$2:$C$761),
 _xlpm.max,MAX($C$2:$C$761),
 _xlpm.persen,(_xlpm.x-_xlpm.min)/(_xlpm.max-_xlpm.min)*100,
 IF(_xlpm.persen&lt;=25,"Possession Sangat Sedikit",
   IF(_xlpm.persen&lt;=50,"Possession Cukup Sedikit",
     IF(_xlpm.persen&lt;=75,"Possession Cukup Banyak",
       "Possession Sangat Banyak"))))</f>
        <v>Possession Cukup Banyak</v>
      </c>
      <c r="S451" t="str">
        <f t="shared" ref="S451:S514" si="72">_xlfn.LET(
 _xlpm.x,D451,
 _xlpm.min,MIN($D$2:$D$761),
 _xlpm.max,MAX($D$2:$D$761),
 _xlpm.persen,(_xlpm.x-_xlpm.min)/(_xlpm.max-_xlpm.min)*100,
 IF(_xlpm.persen&lt;=25,"Total Pass Sangat Sedikit",
   IF(_xlpm.persen&lt;=50,"Total Pass Cukup Sedikit",
     IF(_xlpm.persen&lt;=75,"Total Pass Cukup Banyak",
       "Total Pass Sangat Banyak"))))</f>
        <v>Total Pass Cukup Banyak</v>
      </c>
      <c r="T451" t="str">
        <f t="shared" ref="T451:T514" si="73">_xlfn.LET(
 _xlpm.x,E451,
 _xlpm.min,MIN($E$2:$E$761),
 _xlpm.max,MAX($E$2:$E$761),
 _xlpm.persen,(_xlpm.x-_xlpm.min)/(_xlpm.max-_xlpm.min)*100,
 IF(_xlpm.persen&lt;=25,"Pass Sukses Sangat Sedikit",
   IF(_xlpm.persen&lt;=50,"Pass Sukses Cukup Sedikit",
     IF(_xlpm.persen&lt;=75,"Pass Sukses Cukup Banyak",
       "Pass Sukses Sangat Banyak"))))</f>
        <v>Pass Sukses Cukup Banyak</v>
      </c>
      <c r="U451" t="str">
        <f t="shared" ref="U451:U514" si="74">_xlfn.LET(
 _xlpm.x,J451,
 _xlpm.min,MIN($J$2:$J$761),
 _xlpm.max,MAX($J$2:$J$761),
 _xlpm.persen,(_xlpm.x-_xlpm.min)/(_xlpm.max-_xlpm.min)*100,
 IF(_xlpm.persen&lt;=25,"Total Shot Sangat Sedikit",
   IF(_xlpm.persen&lt;=50,"Total Shot Cukup Sedikit",
     IF(_xlpm.persen&lt;=75,"Total Shot Cukup Banyak",
       "Total Shot Sangat Banyak"))))</f>
        <v>Total Shot Cukup Sedikit</v>
      </c>
      <c r="V451" t="str">
        <f t="shared" si="67"/>
        <v>Shot on Target Rendah</v>
      </c>
      <c r="W451" t="str">
        <f t="shared" si="68"/>
        <v>Fouls Normal</v>
      </c>
      <c r="X451" t="str">
        <f t="shared" si="69"/>
        <v>Corner Tinggi</v>
      </c>
      <c r="Y451" t="str">
        <f t="shared" ref="Y451:Y514" si="75">IF(N451&lt;$Y$1,"Yellow Card Rendah","Yellow Card Tinggi")</f>
        <v>Yellow Card Rendah</v>
      </c>
      <c r="Z451" t="str">
        <f t="shared" ref="Z451:Z514" si="76">IF(O451&lt;$Z$1,"Red Card Rendah","Red Card Tinggi")</f>
        <v>Red Card Rendah</v>
      </c>
    </row>
    <row r="452" spans="1:26" x14ac:dyDescent="0.25">
      <c r="A452" t="s">
        <v>51</v>
      </c>
      <c r="B452">
        <v>0.8</v>
      </c>
      <c r="C452">
        <v>43</v>
      </c>
      <c r="D452">
        <v>400</v>
      </c>
      <c r="E452">
        <v>317</v>
      </c>
      <c r="F452">
        <v>1</v>
      </c>
      <c r="G452" t="s">
        <v>35</v>
      </c>
      <c r="H452">
        <v>1</v>
      </c>
      <c r="I452" t="s">
        <v>36</v>
      </c>
      <c r="J452">
        <v>11</v>
      </c>
      <c r="K452">
        <v>4</v>
      </c>
      <c r="L452">
        <v>15</v>
      </c>
      <c r="M452">
        <v>5</v>
      </c>
      <c r="N452">
        <v>3</v>
      </c>
      <c r="O452">
        <v>1</v>
      </c>
      <c r="Q452" t="str">
        <f t="shared" si="70"/>
        <v>xG Sangat Sedikit</v>
      </c>
      <c r="R452" t="str">
        <f t="shared" si="71"/>
        <v>Possession Cukup Sedikit</v>
      </c>
      <c r="S452" t="str">
        <f t="shared" si="72"/>
        <v>Total Pass Cukup Sedikit</v>
      </c>
      <c r="T452" t="str">
        <f t="shared" si="73"/>
        <v>Pass Sukses Cukup Sedikit</v>
      </c>
      <c r="U452" t="str">
        <f t="shared" si="74"/>
        <v>Total Shot Cukup Sedikit</v>
      </c>
      <c r="V452" t="str">
        <f t="shared" ref="V452:V515" si="77">IF(K452&gt;$V$1,"Shot on Target Tinggi",IF(K452&gt;($V$1/5*4),"Shot on Target Normal","Shot on Target Rendah"))</f>
        <v>Shot on Target Normal</v>
      </c>
      <c r="W452" t="str">
        <f t="shared" ref="W452:W515" si="78">IF(L452&gt;$W$1,"Fouls Tinggi",IF(L452&gt;($W$1/5*4),"Fouls Normal","Fouls Rendah"))</f>
        <v>Fouls Tinggi</v>
      </c>
      <c r="X452" t="str">
        <f t="shared" ref="X452:X515" si="79">IF(M452&gt;$X$1,"Corner Tinggi",IF(M452&gt;($X$1/5*4),"Corner Normal","Corner Rendah"))</f>
        <v>Corner Normal</v>
      </c>
      <c r="Y452" t="str">
        <f t="shared" si="75"/>
        <v>Yellow Card Tinggi</v>
      </c>
      <c r="Z452" t="str">
        <f t="shared" si="76"/>
        <v>Red Card Tinggi</v>
      </c>
    </row>
    <row r="453" spans="1:26" x14ac:dyDescent="0.25">
      <c r="A453" t="s">
        <v>52</v>
      </c>
      <c r="B453">
        <v>1.6</v>
      </c>
      <c r="C453">
        <v>48</v>
      </c>
      <c r="D453">
        <v>444</v>
      </c>
      <c r="E453">
        <v>374</v>
      </c>
      <c r="F453">
        <v>3</v>
      </c>
      <c r="G453" t="s">
        <v>40</v>
      </c>
      <c r="H453">
        <v>1</v>
      </c>
      <c r="I453" t="s">
        <v>36</v>
      </c>
      <c r="J453">
        <v>14</v>
      </c>
      <c r="K453">
        <v>5</v>
      </c>
      <c r="L453">
        <v>11</v>
      </c>
      <c r="M453">
        <v>11</v>
      </c>
      <c r="N453">
        <v>3</v>
      </c>
      <c r="O453">
        <v>1</v>
      </c>
      <c r="Q453" t="str">
        <f t="shared" si="70"/>
        <v>xG Cukup Sedikit</v>
      </c>
      <c r="R453" t="str">
        <f t="shared" si="71"/>
        <v>Possession Cukup Sedikit</v>
      </c>
      <c r="S453" t="str">
        <f t="shared" si="72"/>
        <v>Total Pass Cukup Sedikit</v>
      </c>
      <c r="T453" t="str">
        <f t="shared" si="73"/>
        <v>Pass Sukses Cukup Sedikit</v>
      </c>
      <c r="U453" t="str">
        <f t="shared" si="74"/>
        <v>Total Shot Cukup Sedikit</v>
      </c>
      <c r="V453" t="str">
        <f t="shared" si="77"/>
        <v>Shot on Target Tinggi</v>
      </c>
      <c r="W453" t="str">
        <f t="shared" si="78"/>
        <v>Fouls Normal</v>
      </c>
      <c r="X453" t="str">
        <f t="shared" si="79"/>
        <v>Corner Tinggi</v>
      </c>
      <c r="Y453" t="str">
        <f t="shared" si="75"/>
        <v>Yellow Card Tinggi</v>
      </c>
      <c r="Z453" t="str">
        <f t="shared" si="76"/>
        <v>Red Card Tinggi</v>
      </c>
    </row>
    <row r="454" spans="1:26" x14ac:dyDescent="0.25">
      <c r="A454" t="s">
        <v>44</v>
      </c>
      <c r="B454">
        <v>1.7</v>
      </c>
      <c r="C454">
        <v>45</v>
      </c>
      <c r="D454">
        <v>435</v>
      </c>
      <c r="E454">
        <v>336</v>
      </c>
      <c r="F454">
        <v>2</v>
      </c>
      <c r="G454" t="s">
        <v>40</v>
      </c>
      <c r="H454">
        <v>2</v>
      </c>
      <c r="I454" t="s">
        <v>40</v>
      </c>
      <c r="J454">
        <v>11</v>
      </c>
      <c r="K454">
        <v>8</v>
      </c>
      <c r="L454">
        <v>10</v>
      </c>
      <c r="M454">
        <v>8</v>
      </c>
      <c r="N454">
        <v>1</v>
      </c>
      <c r="O454">
        <v>0</v>
      </c>
      <c r="Q454" t="str">
        <f t="shared" si="70"/>
        <v>xG Cukup Sedikit</v>
      </c>
      <c r="R454" t="str">
        <f t="shared" si="71"/>
        <v>Possession Cukup Sedikit</v>
      </c>
      <c r="S454" t="str">
        <f t="shared" si="72"/>
        <v>Total Pass Cukup Sedikit</v>
      </c>
      <c r="T454" t="str">
        <f t="shared" si="73"/>
        <v>Pass Sukses Cukup Sedikit</v>
      </c>
      <c r="U454" t="str">
        <f t="shared" si="74"/>
        <v>Total Shot Cukup Sedikit</v>
      </c>
      <c r="V454" t="str">
        <f t="shared" si="77"/>
        <v>Shot on Target Tinggi</v>
      </c>
      <c r="W454" t="str">
        <f t="shared" si="78"/>
        <v>Fouls Normal</v>
      </c>
      <c r="X454" t="str">
        <f t="shared" si="79"/>
        <v>Corner Tinggi</v>
      </c>
      <c r="Y454" t="str">
        <f t="shared" si="75"/>
        <v>Yellow Card Rendah</v>
      </c>
      <c r="Z454" t="str">
        <f t="shared" si="76"/>
        <v>Red Card Rendah</v>
      </c>
    </row>
    <row r="455" spans="1:26" x14ac:dyDescent="0.25">
      <c r="A455" t="s">
        <v>54</v>
      </c>
      <c r="B455">
        <v>0.9</v>
      </c>
      <c r="C455">
        <v>50</v>
      </c>
      <c r="D455">
        <v>522</v>
      </c>
      <c r="E455">
        <v>435</v>
      </c>
      <c r="F455">
        <v>1</v>
      </c>
      <c r="G455" t="s">
        <v>35</v>
      </c>
      <c r="H455">
        <v>1</v>
      </c>
      <c r="I455" t="s">
        <v>40</v>
      </c>
      <c r="J455">
        <v>8</v>
      </c>
      <c r="K455">
        <v>2</v>
      </c>
      <c r="L455">
        <v>5</v>
      </c>
      <c r="M455">
        <v>2</v>
      </c>
      <c r="N455">
        <v>2</v>
      </c>
      <c r="O455">
        <v>0</v>
      </c>
      <c r="Q455" t="str">
        <f t="shared" si="70"/>
        <v>xG Sangat Sedikit</v>
      </c>
      <c r="R455" t="str">
        <f t="shared" si="71"/>
        <v>Possession Cukup Sedikit</v>
      </c>
      <c r="S455" t="str">
        <f t="shared" si="72"/>
        <v>Total Pass Cukup Banyak</v>
      </c>
      <c r="T455" t="str">
        <f t="shared" si="73"/>
        <v>Pass Sukses Cukup Sedikit</v>
      </c>
      <c r="U455" t="str">
        <f t="shared" si="74"/>
        <v>Total Shot Sangat Sedikit</v>
      </c>
      <c r="V455" t="str">
        <f t="shared" si="77"/>
        <v>Shot on Target Rendah</v>
      </c>
      <c r="W455" t="str">
        <f t="shared" si="78"/>
        <v>Fouls Rendah</v>
      </c>
      <c r="X455" t="str">
        <f t="shared" si="79"/>
        <v>Corner Rendah</v>
      </c>
      <c r="Y455" t="str">
        <f t="shared" si="75"/>
        <v>Yellow Card Rendah</v>
      </c>
      <c r="Z455" t="str">
        <f t="shared" si="76"/>
        <v>Red Card Rendah</v>
      </c>
    </row>
    <row r="456" spans="1:26" x14ac:dyDescent="0.25">
      <c r="A456" t="s">
        <v>45</v>
      </c>
      <c r="B456">
        <v>1.1000000000000001</v>
      </c>
      <c r="C456">
        <v>40</v>
      </c>
      <c r="D456">
        <v>399</v>
      </c>
      <c r="E456">
        <v>313</v>
      </c>
      <c r="F456">
        <v>1</v>
      </c>
      <c r="G456" t="s">
        <v>40</v>
      </c>
      <c r="H456">
        <v>1</v>
      </c>
      <c r="I456" t="s">
        <v>40</v>
      </c>
      <c r="J456">
        <v>10</v>
      </c>
      <c r="K456">
        <v>5</v>
      </c>
      <c r="L456">
        <v>9</v>
      </c>
      <c r="M456">
        <v>4</v>
      </c>
      <c r="N456">
        <v>2</v>
      </c>
      <c r="O456">
        <v>0</v>
      </c>
      <c r="Q456" t="str">
        <f t="shared" si="70"/>
        <v>xG Sangat Sedikit</v>
      </c>
      <c r="R456" t="str">
        <f t="shared" si="71"/>
        <v>Possession Cukup Sedikit</v>
      </c>
      <c r="S456" t="str">
        <f t="shared" si="72"/>
        <v>Total Pass Cukup Sedikit</v>
      </c>
      <c r="T456" t="str">
        <f t="shared" si="73"/>
        <v>Pass Sukses Cukup Sedikit</v>
      </c>
      <c r="U456" t="str">
        <f t="shared" si="74"/>
        <v>Total Shot Sangat Sedikit</v>
      </c>
      <c r="V456" t="str">
        <f t="shared" si="77"/>
        <v>Shot on Target Tinggi</v>
      </c>
      <c r="W456" t="str">
        <f t="shared" si="78"/>
        <v>Fouls Normal</v>
      </c>
      <c r="X456" t="str">
        <f t="shared" si="79"/>
        <v>Corner Rendah</v>
      </c>
      <c r="Y456" t="str">
        <f t="shared" si="75"/>
        <v>Yellow Card Rendah</v>
      </c>
      <c r="Z456" t="str">
        <f t="shared" si="76"/>
        <v>Red Card Rendah</v>
      </c>
    </row>
    <row r="457" spans="1:26" x14ac:dyDescent="0.25">
      <c r="A457" t="s">
        <v>59</v>
      </c>
      <c r="B457">
        <v>3.1</v>
      </c>
      <c r="C457">
        <v>58</v>
      </c>
      <c r="D457">
        <v>546</v>
      </c>
      <c r="E457">
        <v>452</v>
      </c>
      <c r="F457">
        <v>3</v>
      </c>
      <c r="G457" t="s">
        <v>40</v>
      </c>
      <c r="H457">
        <v>0</v>
      </c>
      <c r="I457" t="s">
        <v>35</v>
      </c>
      <c r="J457">
        <v>18</v>
      </c>
      <c r="K457">
        <v>4</v>
      </c>
      <c r="L457">
        <v>10</v>
      </c>
      <c r="M457">
        <v>6</v>
      </c>
      <c r="N457">
        <v>3</v>
      </c>
      <c r="O457">
        <v>0</v>
      </c>
      <c r="Q457" t="str">
        <f t="shared" si="70"/>
        <v>xG Cukup Banyak</v>
      </c>
      <c r="R457" t="str">
        <f t="shared" si="71"/>
        <v>Possession Cukup Banyak</v>
      </c>
      <c r="S457" t="str">
        <f t="shared" si="72"/>
        <v>Total Pass Cukup Banyak</v>
      </c>
      <c r="T457" t="str">
        <f t="shared" si="73"/>
        <v>Pass Sukses Cukup Banyak</v>
      </c>
      <c r="U457" t="str">
        <f t="shared" si="74"/>
        <v>Total Shot Cukup Sedikit</v>
      </c>
      <c r="V457" t="str">
        <f t="shared" si="77"/>
        <v>Shot on Target Normal</v>
      </c>
      <c r="W457" t="str">
        <f t="shared" si="78"/>
        <v>Fouls Normal</v>
      </c>
      <c r="X457" t="str">
        <f t="shared" si="79"/>
        <v>Corner Tinggi</v>
      </c>
      <c r="Y457" t="str">
        <f t="shared" si="75"/>
        <v>Yellow Card Tinggi</v>
      </c>
      <c r="Z457" t="str">
        <f t="shared" si="76"/>
        <v>Red Card Rendah</v>
      </c>
    </row>
    <row r="458" spans="1:26" x14ac:dyDescent="0.25">
      <c r="A458" t="s">
        <v>42</v>
      </c>
      <c r="B458">
        <v>0.7</v>
      </c>
      <c r="C458">
        <v>51</v>
      </c>
      <c r="D458">
        <v>470</v>
      </c>
      <c r="E458">
        <v>361</v>
      </c>
      <c r="F458">
        <v>0</v>
      </c>
      <c r="G458" t="s">
        <v>35</v>
      </c>
      <c r="H458">
        <v>0</v>
      </c>
      <c r="I458" t="s">
        <v>36</v>
      </c>
      <c r="J458">
        <v>6</v>
      </c>
      <c r="K458">
        <v>1</v>
      </c>
      <c r="L458">
        <v>11</v>
      </c>
      <c r="M458">
        <v>4</v>
      </c>
      <c r="N458">
        <v>1</v>
      </c>
      <c r="O458">
        <v>1</v>
      </c>
      <c r="Q458" t="str">
        <f t="shared" si="70"/>
        <v>xG Sangat Sedikit</v>
      </c>
      <c r="R458" t="str">
        <f t="shared" si="71"/>
        <v>Possession Cukup Banyak</v>
      </c>
      <c r="S458" t="str">
        <f t="shared" si="72"/>
        <v>Total Pass Cukup Sedikit</v>
      </c>
      <c r="T458" t="str">
        <f t="shared" si="73"/>
        <v>Pass Sukses Cukup Sedikit</v>
      </c>
      <c r="U458" t="str">
        <f t="shared" si="74"/>
        <v>Total Shot Sangat Sedikit</v>
      </c>
      <c r="V458" t="str">
        <f t="shared" si="77"/>
        <v>Shot on Target Rendah</v>
      </c>
      <c r="W458" t="str">
        <f t="shared" si="78"/>
        <v>Fouls Normal</v>
      </c>
      <c r="X458" t="str">
        <f t="shared" si="79"/>
        <v>Corner Rendah</v>
      </c>
      <c r="Y458" t="str">
        <f t="shared" si="75"/>
        <v>Yellow Card Rendah</v>
      </c>
      <c r="Z458" t="str">
        <f t="shared" si="76"/>
        <v>Red Card Tinggi</v>
      </c>
    </row>
    <row r="459" spans="1:26" x14ac:dyDescent="0.25">
      <c r="A459" t="s">
        <v>58</v>
      </c>
      <c r="B459">
        <v>1.6</v>
      </c>
      <c r="C459">
        <v>77</v>
      </c>
      <c r="D459">
        <v>795</v>
      </c>
      <c r="E459">
        <v>686</v>
      </c>
      <c r="F459">
        <v>2</v>
      </c>
      <c r="G459" t="s">
        <v>40</v>
      </c>
      <c r="H459">
        <v>1</v>
      </c>
      <c r="I459" t="s">
        <v>36</v>
      </c>
      <c r="J459">
        <v>22</v>
      </c>
      <c r="K459">
        <v>7</v>
      </c>
      <c r="L459">
        <v>5</v>
      </c>
      <c r="M459">
        <v>18</v>
      </c>
      <c r="N459">
        <v>1</v>
      </c>
      <c r="O459">
        <v>0</v>
      </c>
      <c r="Q459" t="str">
        <f t="shared" si="70"/>
        <v>xG Cukup Sedikit</v>
      </c>
      <c r="R459" t="str">
        <f t="shared" si="71"/>
        <v>Possession Sangat Banyak</v>
      </c>
      <c r="S459" t="str">
        <f t="shared" si="72"/>
        <v>Total Pass Sangat Banyak</v>
      </c>
      <c r="T459" t="str">
        <f t="shared" si="73"/>
        <v>Pass Sukses Sangat Banyak</v>
      </c>
      <c r="U459" t="str">
        <f t="shared" si="74"/>
        <v>Total Shot Cukup Banyak</v>
      </c>
      <c r="V459" t="str">
        <f t="shared" si="77"/>
        <v>Shot on Target Tinggi</v>
      </c>
      <c r="W459" t="str">
        <f t="shared" si="78"/>
        <v>Fouls Rendah</v>
      </c>
      <c r="X459" t="str">
        <f t="shared" si="79"/>
        <v>Corner Tinggi</v>
      </c>
      <c r="Y459" t="str">
        <f t="shared" si="75"/>
        <v>Yellow Card Rendah</v>
      </c>
      <c r="Z459" t="str">
        <f t="shared" si="76"/>
        <v>Red Card Rendah</v>
      </c>
    </row>
    <row r="460" spans="1:26" x14ac:dyDescent="0.25">
      <c r="A460" t="s">
        <v>57</v>
      </c>
      <c r="B460">
        <v>1</v>
      </c>
      <c r="C460">
        <v>57</v>
      </c>
      <c r="D460">
        <v>579</v>
      </c>
      <c r="E460">
        <v>499</v>
      </c>
      <c r="F460">
        <v>1</v>
      </c>
      <c r="G460" t="s">
        <v>35</v>
      </c>
      <c r="H460">
        <v>0</v>
      </c>
      <c r="I460" t="s">
        <v>35</v>
      </c>
      <c r="J460">
        <v>12</v>
      </c>
      <c r="K460">
        <v>2</v>
      </c>
      <c r="L460">
        <v>13</v>
      </c>
      <c r="M460">
        <v>6</v>
      </c>
      <c r="N460">
        <v>3</v>
      </c>
      <c r="O460">
        <v>0</v>
      </c>
      <c r="Q460" t="str">
        <f t="shared" si="70"/>
        <v>xG Sangat Sedikit</v>
      </c>
      <c r="R460" t="str">
        <f t="shared" si="71"/>
        <v>Possession Cukup Banyak</v>
      </c>
      <c r="S460" t="str">
        <f t="shared" si="72"/>
        <v>Total Pass Cukup Banyak</v>
      </c>
      <c r="T460" t="str">
        <f t="shared" si="73"/>
        <v>Pass Sukses Cukup Banyak</v>
      </c>
      <c r="U460" t="str">
        <f t="shared" si="74"/>
        <v>Total Shot Cukup Sedikit</v>
      </c>
      <c r="V460" t="str">
        <f t="shared" si="77"/>
        <v>Shot on Target Rendah</v>
      </c>
      <c r="W460" t="str">
        <f t="shared" si="78"/>
        <v>Fouls Tinggi</v>
      </c>
      <c r="X460" t="str">
        <f t="shared" si="79"/>
        <v>Corner Tinggi</v>
      </c>
      <c r="Y460" t="str">
        <f t="shared" si="75"/>
        <v>Yellow Card Tinggi</v>
      </c>
      <c r="Z460" t="str">
        <f t="shared" si="76"/>
        <v>Red Card Rendah</v>
      </c>
    </row>
    <row r="461" spans="1:26" x14ac:dyDescent="0.25">
      <c r="A461" t="s">
        <v>55</v>
      </c>
      <c r="B461">
        <v>1</v>
      </c>
      <c r="C461">
        <v>49</v>
      </c>
      <c r="D461">
        <v>482</v>
      </c>
      <c r="E461">
        <v>375</v>
      </c>
      <c r="F461">
        <v>0</v>
      </c>
      <c r="G461" t="s">
        <v>35</v>
      </c>
      <c r="H461">
        <v>0</v>
      </c>
      <c r="I461" t="s">
        <v>36</v>
      </c>
      <c r="J461">
        <v>20</v>
      </c>
      <c r="K461">
        <v>7</v>
      </c>
      <c r="L461">
        <v>12</v>
      </c>
      <c r="M461">
        <v>6</v>
      </c>
      <c r="N461">
        <v>3</v>
      </c>
      <c r="O461">
        <v>0</v>
      </c>
      <c r="Q461" t="str">
        <f t="shared" si="70"/>
        <v>xG Sangat Sedikit</v>
      </c>
      <c r="R461" t="str">
        <f t="shared" si="71"/>
        <v>Possession Cukup Sedikit</v>
      </c>
      <c r="S461" t="str">
        <f t="shared" si="72"/>
        <v>Total Pass Cukup Sedikit</v>
      </c>
      <c r="T461" t="str">
        <f t="shared" si="73"/>
        <v>Pass Sukses Cukup Sedikit</v>
      </c>
      <c r="U461" t="str">
        <f t="shared" si="74"/>
        <v>Total Shot Cukup Banyak</v>
      </c>
      <c r="V461" t="str">
        <f t="shared" si="77"/>
        <v>Shot on Target Tinggi</v>
      </c>
      <c r="W461" t="str">
        <f t="shared" si="78"/>
        <v>Fouls Tinggi</v>
      </c>
      <c r="X461" t="str">
        <f t="shared" si="79"/>
        <v>Corner Tinggi</v>
      </c>
      <c r="Y461" t="str">
        <f t="shared" si="75"/>
        <v>Yellow Card Tinggi</v>
      </c>
      <c r="Z461" t="str">
        <f t="shared" si="76"/>
        <v>Red Card Rendah</v>
      </c>
    </row>
    <row r="462" spans="1:26" x14ac:dyDescent="0.25">
      <c r="A462" t="s">
        <v>48</v>
      </c>
      <c r="B462">
        <v>1.7</v>
      </c>
      <c r="C462">
        <v>35</v>
      </c>
      <c r="D462">
        <v>338</v>
      </c>
      <c r="E462">
        <v>240</v>
      </c>
      <c r="F462">
        <v>3</v>
      </c>
      <c r="G462" t="s">
        <v>40</v>
      </c>
      <c r="H462">
        <v>1</v>
      </c>
      <c r="I462" t="s">
        <v>36</v>
      </c>
      <c r="J462">
        <v>20</v>
      </c>
      <c r="K462">
        <v>5</v>
      </c>
      <c r="L462">
        <v>9</v>
      </c>
      <c r="M462">
        <v>7</v>
      </c>
      <c r="N462">
        <v>2</v>
      </c>
      <c r="O462">
        <v>0</v>
      </c>
      <c r="Q462" t="str">
        <f t="shared" si="70"/>
        <v>xG Cukup Sedikit</v>
      </c>
      <c r="R462" t="str">
        <f t="shared" si="71"/>
        <v>Possession Sangat Sedikit</v>
      </c>
      <c r="S462" t="str">
        <f t="shared" si="72"/>
        <v>Total Pass Sangat Sedikit</v>
      </c>
      <c r="T462" t="str">
        <f t="shared" si="73"/>
        <v>Pass Sukses Sangat Sedikit</v>
      </c>
      <c r="U462" t="str">
        <f t="shared" si="74"/>
        <v>Total Shot Cukup Banyak</v>
      </c>
      <c r="V462" t="str">
        <f t="shared" si="77"/>
        <v>Shot on Target Tinggi</v>
      </c>
      <c r="W462" t="str">
        <f t="shared" si="78"/>
        <v>Fouls Normal</v>
      </c>
      <c r="X462" t="str">
        <f t="shared" si="79"/>
        <v>Corner Tinggi</v>
      </c>
      <c r="Y462" t="str">
        <f t="shared" si="75"/>
        <v>Yellow Card Rendah</v>
      </c>
      <c r="Z462" t="str">
        <f t="shared" si="76"/>
        <v>Red Card Rendah</v>
      </c>
    </row>
    <row r="463" spans="1:26" x14ac:dyDescent="0.25">
      <c r="A463" t="s">
        <v>49</v>
      </c>
      <c r="B463">
        <v>0.3</v>
      </c>
      <c r="C463">
        <v>43</v>
      </c>
      <c r="D463">
        <v>365</v>
      </c>
      <c r="E463">
        <v>288</v>
      </c>
      <c r="F463">
        <v>1</v>
      </c>
      <c r="G463" t="s">
        <v>36</v>
      </c>
      <c r="H463">
        <v>0</v>
      </c>
      <c r="I463" t="s">
        <v>36</v>
      </c>
      <c r="J463">
        <v>11</v>
      </c>
      <c r="K463">
        <v>3</v>
      </c>
      <c r="L463">
        <v>14</v>
      </c>
      <c r="M463">
        <v>7</v>
      </c>
      <c r="N463">
        <v>6</v>
      </c>
      <c r="O463">
        <v>0</v>
      </c>
      <c r="Q463" t="str">
        <f t="shared" si="70"/>
        <v>xG Sangat Sedikit</v>
      </c>
      <c r="R463" t="str">
        <f t="shared" si="71"/>
        <v>Possession Cukup Sedikit</v>
      </c>
      <c r="S463" t="str">
        <f t="shared" si="72"/>
        <v>Total Pass Cukup Sedikit</v>
      </c>
      <c r="T463" t="str">
        <f t="shared" si="73"/>
        <v>Pass Sukses Cukup Sedikit</v>
      </c>
      <c r="U463" t="str">
        <f t="shared" si="74"/>
        <v>Total Shot Cukup Sedikit</v>
      </c>
      <c r="V463" t="str">
        <f t="shared" si="77"/>
        <v>Shot on Target Rendah</v>
      </c>
      <c r="W463" t="str">
        <f t="shared" si="78"/>
        <v>Fouls Tinggi</v>
      </c>
      <c r="X463" t="str">
        <f t="shared" si="79"/>
        <v>Corner Tinggi</v>
      </c>
      <c r="Y463" t="str">
        <f t="shared" si="75"/>
        <v>Yellow Card Tinggi</v>
      </c>
      <c r="Z463" t="str">
        <f t="shared" si="76"/>
        <v>Red Card Rendah</v>
      </c>
    </row>
    <row r="464" spans="1:26" x14ac:dyDescent="0.25">
      <c r="A464" t="s">
        <v>38</v>
      </c>
      <c r="B464">
        <v>1.3</v>
      </c>
      <c r="C464">
        <v>35</v>
      </c>
      <c r="D464">
        <v>328</v>
      </c>
      <c r="E464">
        <v>220</v>
      </c>
      <c r="F464">
        <v>3</v>
      </c>
      <c r="G464" t="s">
        <v>35</v>
      </c>
      <c r="H464">
        <v>2</v>
      </c>
      <c r="I464" t="s">
        <v>36</v>
      </c>
      <c r="J464">
        <v>11</v>
      </c>
      <c r="K464">
        <v>5</v>
      </c>
      <c r="L464">
        <v>10</v>
      </c>
      <c r="M464">
        <v>5</v>
      </c>
      <c r="N464">
        <v>1</v>
      </c>
      <c r="O464">
        <v>1</v>
      </c>
      <c r="Q464" t="str">
        <f t="shared" si="70"/>
        <v>xG Sangat Sedikit</v>
      </c>
      <c r="R464" t="str">
        <f t="shared" si="71"/>
        <v>Possession Sangat Sedikit</v>
      </c>
      <c r="S464" t="str">
        <f t="shared" si="72"/>
        <v>Total Pass Sangat Sedikit</v>
      </c>
      <c r="T464" t="str">
        <f t="shared" si="73"/>
        <v>Pass Sukses Sangat Sedikit</v>
      </c>
      <c r="U464" t="str">
        <f t="shared" si="74"/>
        <v>Total Shot Cukup Sedikit</v>
      </c>
      <c r="V464" t="str">
        <f t="shared" si="77"/>
        <v>Shot on Target Tinggi</v>
      </c>
      <c r="W464" t="str">
        <f t="shared" si="78"/>
        <v>Fouls Normal</v>
      </c>
      <c r="X464" t="str">
        <f t="shared" si="79"/>
        <v>Corner Normal</v>
      </c>
      <c r="Y464" t="str">
        <f t="shared" si="75"/>
        <v>Yellow Card Rendah</v>
      </c>
      <c r="Z464" t="str">
        <f t="shared" si="76"/>
        <v>Red Card Tinggi</v>
      </c>
    </row>
    <row r="465" spans="1:26" x14ac:dyDescent="0.25">
      <c r="A465" t="s">
        <v>43</v>
      </c>
      <c r="B465">
        <v>1.3</v>
      </c>
      <c r="C465">
        <v>49</v>
      </c>
      <c r="D465">
        <v>480</v>
      </c>
      <c r="E465">
        <v>388</v>
      </c>
      <c r="F465">
        <v>2</v>
      </c>
      <c r="G465" t="s">
        <v>36</v>
      </c>
      <c r="H465">
        <v>0</v>
      </c>
      <c r="I465" t="s">
        <v>35</v>
      </c>
      <c r="J465">
        <v>14</v>
      </c>
      <c r="K465">
        <v>7</v>
      </c>
      <c r="L465">
        <v>10</v>
      </c>
      <c r="M465">
        <v>6</v>
      </c>
      <c r="N465">
        <v>3</v>
      </c>
      <c r="O465">
        <v>0</v>
      </c>
      <c r="Q465" t="str">
        <f t="shared" si="70"/>
        <v>xG Sangat Sedikit</v>
      </c>
      <c r="R465" t="str">
        <f t="shared" si="71"/>
        <v>Possession Cukup Sedikit</v>
      </c>
      <c r="S465" t="str">
        <f t="shared" si="72"/>
        <v>Total Pass Cukup Sedikit</v>
      </c>
      <c r="T465" t="str">
        <f t="shared" si="73"/>
        <v>Pass Sukses Cukup Sedikit</v>
      </c>
      <c r="U465" t="str">
        <f t="shared" si="74"/>
        <v>Total Shot Cukup Sedikit</v>
      </c>
      <c r="V465" t="str">
        <f t="shared" si="77"/>
        <v>Shot on Target Tinggi</v>
      </c>
      <c r="W465" t="str">
        <f t="shared" si="78"/>
        <v>Fouls Normal</v>
      </c>
      <c r="X465" t="str">
        <f t="shared" si="79"/>
        <v>Corner Tinggi</v>
      </c>
      <c r="Y465" t="str">
        <f t="shared" si="75"/>
        <v>Yellow Card Tinggi</v>
      </c>
      <c r="Z465" t="str">
        <f t="shared" si="76"/>
        <v>Red Card Rendah</v>
      </c>
    </row>
    <row r="466" spans="1:26" x14ac:dyDescent="0.25">
      <c r="A466" t="s">
        <v>47</v>
      </c>
      <c r="B466">
        <v>0.2</v>
      </c>
      <c r="C466">
        <v>43</v>
      </c>
      <c r="D466">
        <v>503</v>
      </c>
      <c r="E466">
        <v>454</v>
      </c>
      <c r="F466">
        <v>0</v>
      </c>
      <c r="G466" t="s">
        <v>35</v>
      </c>
      <c r="H466">
        <v>0</v>
      </c>
      <c r="I466" t="s">
        <v>35</v>
      </c>
      <c r="J466">
        <v>5</v>
      </c>
      <c r="K466">
        <v>2</v>
      </c>
      <c r="L466">
        <v>9</v>
      </c>
      <c r="M466">
        <v>1</v>
      </c>
      <c r="N466">
        <v>3</v>
      </c>
      <c r="O466">
        <v>0</v>
      </c>
      <c r="Q466" t="str">
        <f t="shared" si="70"/>
        <v>xG Sangat Sedikit</v>
      </c>
      <c r="R466" t="str">
        <f t="shared" si="71"/>
        <v>Possession Cukup Sedikit</v>
      </c>
      <c r="S466" t="str">
        <f t="shared" si="72"/>
        <v>Total Pass Cukup Sedikit</v>
      </c>
      <c r="T466" t="str">
        <f t="shared" si="73"/>
        <v>Pass Sukses Cukup Banyak</v>
      </c>
      <c r="U466" t="str">
        <f t="shared" si="74"/>
        <v>Total Shot Sangat Sedikit</v>
      </c>
      <c r="V466" t="str">
        <f t="shared" si="77"/>
        <v>Shot on Target Rendah</v>
      </c>
      <c r="W466" t="str">
        <f t="shared" si="78"/>
        <v>Fouls Normal</v>
      </c>
      <c r="X466" t="str">
        <f t="shared" si="79"/>
        <v>Corner Rendah</v>
      </c>
      <c r="Y466" t="str">
        <f t="shared" si="75"/>
        <v>Yellow Card Tinggi</v>
      </c>
      <c r="Z466" t="str">
        <f t="shared" si="76"/>
        <v>Red Card Rendah</v>
      </c>
    </row>
    <row r="467" spans="1:26" x14ac:dyDescent="0.25">
      <c r="A467" t="s">
        <v>34</v>
      </c>
      <c r="B467">
        <v>1.2</v>
      </c>
      <c r="C467">
        <v>60</v>
      </c>
      <c r="D467">
        <v>638</v>
      </c>
      <c r="E467">
        <v>539</v>
      </c>
      <c r="F467">
        <v>1</v>
      </c>
      <c r="G467" t="s">
        <v>36</v>
      </c>
      <c r="H467">
        <v>0</v>
      </c>
      <c r="I467" t="s">
        <v>36</v>
      </c>
      <c r="J467">
        <v>14</v>
      </c>
      <c r="K467">
        <v>3</v>
      </c>
      <c r="L467">
        <v>8</v>
      </c>
      <c r="M467">
        <v>2</v>
      </c>
      <c r="N467">
        <v>0</v>
      </c>
      <c r="O467">
        <v>0</v>
      </c>
      <c r="Q467" t="str">
        <f t="shared" si="70"/>
        <v>xG Sangat Sedikit</v>
      </c>
      <c r="R467" t="str">
        <f t="shared" si="71"/>
        <v>Possession Cukup Banyak</v>
      </c>
      <c r="S467" t="str">
        <f t="shared" si="72"/>
        <v>Total Pass Cukup Banyak</v>
      </c>
      <c r="T467" t="str">
        <f t="shared" si="73"/>
        <v>Pass Sukses Cukup Banyak</v>
      </c>
      <c r="U467" t="str">
        <f t="shared" si="74"/>
        <v>Total Shot Cukup Sedikit</v>
      </c>
      <c r="V467" t="str">
        <f t="shared" si="77"/>
        <v>Shot on Target Rendah</v>
      </c>
      <c r="W467" t="str">
        <f t="shared" si="78"/>
        <v>Fouls Rendah</v>
      </c>
      <c r="X467" t="str">
        <f t="shared" si="79"/>
        <v>Corner Rendah</v>
      </c>
      <c r="Y467" t="str">
        <f t="shared" si="75"/>
        <v>Yellow Card Rendah</v>
      </c>
      <c r="Z467" t="str">
        <f t="shared" si="76"/>
        <v>Red Card Rendah</v>
      </c>
    </row>
    <row r="468" spans="1:26" x14ac:dyDescent="0.25">
      <c r="A468" t="s">
        <v>46</v>
      </c>
      <c r="B468">
        <v>1.8</v>
      </c>
      <c r="C468">
        <v>50</v>
      </c>
      <c r="D468">
        <v>495</v>
      </c>
      <c r="E468">
        <v>400</v>
      </c>
      <c r="F468">
        <v>1</v>
      </c>
      <c r="G468" t="s">
        <v>35</v>
      </c>
      <c r="H468">
        <v>1</v>
      </c>
      <c r="I468" t="s">
        <v>36</v>
      </c>
      <c r="J468">
        <v>11</v>
      </c>
      <c r="K468">
        <v>3</v>
      </c>
      <c r="L468">
        <v>16</v>
      </c>
      <c r="M468">
        <v>4</v>
      </c>
      <c r="N468">
        <v>3</v>
      </c>
      <c r="O468">
        <v>0</v>
      </c>
      <c r="Q468" t="str">
        <f t="shared" si="70"/>
        <v>xG Cukup Sedikit</v>
      </c>
      <c r="R468" t="str">
        <f t="shared" si="71"/>
        <v>Possession Cukup Sedikit</v>
      </c>
      <c r="S468" t="str">
        <f t="shared" si="72"/>
        <v>Total Pass Cukup Sedikit</v>
      </c>
      <c r="T468" t="str">
        <f t="shared" si="73"/>
        <v>Pass Sukses Cukup Sedikit</v>
      </c>
      <c r="U468" t="str">
        <f t="shared" si="74"/>
        <v>Total Shot Cukup Sedikit</v>
      </c>
      <c r="V468" t="str">
        <f t="shared" si="77"/>
        <v>Shot on Target Rendah</v>
      </c>
      <c r="W468" t="str">
        <f t="shared" si="78"/>
        <v>Fouls Tinggi</v>
      </c>
      <c r="X468" t="str">
        <f t="shared" si="79"/>
        <v>Corner Rendah</v>
      </c>
      <c r="Y468" t="str">
        <f t="shared" si="75"/>
        <v>Yellow Card Tinggi</v>
      </c>
      <c r="Z468" t="str">
        <f t="shared" si="76"/>
        <v>Red Card Rendah</v>
      </c>
    </row>
    <row r="469" spans="1:26" x14ac:dyDescent="0.25">
      <c r="A469" t="s">
        <v>60</v>
      </c>
      <c r="B469">
        <v>0.7</v>
      </c>
      <c r="C469">
        <v>66</v>
      </c>
      <c r="D469">
        <v>571</v>
      </c>
      <c r="E469">
        <v>445</v>
      </c>
      <c r="F469">
        <v>0</v>
      </c>
      <c r="G469" t="s">
        <v>35</v>
      </c>
      <c r="H469">
        <v>0</v>
      </c>
      <c r="I469" t="s">
        <v>35</v>
      </c>
      <c r="J469">
        <v>11</v>
      </c>
      <c r="K469">
        <v>3</v>
      </c>
      <c r="L469">
        <v>12</v>
      </c>
      <c r="M469">
        <v>8</v>
      </c>
      <c r="N469">
        <v>4</v>
      </c>
      <c r="O469">
        <v>0</v>
      </c>
      <c r="Q469" t="str">
        <f t="shared" si="70"/>
        <v>xG Sangat Sedikit</v>
      </c>
      <c r="R469" t="str">
        <f t="shared" si="71"/>
        <v>Possession Sangat Banyak</v>
      </c>
      <c r="S469" t="str">
        <f t="shared" si="72"/>
        <v>Total Pass Cukup Banyak</v>
      </c>
      <c r="T469" t="str">
        <f t="shared" si="73"/>
        <v>Pass Sukses Cukup Banyak</v>
      </c>
      <c r="U469" t="str">
        <f t="shared" si="74"/>
        <v>Total Shot Cukup Sedikit</v>
      </c>
      <c r="V469" t="str">
        <f t="shared" si="77"/>
        <v>Shot on Target Rendah</v>
      </c>
      <c r="W469" t="str">
        <f t="shared" si="78"/>
        <v>Fouls Tinggi</v>
      </c>
      <c r="X469" t="str">
        <f t="shared" si="79"/>
        <v>Corner Tinggi</v>
      </c>
      <c r="Y469" t="str">
        <f t="shared" si="75"/>
        <v>Yellow Card Tinggi</v>
      </c>
      <c r="Z469" t="str">
        <f t="shared" si="76"/>
        <v>Red Card Rendah</v>
      </c>
    </row>
    <row r="470" spans="1:26" x14ac:dyDescent="0.25">
      <c r="A470" t="s">
        <v>33</v>
      </c>
      <c r="B470">
        <v>2.2999999999999998</v>
      </c>
      <c r="C470">
        <v>58</v>
      </c>
      <c r="D470">
        <v>595</v>
      </c>
      <c r="E470">
        <v>486</v>
      </c>
      <c r="F470">
        <v>1</v>
      </c>
      <c r="G470" t="s">
        <v>35</v>
      </c>
      <c r="H470">
        <v>0</v>
      </c>
      <c r="I470" t="s">
        <v>36</v>
      </c>
      <c r="J470">
        <v>18</v>
      </c>
      <c r="K470">
        <v>5</v>
      </c>
      <c r="L470">
        <v>7</v>
      </c>
      <c r="M470">
        <v>5</v>
      </c>
      <c r="N470">
        <v>1</v>
      </c>
      <c r="O470">
        <v>0</v>
      </c>
      <c r="Q470" t="str">
        <f t="shared" si="70"/>
        <v>xG Cukup Sedikit</v>
      </c>
      <c r="R470" t="str">
        <f t="shared" si="71"/>
        <v>Possession Cukup Banyak</v>
      </c>
      <c r="S470" t="str">
        <f t="shared" si="72"/>
        <v>Total Pass Cukup Banyak</v>
      </c>
      <c r="T470" t="str">
        <f t="shared" si="73"/>
        <v>Pass Sukses Cukup Banyak</v>
      </c>
      <c r="U470" t="str">
        <f t="shared" si="74"/>
        <v>Total Shot Cukup Sedikit</v>
      </c>
      <c r="V470" t="str">
        <f t="shared" si="77"/>
        <v>Shot on Target Tinggi</v>
      </c>
      <c r="W470" t="str">
        <f t="shared" si="78"/>
        <v>Fouls Rendah</v>
      </c>
      <c r="X470" t="str">
        <f t="shared" si="79"/>
        <v>Corner Normal</v>
      </c>
      <c r="Y470" t="str">
        <f t="shared" si="75"/>
        <v>Yellow Card Rendah</v>
      </c>
      <c r="Z470" t="str">
        <f t="shared" si="76"/>
        <v>Red Card Rendah</v>
      </c>
    </row>
    <row r="471" spans="1:26" x14ac:dyDescent="0.25">
      <c r="A471" t="s">
        <v>39</v>
      </c>
      <c r="B471">
        <v>0.8</v>
      </c>
      <c r="C471">
        <v>55</v>
      </c>
      <c r="D471">
        <v>514</v>
      </c>
      <c r="E471">
        <v>411</v>
      </c>
      <c r="F471">
        <v>2</v>
      </c>
      <c r="G471" t="s">
        <v>36</v>
      </c>
      <c r="H471">
        <v>1</v>
      </c>
      <c r="I471" t="s">
        <v>35</v>
      </c>
      <c r="J471">
        <v>9</v>
      </c>
      <c r="K471">
        <v>4</v>
      </c>
      <c r="L471">
        <v>14</v>
      </c>
      <c r="M471">
        <v>3</v>
      </c>
      <c r="N471">
        <v>2</v>
      </c>
      <c r="O471">
        <v>0</v>
      </c>
      <c r="Q471" t="str">
        <f t="shared" si="70"/>
        <v>xG Sangat Sedikit</v>
      </c>
      <c r="R471" t="str">
        <f t="shared" si="71"/>
        <v>Possession Cukup Banyak</v>
      </c>
      <c r="S471" t="str">
        <f t="shared" si="72"/>
        <v>Total Pass Cukup Banyak</v>
      </c>
      <c r="T471" t="str">
        <f t="shared" si="73"/>
        <v>Pass Sukses Cukup Sedikit</v>
      </c>
      <c r="U471" t="str">
        <f t="shared" si="74"/>
        <v>Total Shot Sangat Sedikit</v>
      </c>
      <c r="V471" t="str">
        <f t="shared" si="77"/>
        <v>Shot on Target Normal</v>
      </c>
      <c r="W471" t="str">
        <f t="shared" si="78"/>
        <v>Fouls Tinggi</v>
      </c>
      <c r="X471" t="str">
        <f t="shared" si="79"/>
        <v>Corner Rendah</v>
      </c>
      <c r="Y471" t="str">
        <f t="shared" si="75"/>
        <v>Yellow Card Rendah</v>
      </c>
      <c r="Z471" t="str">
        <f t="shared" si="76"/>
        <v>Red Card Rendah</v>
      </c>
    </row>
    <row r="472" spans="1:26" x14ac:dyDescent="0.25">
      <c r="A472" t="s">
        <v>42</v>
      </c>
      <c r="B472">
        <v>1.1000000000000001</v>
      </c>
      <c r="C472">
        <v>63</v>
      </c>
      <c r="D472">
        <v>554</v>
      </c>
      <c r="E472">
        <v>463</v>
      </c>
      <c r="F472">
        <v>0</v>
      </c>
      <c r="G472" t="s">
        <v>35</v>
      </c>
      <c r="H472">
        <v>0</v>
      </c>
      <c r="I472" t="s">
        <v>35</v>
      </c>
      <c r="J472">
        <v>10</v>
      </c>
      <c r="K472">
        <v>1</v>
      </c>
      <c r="L472">
        <v>18</v>
      </c>
      <c r="M472">
        <v>6</v>
      </c>
      <c r="N472">
        <v>4</v>
      </c>
      <c r="O472">
        <v>0</v>
      </c>
      <c r="Q472" t="str">
        <f t="shared" si="70"/>
        <v>xG Sangat Sedikit</v>
      </c>
      <c r="R472" t="str">
        <f t="shared" si="71"/>
        <v>Possession Cukup Banyak</v>
      </c>
      <c r="S472" t="str">
        <f t="shared" si="72"/>
        <v>Total Pass Cukup Banyak</v>
      </c>
      <c r="T472" t="str">
        <f t="shared" si="73"/>
        <v>Pass Sukses Cukup Banyak</v>
      </c>
      <c r="U472" t="str">
        <f t="shared" si="74"/>
        <v>Total Shot Sangat Sedikit</v>
      </c>
      <c r="V472" t="str">
        <f t="shared" si="77"/>
        <v>Shot on Target Rendah</v>
      </c>
      <c r="W472" t="str">
        <f t="shared" si="78"/>
        <v>Fouls Tinggi</v>
      </c>
      <c r="X472" t="str">
        <f t="shared" si="79"/>
        <v>Corner Tinggi</v>
      </c>
      <c r="Y472" t="str">
        <f t="shared" si="75"/>
        <v>Yellow Card Tinggi</v>
      </c>
      <c r="Z472" t="str">
        <f t="shared" si="76"/>
        <v>Red Card Rendah</v>
      </c>
    </row>
    <row r="473" spans="1:26" x14ac:dyDescent="0.25">
      <c r="A473" t="s">
        <v>58</v>
      </c>
      <c r="B473">
        <v>1.6</v>
      </c>
      <c r="C473">
        <v>64</v>
      </c>
      <c r="D473">
        <v>652</v>
      </c>
      <c r="E473">
        <v>570</v>
      </c>
      <c r="F473">
        <v>1</v>
      </c>
      <c r="G473" t="s">
        <v>35</v>
      </c>
      <c r="H473">
        <v>0</v>
      </c>
      <c r="I473" t="s">
        <v>35</v>
      </c>
      <c r="J473">
        <v>18</v>
      </c>
      <c r="K473">
        <v>4</v>
      </c>
      <c r="L473">
        <v>6</v>
      </c>
      <c r="M473">
        <v>10</v>
      </c>
      <c r="N473">
        <v>1</v>
      </c>
      <c r="O473">
        <v>0</v>
      </c>
      <c r="Q473" t="str">
        <f t="shared" si="70"/>
        <v>xG Cukup Sedikit</v>
      </c>
      <c r="R473" t="str">
        <f t="shared" si="71"/>
        <v>Possession Sangat Banyak</v>
      </c>
      <c r="S473" t="str">
        <f t="shared" si="72"/>
        <v>Total Pass Cukup Banyak</v>
      </c>
      <c r="T473" t="str">
        <f t="shared" si="73"/>
        <v>Pass Sukses Cukup Banyak</v>
      </c>
      <c r="U473" t="str">
        <f t="shared" si="74"/>
        <v>Total Shot Cukup Sedikit</v>
      </c>
      <c r="V473" t="str">
        <f t="shared" si="77"/>
        <v>Shot on Target Normal</v>
      </c>
      <c r="W473" t="str">
        <f t="shared" si="78"/>
        <v>Fouls Rendah</v>
      </c>
      <c r="X473" t="str">
        <f t="shared" si="79"/>
        <v>Corner Tinggi</v>
      </c>
      <c r="Y473" t="str">
        <f t="shared" si="75"/>
        <v>Yellow Card Rendah</v>
      </c>
      <c r="Z473" t="str">
        <f t="shared" si="76"/>
        <v>Red Card Rendah</v>
      </c>
    </row>
    <row r="474" spans="1:26" x14ac:dyDescent="0.25">
      <c r="A474" t="s">
        <v>59</v>
      </c>
      <c r="B474">
        <v>1.5</v>
      </c>
      <c r="C474">
        <v>57</v>
      </c>
      <c r="D474">
        <v>475</v>
      </c>
      <c r="E474">
        <v>372</v>
      </c>
      <c r="F474">
        <v>1</v>
      </c>
      <c r="G474" t="s">
        <v>36</v>
      </c>
      <c r="H474">
        <v>0</v>
      </c>
      <c r="I474" t="s">
        <v>36</v>
      </c>
      <c r="J474">
        <v>20</v>
      </c>
      <c r="K474">
        <v>6</v>
      </c>
      <c r="L474">
        <v>10</v>
      </c>
      <c r="M474">
        <v>6</v>
      </c>
      <c r="N474">
        <v>2</v>
      </c>
      <c r="O474">
        <v>0</v>
      </c>
      <c r="Q474" t="str">
        <f t="shared" si="70"/>
        <v>xG Cukup Sedikit</v>
      </c>
      <c r="R474" t="str">
        <f t="shared" si="71"/>
        <v>Possession Cukup Banyak</v>
      </c>
      <c r="S474" t="str">
        <f t="shared" si="72"/>
        <v>Total Pass Cukup Sedikit</v>
      </c>
      <c r="T474" t="str">
        <f t="shared" si="73"/>
        <v>Pass Sukses Cukup Sedikit</v>
      </c>
      <c r="U474" t="str">
        <f t="shared" si="74"/>
        <v>Total Shot Cukup Banyak</v>
      </c>
      <c r="V474" t="str">
        <f t="shared" si="77"/>
        <v>Shot on Target Tinggi</v>
      </c>
      <c r="W474" t="str">
        <f t="shared" si="78"/>
        <v>Fouls Normal</v>
      </c>
      <c r="X474" t="str">
        <f t="shared" si="79"/>
        <v>Corner Tinggi</v>
      </c>
      <c r="Y474" t="str">
        <f t="shared" si="75"/>
        <v>Yellow Card Rendah</v>
      </c>
      <c r="Z474" t="str">
        <f t="shared" si="76"/>
        <v>Red Card Rendah</v>
      </c>
    </row>
    <row r="475" spans="1:26" x14ac:dyDescent="0.25">
      <c r="A475" t="s">
        <v>45</v>
      </c>
      <c r="B475">
        <v>1</v>
      </c>
      <c r="C475">
        <v>51</v>
      </c>
      <c r="D475">
        <v>505</v>
      </c>
      <c r="E475">
        <v>429</v>
      </c>
      <c r="F475">
        <v>1</v>
      </c>
      <c r="G475" t="s">
        <v>35</v>
      </c>
      <c r="H475">
        <v>1</v>
      </c>
      <c r="I475" t="s">
        <v>40</v>
      </c>
      <c r="J475">
        <v>13</v>
      </c>
      <c r="K475">
        <v>5</v>
      </c>
      <c r="L475">
        <v>18</v>
      </c>
      <c r="M475">
        <v>7</v>
      </c>
      <c r="N475">
        <v>1</v>
      </c>
      <c r="O475">
        <v>0</v>
      </c>
      <c r="Q475" t="str">
        <f t="shared" si="70"/>
        <v>xG Sangat Sedikit</v>
      </c>
      <c r="R475" t="str">
        <f t="shared" si="71"/>
        <v>Possession Cukup Banyak</v>
      </c>
      <c r="S475" t="str">
        <f t="shared" si="72"/>
        <v>Total Pass Cukup Sedikit</v>
      </c>
      <c r="T475" t="str">
        <f t="shared" si="73"/>
        <v>Pass Sukses Cukup Sedikit</v>
      </c>
      <c r="U475" t="str">
        <f t="shared" si="74"/>
        <v>Total Shot Cukup Sedikit</v>
      </c>
      <c r="V475" t="str">
        <f t="shared" si="77"/>
        <v>Shot on Target Tinggi</v>
      </c>
      <c r="W475" t="str">
        <f t="shared" si="78"/>
        <v>Fouls Tinggi</v>
      </c>
      <c r="X475" t="str">
        <f t="shared" si="79"/>
        <v>Corner Tinggi</v>
      </c>
      <c r="Y475" t="str">
        <f t="shared" si="75"/>
        <v>Yellow Card Rendah</v>
      </c>
      <c r="Z475" t="str">
        <f t="shared" si="76"/>
        <v>Red Card Rendah</v>
      </c>
    </row>
    <row r="476" spans="1:26" x14ac:dyDescent="0.25">
      <c r="A476" t="s">
        <v>51</v>
      </c>
      <c r="B476">
        <v>0.1</v>
      </c>
      <c r="C476">
        <v>46</v>
      </c>
      <c r="D476">
        <v>423</v>
      </c>
      <c r="E476">
        <v>326</v>
      </c>
      <c r="F476">
        <v>0</v>
      </c>
      <c r="G476" t="s">
        <v>35</v>
      </c>
      <c r="H476">
        <v>0</v>
      </c>
      <c r="I476" t="s">
        <v>35</v>
      </c>
      <c r="J476">
        <v>4</v>
      </c>
      <c r="K476">
        <v>2</v>
      </c>
      <c r="L476">
        <v>9</v>
      </c>
      <c r="M476">
        <v>6</v>
      </c>
      <c r="N476">
        <v>2</v>
      </c>
      <c r="O476">
        <v>1</v>
      </c>
      <c r="Q476" t="str">
        <f t="shared" si="70"/>
        <v>xG Sangat Sedikit</v>
      </c>
      <c r="R476" t="str">
        <f t="shared" si="71"/>
        <v>Possession Cukup Sedikit</v>
      </c>
      <c r="S476" t="str">
        <f t="shared" si="72"/>
        <v>Total Pass Cukup Sedikit</v>
      </c>
      <c r="T476" t="str">
        <f t="shared" si="73"/>
        <v>Pass Sukses Cukup Sedikit</v>
      </c>
      <c r="U476" t="str">
        <f t="shared" si="74"/>
        <v>Total Shot Sangat Sedikit</v>
      </c>
      <c r="V476" t="str">
        <f t="shared" si="77"/>
        <v>Shot on Target Rendah</v>
      </c>
      <c r="W476" t="str">
        <f t="shared" si="78"/>
        <v>Fouls Normal</v>
      </c>
      <c r="X476" t="str">
        <f t="shared" si="79"/>
        <v>Corner Tinggi</v>
      </c>
      <c r="Y476" t="str">
        <f t="shared" si="75"/>
        <v>Yellow Card Rendah</v>
      </c>
      <c r="Z476" t="str">
        <f t="shared" si="76"/>
        <v>Red Card Tinggi</v>
      </c>
    </row>
    <row r="477" spans="1:26" x14ac:dyDescent="0.25">
      <c r="A477" t="s">
        <v>44</v>
      </c>
      <c r="B477">
        <v>1.6</v>
      </c>
      <c r="C477">
        <v>35</v>
      </c>
      <c r="D477">
        <v>340</v>
      </c>
      <c r="E477">
        <v>263</v>
      </c>
      <c r="F477">
        <v>0</v>
      </c>
      <c r="G477" t="s">
        <v>35</v>
      </c>
      <c r="H477">
        <v>0</v>
      </c>
      <c r="I477" t="s">
        <v>36</v>
      </c>
      <c r="J477">
        <v>16</v>
      </c>
      <c r="K477">
        <v>5</v>
      </c>
      <c r="L477">
        <v>18</v>
      </c>
      <c r="M477">
        <v>6</v>
      </c>
      <c r="N477">
        <v>2</v>
      </c>
      <c r="O477">
        <v>0</v>
      </c>
      <c r="Q477" t="str">
        <f t="shared" si="70"/>
        <v>xG Cukup Sedikit</v>
      </c>
      <c r="R477" t="str">
        <f t="shared" si="71"/>
        <v>Possession Sangat Sedikit</v>
      </c>
      <c r="S477" t="str">
        <f t="shared" si="72"/>
        <v>Total Pass Sangat Sedikit</v>
      </c>
      <c r="T477" t="str">
        <f t="shared" si="73"/>
        <v>Pass Sukses Sangat Sedikit</v>
      </c>
      <c r="U477" t="str">
        <f t="shared" si="74"/>
        <v>Total Shot Cukup Sedikit</v>
      </c>
      <c r="V477" t="str">
        <f t="shared" si="77"/>
        <v>Shot on Target Tinggi</v>
      </c>
      <c r="W477" t="str">
        <f t="shared" si="78"/>
        <v>Fouls Tinggi</v>
      </c>
      <c r="X477" t="str">
        <f t="shared" si="79"/>
        <v>Corner Tinggi</v>
      </c>
      <c r="Y477" t="str">
        <f t="shared" si="75"/>
        <v>Yellow Card Rendah</v>
      </c>
      <c r="Z477" t="str">
        <f t="shared" si="76"/>
        <v>Red Card Rendah</v>
      </c>
    </row>
    <row r="478" spans="1:26" x14ac:dyDescent="0.25">
      <c r="A478" t="s">
        <v>55</v>
      </c>
      <c r="B478">
        <v>2.4</v>
      </c>
      <c r="C478">
        <v>43</v>
      </c>
      <c r="D478">
        <v>403</v>
      </c>
      <c r="E478">
        <v>299</v>
      </c>
      <c r="F478">
        <v>2</v>
      </c>
      <c r="G478" t="s">
        <v>36</v>
      </c>
      <c r="H478">
        <v>0</v>
      </c>
      <c r="I478" t="s">
        <v>36</v>
      </c>
      <c r="J478">
        <v>19</v>
      </c>
      <c r="K478">
        <v>7</v>
      </c>
      <c r="L478">
        <v>9</v>
      </c>
      <c r="M478">
        <v>6</v>
      </c>
      <c r="N478">
        <v>2</v>
      </c>
      <c r="O478">
        <v>0</v>
      </c>
      <c r="Q478" t="str">
        <f t="shared" si="70"/>
        <v>xG Cukup Sedikit</v>
      </c>
      <c r="R478" t="str">
        <f t="shared" si="71"/>
        <v>Possession Cukup Sedikit</v>
      </c>
      <c r="S478" t="str">
        <f t="shared" si="72"/>
        <v>Total Pass Cukup Sedikit</v>
      </c>
      <c r="T478" t="str">
        <f t="shared" si="73"/>
        <v>Pass Sukses Cukup Sedikit</v>
      </c>
      <c r="U478" t="str">
        <f t="shared" si="74"/>
        <v>Total Shot Cukup Sedikit</v>
      </c>
      <c r="V478" t="str">
        <f t="shared" si="77"/>
        <v>Shot on Target Tinggi</v>
      </c>
      <c r="W478" t="str">
        <f t="shared" si="78"/>
        <v>Fouls Normal</v>
      </c>
      <c r="X478" t="str">
        <f t="shared" si="79"/>
        <v>Corner Tinggi</v>
      </c>
      <c r="Y478" t="str">
        <f t="shared" si="75"/>
        <v>Yellow Card Rendah</v>
      </c>
      <c r="Z478" t="str">
        <f t="shared" si="76"/>
        <v>Red Card Rendah</v>
      </c>
    </row>
    <row r="479" spans="1:26" x14ac:dyDescent="0.25">
      <c r="A479" t="s">
        <v>52</v>
      </c>
      <c r="B479">
        <v>1.8</v>
      </c>
      <c r="C479">
        <v>49</v>
      </c>
      <c r="D479">
        <v>420</v>
      </c>
      <c r="E479">
        <v>342</v>
      </c>
      <c r="F479">
        <v>1</v>
      </c>
      <c r="G479" t="s">
        <v>35</v>
      </c>
      <c r="H479">
        <v>1</v>
      </c>
      <c r="I479" t="s">
        <v>40</v>
      </c>
      <c r="J479">
        <v>12</v>
      </c>
      <c r="K479">
        <v>1</v>
      </c>
      <c r="L479">
        <v>14</v>
      </c>
      <c r="M479">
        <v>4</v>
      </c>
      <c r="N479">
        <v>0</v>
      </c>
      <c r="O479">
        <v>0</v>
      </c>
      <c r="Q479" t="str">
        <f t="shared" si="70"/>
        <v>xG Cukup Sedikit</v>
      </c>
      <c r="R479" t="str">
        <f t="shared" si="71"/>
        <v>Possession Cukup Sedikit</v>
      </c>
      <c r="S479" t="str">
        <f t="shared" si="72"/>
        <v>Total Pass Cukup Sedikit</v>
      </c>
      <c r="T479" t="str">
        <f t="shared" si="73"/>
        <v>Pass Sukses Cukup Sedikit</v>
      </c>
      <c r="U479" t="str">
        <f t="shared" si="74"/>
        <v>Total Shot Cukup Sedikit</v>
      </c>
      <c r="V479" t="str">
        <f t="shared" si="77"/>
        <v>Shot on Target Rendah</v>
      </c>
      <c r="W479" t="str">
        <f t="shared" si="78"/>
        <v>Fouls Tinggi</v>
      </c>
      <c r="X479" t="str">
        <f t="shared" si="79"/>
        <v>Corner Rendah</v>
      </c>
      <c r="Y479" t="str">
        <f t="shared" si="75"/>
        <v>Yellow Card Rendah</v>
      </c>
      <c r="Z479" t="str">
        <f t="shared" si="76"/>
        <v>Red Card Rendah</v>
      </c>
    </row>
    <row r="480" spans="1:26" x14ac:dyDescent="0.25">
      <c r="A480" t="s">
        <v>57</v>
      </c>
      <c r="B480">
        <v>1.1000000000000001</v>
      </c>
      <c r="C480">
        <v>54</v>
      </c>
      <c r="D480">
        <v>512</v>
      </c>
      <c r="E480">
        <v>414</v>
      </c>
      <c r="F480">
        <v>1</v>
      </c>
      <c r="G480" t="s">
        <v>36</v>
      </c>
      <c r="H480">
        <v>0</v>
      </c>
      <c r="I480" t="s">
        <v>36</v>
      </c>
      <c r="J480">
        <v>12</v>
      </c>
      <c r="K480">
        <v>3</v>
      </c>
      <c r="L480">
        <v>14</v>
      </c>
      <c r="M480">
        <v>8</v>
      </c>
      <c r="N480">
        <v>2</v>
      </c>
      <c r="O480">
        <v>0</v>
      </c>
      <c r="Q480" t="str">
        <f t="shared" si="70"/>
        <v>xG Sangat Sedikit</v>
      </c>
      <c r="R480" t="str">
        <f t="shared" si="71"/>
        <v>Possession Cukup Banyak</v>
      </c>
      <c r="S480" t="str">
        <f t="shared" si="72"/>
        <v>Total Pass Cukup Banyak</v>
      </c>
      <c r="T480" t="str">
        <f t="shared" si="73"/>
        <v>Pass Sukses Cukup Sedikit</v>
      </c>
      <c r="U480" t="str">
        <f t="shared" si="74"/>
        <v>Total Shot Cukup Sedikit</v>
      </c>
      <c r="V480" t="str">
        <f t="shared" si="77"/>
        <v>Shot on Target Rendah</v>
      </c>
      <c r="W480" t="str">
        <f t="shared" si="78"/>
        <v>Fouls Tinggi</v>
      </c>
      <c r="X480" t="str">
        <f t="shared" si="79"/>
        <v>Corner Tinggi</v>
      </c>
      <c r="Y480" t="str">
        <f t="shared" si="75"/>
        <v>Yellow Card Rendah</v>
      </c>
      <c r="Z480" t="str">
        <f t="shared" si="76"/>
        <v>Red Card Rendah</v>
      </c>
    </row>
    <row r="481" spans="1:26" x14ac:dyDescent="0.25">
      <c r="A481" t="s">
        <v>54</v>
      </c>
      <c r="B481">
        <v>0.6</v>
      </c>
      <c r="C481">
        <v>32</v>
      </c>
      <c r="D481">
        <v>338</v>
      </c>
      <c r="E481">
        <v>237</v>
      </c>
      <c r="F481">
        <v>1</v>
      </c>
      <c r="G481" t="s">
        <v>35</v>
      </c>
      <c r="H481">
        <v>1</v>
      </c>
      <c r="I481" t="s">
        <v>40</v>
      </c>
      <c r="J481">
        <v>5</v>
      </c>
      <c r="K481">
        <v>2</v>
      </c>
      <c r="L481">
        <v>10</v>
      </c>
      <c r="M481">
        <v>3</v>
      </c>
      <c r="N481">
        <v>1</v>
      </c>
      <c r="O481">
        <v>0</v>
      </c>
      <c r="Q481" t="str">
        <f t="shared" si="70"/>
        <v>xG Sangat Sedikit</v>
      </c>
      <c r="R481" t="str">
        <f t="shared" si="71"/>
        <v>Possession Sangat Sedikit</v>
      </c>
      <c r="S481" t="str">
        <f t="shared" si="72"/>
        <v>Total Pass Sangat Sedikit</v>
      </c>
      <c r="T481" t="str">
        <f t="shared" si="73"/>
        <v>Pass Sukses Sangat Sedikit</v>
      </c>
      <c r="U481" t="str">
        <f t="shared" si="74"/>
        <v>Total Shot Sangat Sedikit</v>
      </c>
      <c r="V481" t="str">
        <f t="shared" si="77"/>
        <v>Shot on Target Rendah</v>
      </c>
      <c r="W481" t="str">
        <f t="shared" si="78"/>
        <v>Fouls Normal</v>
      </c>
      <c r="X481" t="str">
        <f t="shared" si="79"/>
        <v>Corner Rendah</v>
      </c>
      <c r="Y481" t="str">
        <f t="shared" si="75"/>
        <v>Yellow Card Rendah</v>
      </c>
      <c r="Z481" t="str">
        <f t="shared" si="76"/>
        <v>Red Card Rendah</v>
      </c>
    </row>
    <row r="482" spans="1:26" x14ac:dyDescent="0.25">
      <c r="A482" t="s">
        <v>49</v>
      </c>
      <c r="B482">
        <v>2.6</v>
      </c>
      <c r="C482">
        <v>49</v>
      </c>
      <c r="D482">
        <v>434</v>
      </c>
      <c r="E482">
        <v>315</v>
      </c>
      <c r="F482">
        <v>2</v>
      </c>
      <c r="G482" t="s">
        <v>35</v>
      </c>
      <c r="H482">
        <v>1</v>
      </c>
      <c r="I482" t="s">
        <v>36</v>
      </c>
      <c r="J482">
        <v>15</v>
      </c>
      <c r="K482">
        <v>3</v>
      </c>
      <c r="L482">
        <v>16</v>
      </c>
      <c r="M482">
        <v>4</v>
      </c>
      <c r="N482">
        <v>4</v>
      </c>
      <c r="O482">
        <v>0</v>
      </c>
      <c r="Q482" t="str">
        <f t="shared" si="70"/>
        <v>xG Cukup Sedikit</v>
      </c>
      <c r="R482" t="str">
        <f t="shared" si="71"/>
        <v>Possession Cukup Sedikit</v>
      </c>
      <c r="S482" t="str">
        <f t="shared" si="72"/>
        <v>Total Pass Cukup Sedikit</v>
      </c>
      <c r="T482" t="str">
        <f t="shared" si="73"/>
        <v>Pass Sukses Cukup Sedikit</v>
      </c>
      <c r="U482" t="str">
        <f t="shared" si="74"/>
        <v>Total Shot Cukup Sedikit</v>
      </c>
      <c r="V482" t="str">
        <f t="shared" si="77"/>
        <v>Shot on Target Rendah</v>
      </c>
      <c r="W482" t="str">
        <f t="shared" si="78"/>
        <v>Fouls Tinggi</v>
      </c>
      <c r="X482" t="str">
        <f t="shared" si="79"/>
        <v>Corner Rendah</v>
      </c>
      <c r="Y482" t="str">
        <f t="shared" si="75"/>
        <v>Yellow Card Tinggi</v>
      </c>
      <c r="Z482" t="str">
        <f t="shared" si="76"/>
        <v>Red Card Rendah</v>
      </c>
    </row>
    <row r="483" spans="1:26" x14ac:dyDescent="0.25">
      <c r="A483" t="s">
        <v>34</v>
      </c>
      <c r="B483">
        <v>1.8</v>
      </c>
      <c r="C483">
        <v>64</v>
      </c>
      <c r="D483">
        <v>676</v>
      </c>
      <c r="E483">
        <v>560</v>
      </c>
      <c r="F483">
        <v>2</v>
      </c>
      <c r="G483" t="s">
        <v>40</v>
      </c>
      <c r="H483">
        <v>1</v>
      </c>
      <c r="I483" t="s">
        <v>40</v>
      </c>
      <c r="J483">
        <v>17</v>
      </c>
      <c r="K483">
        <v>7</v>
      </c>
      <c r="L483">
        <v>11</v>
      </c>
      <c r="M483">
        <v>8</v>
      </c>
      <c r="N483">
        <v>1</v>
      </c>
      <c r="O483">
        <v>0</v>
      </c>
      <c r="Q483" t="str">
        <f t="shared" si="70"/>
        <v>xG Cukup Sedikit</v>
      </c>
      <c r="R483" t="str">
        <f t="shared" si="71"/>
        <v>Possession Sangat Banyak</v>
      </c>
      <c r="S483" t="str">
        <f t="shared" si="72"/>
        <v>Total Pass Sangat Banyak</v>
      </c>
      <c r="T483" t="str">
        <f t="shared" si="73"/>
        <v>Pass Sukses Cukup Banyak</v>
      </c>
      <c r="U483" t="str">
        <f t="shared" si="74"/>
        <v>Total Shot Cukup Sedikit</v>
      </c>
      <c r="V483" t="str">
        <f t="shared" si="77"/>
        <v>Shot on Target Tinggi</v>
      </c>
      <c r="W483" t="str">
        <f t="shared" si="78"/>
        <v>Fouls Normal</v>
      </c>
      <c r="X483" t="str">
        <f t="shared" si="79"/>
        <v>Corner Tinggi</v>
      </c>
      <c r="Y483" t="str">
        <f t="shared" si="75"/>
        <v>Yellow Card Rendah</v>
      </c>
      <c r="Z483" t="str">
        <f t="shared" si="76"/>
        <v>Red Card Rendah</v>
      </c>
    </row>
    <row r="484" spans="1:26" x14ac:dyDescent="0.25">
      <c r="A484" t="s">
        <v>44</v>
      </c>
      <c r="B484">
        <v>1.1000000000000001</v>
      </c>
      <c r="C484">
        <v>51</v>
      </c>
      <c r="D484">
        <v>515</v>
      </c>
      <c r="E484">
        <v>384</v>
      </c>
      <c r="F484">
        <v>0</v>
      </c>
      <c r="G484" t="s">
        <v>36</v>
      </c>
      <c r="H484">
        <v>0</v>
      </c>
      <c r="I484" t="s">
        <v>36</v>
      </c>
      <c r="J484">
        <v>18</v>
      </c>
      <c r="K484">
        <v>4</v>
      </c>
      <c r="L484">
        <v>9</v>
      </c>
      <c r="M484">
        <v>6</v>
      </c>
      <c r="N484">
        <v>2</v>
      </c>
      <c r="O484">
        <v>0</v>
      </c>
      <c r="Q484" t="str">
        <f t="shared" si="70"/>
        <v>xG Sangat Sedikit</v>
      </c>
      <c r="R484" t="str">
        <f t="shared" si="71"/>
        <v>Possession Cukup Banyak</v>
      </c>
      <c r="S484" t="str">
        <f t="shared" si="72"/>
        <v>Total Pass Cukup Banyak</v>
      </c>
      <c r="T484" t="str">
        <f t="shared" si="73"/>
        <v>Pass Sukses Cukup Sedikit</v>
      </c>
      <c r="U484" t="str">
        <f t="shared" si="74"/>
        <v>Total Shot Cukup Sedikit</v>
      </c>
      <c r="V484" t="str">
        <f t="shared" si="77"/>
        <v>Shot on Target Normal</v>
      </c>
      <c r="W484" t="str">
        <f t="shared" si="78"/>
        <v>Fouls Normal</v>
      </c>
      <c r="X484" t="str">
        <f t="shared" si="79"/>
        <v>Corner Tinggi</v>
      </c>
      <c r="Y484" t="str">
        <f t="shared" si="75"/>
        <v>Yellow Card Rendah</v>
      </c>
      <c r="Z484" t="str">
        <f t="shared" si="76"/>
        <v>Red Card Rendah</v>
      </c>
    </row>
    <row r="485" spans="1:26" x14ac:dyDescent="0.25">
      <c r="A485" t="s">
        <v>47</v>
      </c>
      <c r="B485">
        <v>0.6</v>
      </c>
      <c r="C485">
        <v>71</v>
      </c>
      <c r="D485">
        <v>724</v>
      </c>
      <c r="E485">
        <v>635</v>
      </c>
      <c r="F485">
        <v>0</v>
      </c>
      <c r="G485" t="s">
        <v>35</v>
      </c>
      <c r="H485">
        <v>0</v>
      </c>
      <c r="I485" t="s">
        <v>35</v>
      </c>
      <c r="J485">
        <v>9</v>
      </c>
      <c r="K485">
        <v>0</v>
      </c>
      <c r="L485">
        <v>12</v>
      </c>
      <c r="M485">
        <v>9</v>
      </c>
      <c r="N485">
        <v>4</v>
      </c>
      <c r="O485">
        <v>0</v>
      </c>
      <c r="Q485" t="str">
        <f t="shared" si="70"/>
        <v>xG Sangat Sedikit</v>
      </c>
      <c r="R485" t="str">
        <f t="shared" si="71"/>
        <v>Possession Sangat Banyak</v>
      </c>
      <c r="S485" t="str">
        <f t="shared" si="72"/>
        <v>Total Pass Sangat Banyak</v>
      </c>
      <c r="T485" t="str">
        <f t="shared" si="73"/>
        <v>Pass Sukses Sangat Banyak</v>
      </c>
      <c r="U485" t="str">
        <f t="shared" si="74"/>
        <v>Total Shot Sangat Sedikit</v>
      </c>
      <c r="V485" t="str">
        <f t="shared" si="77"/>
        <v>Shot on Target Rendah</v>
      </c>
      <c r="W485" t="str">
        <f t="shared" si="78"/>
        <v>Fouls Tinggi</v>
      </c>
      <c r="X485" t="str">
        <f t="shared" si="79"/>
        <v>Corner Tinggi</v>
      </c>
      <c r="Y485" t="str">
        <f t="shared" si="75"/>
        <v>Yellow Card Tinggi</v>
      </c>
      <c r="Z485" t="str">
        <f t="shared" si="76"/>
        <v>Red Card Rendah</v>
      </c>
    </row>
    <row r="486" spans="1:26" x14ac:dyDescent="0.25">
      <c r="A486" t="s">
        <v>58</v>
      </c>
      <c r="B486">
        <v>2.1</v>
      </c>
      <c r="C486">
        <v>60</v>
      </c>
      <c r="D486">
        <v>689</v>
      </c>
      <c r="E486">
        <v>613</v>
      </c>
      <c r="F486">
        <v>1</v>
      </c>
      <c r="G486" t="s">
        <v>35</v>
      </c>
      <c r="H486">
        <v>1</v>
      </c>
      <c r="I486" t="s">
        <v>40</v>
      </c>
      <c r="J486">
        <v>15</v>
      </c>
      <c r="K486">
        <v>6</v>
      </c>
      <c r="L486">
        <v>10</v>
      </c>
      <c r="M486">
        <v>4</v>
      </c>
      <c r="N486">
        <v>3</v>
      </c>
      <c r="O486">
        <v>0</v>
      </c>
      <c r="Q486" t="str">
        <f t="shared" si="70"/>
        <v>xG Cukup Sedikit</v>
      </c>
      <c r="R486" t="str">
        <f t="shared" si="71"/>
        <v>Possession Cukup Banyak</v>
      </c>
      <c r="S486" t="str">
        <f t="shared" si="72"/>
        <v>Total Pass Sangat Banyak</v>
      </c>
      <c r="T486" t="str">
        <f t="shared" si="73"/>
        <v>Pass Sukses Sangat Banyak</v>
      </c>
      <c r="U486" t="str">
        <f t="shared" si="74"/>
        <v>Total Shot Cukup Sedikit</v>
      </c>
      <c r="V486" t="str">
        <f t="shared" si="77"/>
        <v>Shot on Target Tinggi</v>
      </c>
      <c r="W486" t="str">
        <f t="shared" si="78"/>
        <v>Fouls Normal</v>
      </c>
      <c r="X486" t="str">
        <f t="shared" si="79"/>
        <v>Corner Rendah</v>
      </c>
      <c r="Y486" t="str">
        <f t="shared" si="75"/>
        <v>Yellow Card Tinggi</v>
      </c>
      <c r="Z486" t="str">
        <f t="shared" si="76"/>
        <v>Red Card Rendah</v>
      </c>
    </row>
    <row r="487" spans="1:26" x14ac:dyDescent="0.25">
      <c r="A487" t="s">
        <v>52</v>
      </c>
      <c r="B487">
        <v>1.2</v>
      </c>
      <c r="C487">
        <v>38</v>
      </c>
      <c r="D487">
        <v>389</v>
      </c>
      <c r="E487">
        <v>306</v>
      </c>
      <c r="F487">
        <v>0</v>
      </c>
      <c r="G487" t="s">
        <v>35</v>
      </c>
      <c r="H487">
        <v>0</v>
      </c>
      <c r="I487" t="s">
        <v>35</v>
      </c>
      <c r="J487">
        <v>12</v>
      </c>
      <c r="K487">
        <v>2</v>
      </c>
      <c r="L487">
        <v>15</v>
      </c>
      <c r="M487">
        <v>9</v>
      </c>
      <c r="N487">
        <v>3</v>
      </c>
      <c r="O487">
        <v>0</v>
      </c>
      <c r="Q487" t="str">
        <f t="shared" si="70"/>
        <v>xG Sangat Sedikit</v>
      </c>
      <c r="R487" t="str">
        <f t="shared" si="71"/>
        <v>Possession Cukup Sedikit</v>
      </c>
      <c r="S487" t="str">
        <f t="shared" si="72"/>
        <v>Total Pass Cukup Sedikit</v>
      </c>
      <c r="T487" t="str">
        <f t="shared" si="73"/>
        <v>Pass Sukses Cukup Sedikit</v>
      </c>
      <c r="U487" t="str">
        <f t="shared" si="74"/>
        <v>Total Shot Cukup Sedikit</v>
      </c>
      <c r="V487" t="str">
        <f t="shared" si="77"/>
        <v>Shot on Target Rendah</v>
      </c>
      <c r="W487" t="str">
        <f t="shared" si="78"/>
        <v>Fouls Tinggi</v>
      </c>
      <c r="X487" t="str">
        <f t="shared" si="79"/>
        <v>Corner Tinggi</v>
      </c>
      <c r="Y487" t="str">
        <f t="shared" si="75"/>
        <v>Yellow Card Tinggi</v>
      </c>
      <c r="Z487" t="str">
        <f t="shared" si="76"/>
        <v>Red Card Rendah</v>
      </c>
    </row>
    <row r="488" spans="1:26" x14ac:dyDescent="0.25">
      <c r="A488" t="s">
        <v>59</v>
      </c>
      <c r="B488">
        <v>0.6</v>
      </c>
      <c r="C488">
        <v>49</v>
      </c>
      <c r="D488">
        <v>516</v>
      </c>
      <c r="E488">
        <v>421</v>
      </c>
      <c r="F488">
        <v>0</v>
      </c>
      <c r="G488" t="s">
        <v>35</v>
      </c>
      <c r="H488">
        <v>0</v>
      </c>
      <c r="I488" t="s">
        <v>35</v>
      </c>
      <c r="J488">
        <v>6</v>
      </c>
      <c r="K488">
        <v>5</v>
      </c>
      <c r="L488">
        <v>5</v>
      </c>
      <c r="M488">
        <v>5</v>
      </c>
      <c r="N488">
        <v>1</v>
      </c>
      <c r="O488">
        <v>0</v>
      </c>
      <c r="Q488" t="str">
        <f t="shared" si="70"/>
        <v>xG Sangat Sedikit</v>
      </c>
      <c r="R488" t="str">
        <f t="shared" si="71"/>
        <v>Possession Cukup Sedikit</v>
      </c>
      <c r="S488" t="str">
        <f t="shared" si="72"/>
        <v>Total Pass Cukup Banyak</v>
      </c>
      <c r="T488" t="str">
        <f t="shared" si="73"/>
        <v>Pass Sukses Cukup Sedikit</v>
      </c>
      <c r="U488" t="str">
        <f t="shared" si="74"/>
        <v>Total Shot Sangat Sedikit</v>
      </c>
      <c r="V488" t="str">
        <f t="shared" si="77"/>
        <v>Shot on Target Tinggi</v>
      </c>
      <c r="W488" t="str">
        <f t="shared" si="78"/>
        <v>Fouls Rendah</v>
      </c>
      <c r="X488" t="str">
        <f t="shared" si="79"/>
        <v>Corner Normal</v>
      </c>
      <c r="Y488" t="str">
        <f t="shared" si="75"/>
        <v>Yellow Card Rendah</v>
      </c>
      <c r="Z488" t="str">
        <f t="shared" si="76"/>
        <v>Red Card Rendah</v>
      </c>
    </row>
    <row r="489" spans="1:26" x14ac:dyDescent="0.25">
      <c r="A489" t="s">
        <v>46</v>
      </c>
      <c r="B489">
        <v>1.6</v>
      </c>
      <c r="C489">
        <v>56</v>
      </c>
      <c r="D489">
        <v>546</v>
      </c>
      <c r="E489">
        <v>453</v>
      </c>
      <c r="F489">
        <v>3</v>
      </c>
      <c r="G489" t="s">
        <v>40</v>
      </c>
      <c r="H489">
        <v>0</v>
      </c>
      <c r="I489" t="s">
        <v>35</v>
      </c>
      <c r="J489">
        <v>17</v>
      </c>
      <c r="K489">
        <v>6</v>
      </c>
      <c r="L489">
        <v>6</v>
      </c>
      <c r="M489">
        <v>5</v>
      </c>
      <c r="N489">
        <v>1</v>
      </c>
      <c r="O489">
        <v>0</v>
      </c>
      <c r="Q489" t="str">
        <f t="shared" si="70"/>
        <v>xG Cukup Sedikit</v>
      </c>
      <c r="R489" t="str">
        <f t="shared" si="71"/>
        <v>Possession Cukup Banyak</v>
      </c>
      <c r="S489" t="str">
        <f t="shared" si="72"/>
        <v>Total Pass Cukup Banyak</v>
      </c>
      <c r="T489" t="str">
        <f t="shared" si="73"/>
        <v>Pass Sukses Cukup Banyak</v>
      </c>
      <c r="U489" t="str">
        <f t="shared" si="74"/>
        <v>Total Shot Cukup Sedikit</v>
      </c>
      <c r="V489" t="str">
        <f t="shared" si="77"/>
        <v>Shot on Target Tinggi</v>
      </c>
      <c r="W489" t="str">
        <f t="shared" si="78"/>
        <v>Fouls Rendah</v>
      </c>
      <c r="X489" t="str">
        <f t="shared" si="79"/>
        <v>Corner Normal</v>
      </c>
      <c r="Y489" t="str">
        <f t="shared" si="75"/>
        <v>Yellow Card Rendah</v>
      </c>
      <c r="Z489" t="str">
        <f t="shared" si="76"/>
        <v>Red Card Rendah</v>
      </c>
    </row>
    <row r="490" spans="1:26" x14ac:dyDescent="0.25">
      <c r="A490" t="s">
        <v>38</v>
      </c>
      <c r="B490">
        <v>1.6</v>
      </c>
      <c r="C490">
        <v>34</v>
      </c>
      <c r="D490">
        <v>312</v>
      </c>
      <c r="E490">
        <v>210</v>
      </c>
      <c r="F490">
        <v>2</v>
      </c>
      <c r="G490" t="s">
        <v>40</v>
      </c>
      <c r="H490">
        <v>2</v>
      </c>
      <c r="I490" t="s">
        <v>40</v>
      </c>
      <c r="J490">
        <v>8</v>
      </c>
      <c r="K490">
        <v>3</v>
      </c>
      <c r="L490">
        <v>19</v>
      </c>
      <c r="M490">
        <v>2</v>
      </c>
      <c r="N490">
        <v>5</v>
      </c>
      <c r="O490">
        <v>0</v>
      </c>
      <c r="Q490" t="str">
        <f t="shared" si="70"/>
        <v>xG Cukup Sedikit</v>
      </c>
      <c r="R490" t="str">
        <f t="shared" si="71"/>
        <v>Possession Sangat Sedikit</v>
      </c>
      <c r="S490" t="str">
        <f t="shared" si="72"/>
        <v>Total Pass Sangat Sedikit</v>
      </c>
      <c r="T490" t="str">
        <f t="shared" si="73"/>
        <v>Pass Sukses Sangat Sedikit</v>
      </c>
      <c r="U490" t="str">
        <f t="shared" si="74"/>
        <v>Total Shot Sangat Sedikit</v>
      </c>
      <c r="V490" t="str">
        <f t="shared" si="77"/>
        <v>Shot on Target Rendah</v>
      </c>
      <c r="W490" t="str">
        <f t="shared" si="78"/>
        <v>Fouls Tinggi</v>
      </c>
      <c r="X490" t="str">
        <f t="shared" si="79"/>
        <v>Corner Rendah</v>
      </c>
      <c r="Y490" t="str">
        <f t="shared" si="75"/>
        <v>Yellow Card Tinggi</v>
      </c>
      <c r="Z490" t="str">
        <f t="shared" si="76"/>
        <v>Red Card Rendah</v>
      </c>
    </row>
    <row r="491" spans="1:26" x14ac:dyDescent="0.25">
      <c r="A491" t="s">
        <v>42</v>
      </c>
      <c r="B491">
        <v>1.5</v>
      </c>
      <c r="C491">
        <v>51</v>
      </c>
      <c r="D491">
        <v>474</v>
      </c>
      <c r="E491">
        <v>400</v>
      </c>
      <c r="F491">
        <v>1</v>
      </c>
      <c r="G491" t="s">
        <v>36</v>
      </c>
      <c r="H491">
        <v>0</v>
      </c>
      <c r="I491" t="s">
        <v>36</v>
      </c>
      <c r="J491">
        <v>13</v>
      </c>
      <c r="K491">
        <v>3</v>
      </c>
      <c r="L491">
        <v>12</v>
      </c>
      <c r="M491">
        <v>3</v>
      </c>
      <c r="N491">
        <v>2</v>
      </c>
      <c r="O491">
        <v>0</v>
      </c>
      <c r="Q491" t="str">
        <f t="shared" si="70"/>
        <v>xG Cukup Sedikit</v>
      </c>
      <c r="R491" t="str">
        <f t="shared" si="71"/>
        <v>Possession Cukup Banyak</v>
      </c>
      <c r="S491" t="str">
        <f t="shared" si="72"/>
        <v>Total Pass Cukup Sedikit</v>
      </c>
      <c r="T491" t="str">
        <f t="shared" si="73"/>
        <v>Pass Sukses Cukup Sedikit</v>
      </c>
      <c r="U491" t="str">
        <f t="shared" si="74"/>
        <v>Total Shot Cukup Sedikit</v>
      </c>
      <c r="V491" t="str">
        <f t="shared" si="77"/>
        <v>Shot on Target Rendah</v>
      </c>
      <c r="W491" t="str">
        <f t="shared" si="78"/>
        <v>Fouls Tinggi</v>
      </c>
      <c r="X491" t="str">
        <f t="shared" si="79"/>
        <v>Corner Rendah</v>
      </c>
      <c r="Y491" t="str">
        <f t="shared" si="75"/>
        <v>Yellow Card Rendah</v>
      </c>
      <c r="Z491" t="str">
        <f t="shared" si="76"/>
        <v>Red Card Rendah</v>
      </c>
    </row>
    <row r="492" spans="1:26" x14ac:dyDescent="0.25">
      <c r="A492" t="s">
        <v>57</v>
      </c>
      <c r="B492">
        <v>2.7</v>
      </c>
      <c r="C492">
        <v>63</v>
      </c>
      <c r="D492">
        <v>645</v>
      </c>
      <c r="E492">
        <v>545</v>
      </c>
      <c r="F492">
        <v>2</v>
      </c>
      <c r="G492" t="s">
        <v>40</v>
      </c>
      <c r="H492">
        <v>1</v>
      </c>
      <c r="I492" t="s">
        <v>40</v>
      </c>
      <c r="J492">
        <v>16</v>
      </c>
      <c r="K492">
        <v>7</v>
      </c>
      <c r="L492">
        <v>12</v>
      </c>
      <c r="M492">
        <v>9</v>
      </c>
      <c r="N492">
        <v>3</v>
      </c>
      <c r="O492">
        <v>0</v>
      </c>
      <c r="Q492" t="str">
        <f t="shared" si="70"/>
        <v>xG Cukup Sedikit</v>
      </c>
      <c r="R492" t="str">
        <f t="shared" si="71"/>
        <v>Possession Cukup Banyak</v>
      </c>
      <c r="S492" t="str">
        <f t="shared" si="72"/>
        <v>Total Pass Cukup Banyak</v>
      </c>
      <c r="T492" t="str">
        <f t="shared" si="73"/>
        <v>Pass Sukses Cukup Banyak</v>
      </c>
      <c r="U492" t="str">
        <f t="shared" si="74"/>
        <v>Total Shot Cukup Sedikit</v>
      </c>
      <c r="V492" t="str">
        <f t="shared" si="77"/>
        <v>Shot on Target Tinggi</v>
      </c>
      <c r="W492" t="str">
        <f t="shared" si="78"/>
        <v>Fouls Tinggi</v>
      </c>
      <c r="X492" t="str">
        <f t="shared" si="79"/>
        <v>Corner Tinggi</v>
      </c>
      <c r="Y492" t="str">
        <f t="shared" si="75"/>
        <v>Yellow Card Tinggi</v>
      </c>
      <c r="Z492" t="str">
        <f t="shared" si="76"/>
        <v>Red Card Rendah</v>
      </c>
    </row>
    <row r="493" spans="1:26" x14ac:dyDescent="0.25">
      <c r="A493" t="s">
        <v>48</v>
      </c>
      <c r="B493">
        <v>0.3</v>
      </c>
      <c r="C493">
        <v>34</v>
      </c>
      <c r="D493">
        <v>327</v>
      </c>
      <c r="E493">
        <v>253</v>
      </c>
      <c r="F493">
        <v>0</v>
      </c>
      <c r="G493" t="s">
        <v>35</v>
      </c>
      <c r="H493">
        <v>0</v>
      </c>
      <c r="I493" t="s">
        <v>35</v>
      </c>
      <c r="J493">
        <v>7</v>
      </c>
      <c r="K493">
        <v>0</v>
      </c>
      <c r="L493">
        <v>1</v>
      </c>
      <c r="M493">
        <v>1</v>
      </c>
      <c r="N493">
        <v>2</v>
      </c>
      <c r="O493">
        <v>0</v>
      </c>
      <c r="Q493" t="str">
        <f t="shared" si="70"/>
        <v>xG Sangat Sedikit</v>
      </c>
      <c r="R493" t="str">
        <f t="shared" si="71"/>
        <v>Possession Sangat Sedikit</v>
      </c>
      <c r="S493" t="str">
        <f t="shared" si="72"/>
        <v>Total Pass Sangat Sedikit</v>
      </c>
      <c r="T493" t="str">
        <f t="shared" si="73"/>
        <v>Pass Sukses Sangat Sedikit</v>
      </c>
      <c r="U493" t="str">
        <f t="shared" si="74"/>
        <v>Total Shot Sangat Sedikit</v>
      </c>
      <c r="V493" t="str">
        <f t="shared" si="77"/>
        <v>Shot on Target Rendah</v>
      </c>
      <c r="W493" t="str">
        <f t="shared" si="78"/>
        <v>Fouls Rendah</v>
      </c>
      <c r="X493" t="str">
        <f t="shared" si="79"/>
        <v>Corner Rendah</v>
      </c>
      <c r="Y493" t="str">
        <f t="shared" si="75"/>
        <v>Yellow Card Rendah</v>
      </c>
      <c r="Z493" t="str">
        <f t="shared" si="76"/>
        <v>Red Card Rendah</v>
      </c>
    </row>
    <row r="494" spans="1:26" x14ac:dyDescent="0.25">
      <c r="A494" t="s">
        <v>55</v>
      </c>
      <c r="B494">
        <v>1.3</v>
      </c>
      <c r="C494">
        <v>31</v>
      </c>
      <c r="D494">
        <v>293</v>
      </c>
      <c r="E494">
        <v>193</v>
      </c>
      <c r="F494">
        <v>2</v>
      </c>
      <c r="G494" t="s">
        <v>36</v>
      </c>
      <c r="H494">
        <v>2</v>
      </c>
      <c r="I494" t="s">
        <v>40</v>
      </c>
      <c r="J494">
        <v>13</v>
      </c>
      <c r="K494">
        <v>6</v>
      </c>
      <c r="L494">
        <v>11</v>
      </c>
      <c r="M494">
        <v>1</v>
      </c>
      <c r="N494">
        <v>2</v>
      </c>
      <c r="O494">
        <v>0</v>
      </c>
      <c r="Q494" t="str">
        <f t="shared" si="70"/>
        <v>xG Sangat Sedikit</v>
      </c>
      <c r="R494" t="str">
        <f t="shared" si="71"/>
        <v>Possession Sangat Sedikit</v>
      </c>
      <c r="S494" t="str">
        <f t="shared" si="72"/>
        <v>Total Pass Sangat Sedikit</v>
      </c>
      <c r="T494" t="str">
        <f t="shared" si="73"/>
        <v>Pass Sukses Sangat Sedikit</v>
      </c>
      <c r="U494" t="str">
        <f t="shared" si="74"/>
        <v>Total Shot Cukup Sedikit</v>
      </c>
      <c r="V494" t="str">
        <f t="shared" si="77"/>
        <v>Shot on Target Tinggi</v>
      </c>
      <c r="W494" t="str">
        <f t="shared" si="78"/>
        <v>Fouls Normal</v>
      </c>
      <c r="X494" t="str">
        <f t="shared" si="79"/>
        <v>Corner Rendah</v>
      </c>
      <c r="Y494" t="str">
        <f t="shared" si="75"/>
        <v>Yellow Card Rendah</v>
      </c>
      <c r="Z494" t="str">
        <f t="shared" si="76"/>
        <v>Red Card Rendah</v>
      </c>
    </row>
    <row r="495" spans="1:26" x14ac:dyDescent="0.25">
      <c r="A495" t="s">
        <v>45</v>
      </c>
      <c r="B495">
        <v>0.9</v>
      </c>
      <c r="C495">
        <v>45</v>
      </c>
      <c r="D495">
        <v>446</v>
      </c>
      <c r="E495">
        <v>358</v>
      </c>
      <c r="F495">
        <v>2</v>
      </c>
      <c r="G495" t="s">
        <v>40</v>
      </c>
      <c r="H495">
        <v>1</v>
      </c>
      <c r="I495" t="s">
        <v>40</v>
      </c>
      <c r="J495">
        <v>6</v>
      </c>
      <c r="K495">
        <v>4</v>
      </c>
      <c r="L495">
        <v>10</v>
      </c>
      <c r="M495">
        <v>0</v>
      </c>
      <c r="N495">
        <v>2</v>
      </c>
      <c r="O495">
        <v>1</v>
      </c>
      <c r="Q495" t="str">
        <f t="shared" si="70"/>
        <v>xG Sangat Sedikit</v>
      </c>
      <c r="R495" t="str">
        <f t="shared" si="71"/>
        <v>Possession Cukup Sedikit</v>
      </c>
      <c r="S495" t="str">
        <f t="shared" si="72"/>
        <v>Total Pass Cukup Sedikit</v>
      </c>
      <c r="T495" t="str">
        <f t="shared" si="73"/>
        <v>Pass Sukses Cukup Sedikit</v>
      </c>
      <c r="U495" t="str">
        <f t="shared" si="74"/>
        <v>Total Shot Sangat Sedikit</v>
      </c>
      <c r="V495" t="str">
        <f t="shared" si="77"/>
        <v>Shot on Target Normal</v>
      </c>
      <c r="W495" t="str">
        <f t="shared" si="78"/>
        <v>Fouls Normal</v>
      </c>
      <c r="X495" t="str">
        <f t="shared" si="79"/>
        <v>Corner Rendah</v>
      </c>
      <c r="Y495" t="str">
        <f t="shared" si="75"/>
        <v>Yellow Card Rendah</v>
      </c>
      <c r="Z495" t="str">
        <f t="shared" si="76"/>
        <v>Red Card Tinggi</v>
      </c>
    </row>
    <row r="496" spans="1:26" x14ac:dyDescent="0.25">
      <c r="A496" t="s">
        <v>54</v>
      </c>
      <c r="B496">
        <v>1.1000000000000001</v>
      </c>
      <c r="C496">
        <v>41</v>
      </c>
      <c r="D496">
        <v>369</v>
      </c>
      <c r="E496">
        <v>282</v>
      </c>
      <c r="F496">
        <v>0</v>
      </c>
      <c r="G496" t="s">
        <v>36</v>
      </c>
      <c r="H496">
        <v>0</v>
      </c>
      <c r="I496" t="s">
        <v>36</v>
      </c>
      <c r="J496">
        <v>9</v>
      </c>
      <c r="K496">
        <v>2</v>
      </c>
      <c r="L496">
        <v>10</v>
      </c>
      <c r="M496">
        <v>4</v>
      </c>
      <c r="N496">
        <v>0</v>
      </c>
      <c r="O496">
        <v>1</v>
      </c>
      <c r="Q496" t="str">
        <f t="shared" si="70"/>
        <v>xG Sangat Sedikit</v>
      </c>
      <c r="R496" t="str">
        <f t="shared" si="71"/>
        <v>Possession Cukup Sedikit</v>
      </c>
      <c r="S496" t="str">
        <f t="shared" si="72"/>
        <v>Total Pass Cukup Sedikit</v>
      </c>
      <c r="T496" t="str">
        <f t="shared" si="73"/>
        <v>Pass Sukses Sangat Sedikit</v>
      </c>
      <c r="U496" t="str">
        <f t="shared" si="74"/>
        <v>Total Shot Sangat Sedikit</v>
      </c>
      <c r="V496" t="str">
        <f t="shared" si="77"/>
        <v>Shot on Target Rendah</v>
      </c>
      <c r="W496" t="str">
        <f t="shared" si="78"/>
        <v>Fouls Normal</v>
      </c>
      <c r="X496" t="str">
        <f t="shared" si="79"/>
        <v>Corner Rendah</v>
      </c>
      <c r="Y496" t="str">
        <f t="shared" si="75"/>
        <v>Yellow Card Rendah</v>
      </c>
      <c r="Z496" t="str">
        <f t="shared" si="76"/>
        <v>Red Card Tinggi</v>
      </c>
    </row>
    <row r="497" spans="1:26" x14ac:dyDescent="0.25">
      <c r="A497" t="s">
        <v>43</v>
      </c>
      <c r="B497">
        <v>1.3</v>
      </c>
      <c r="C497">
        <v>41</v>
      </c>
      <c r="D497">
        <v>426</v>
      </c>
      <c r="E497">
        <v>349</v>
      </c>
      <c r="F497">
        <v>4</v>
      </c>
      <c r="G497" t="s">
        <v>40</v>
      </c>
      <c r="H497">
        <v>1</v>
      </c>
      <c r="I497" t="s">
        <v>36</v>
      </c>
      <c r="J497">
        <v>10</v>
      </c>
      <c r="K497">
        <v>5</v>
      </c>
      <c r="L497">
        <v>14</v>
      </c>
      <c r="M497">
        <v>2</v>
      </c>
      <c r="N497">
        <v>0</v>
      </c>
      <c r="O497">
        <v>0</v>
      </c>
      <c r="Q497" t="str">
        <f t="shared" si="70"/>
        <v>xG Sangat Sedikit</v>
      </c>
      <c r="R497" t="str">
        <f t="shared" si="71"/>
        <v>Possession Cukup Sedikit</v>
      </c>
      <c r="S497" t="str">
        <f t="shared" si="72"/>
        <v>Total Pass Cukup Sedikit</v>
      </c>
      <c r="T497" t="str">
        <f t="shared" si="73"/>
        <v>Pass Sukses Cukup Sedikit</v>
      </c>
      <c r="U497" t="str">
        <f t="shared" si="74"/>
        <v>Total Shot Sangat Sedikit</v>
      </c>
      <c r="V497" t="str">
        <f t="shared" si="77"/>
        <v>Shot on Target Tinggi</v>
      </c>
      <c r="W497" t="str">
        <f t="shared" si="78"/>
        <v>Fouls Tinggi</v>
      </c>
      <c r="X497" t="str">
        <f t="shared" si="79"/>
        <v>Corner Rendah</v>
      </c>
      <c r="Y497" t="str">
        <f t="shared" si="75"/>
        <v>Yellow Card Rendah</v>
      </c>
      <c r="Z497" t="str">
        <f t="shared" si="76"/>
        <v>Red Card Rendah</v>
      </c>
    </row>
    <row r="498" spans="1:26" x14ac:dyDescent="0.25">
      <c r="A498" t="s">
        <v>60</v>
      </c>
      <c r="B498">
        <v>2.5</v>
      </c>
      <c r="C498">
        <v>42</v>
      </c>
      <c r="D498">
        <v>453</v>
      </c>
      <c r="E498">
        <v>373</v>
      </c>
      <c r="F498">
        <v>4</v>
      </c>
      <c r="G498" t="s">
        <v>40</v>
      </c>
      <c r="H498">
        <v>2</v>
      </c>
      <c r="I498" t="s">
        <v>40</v>
      </c>
      <c r="J498">
        <v>9</v>
      </c>
      <c r="K498">
        <v>7</v>
      </c>
      <c r="L498">
        <v>9</v>
      </c>
      <c r="M498">
        <v>3</v>
      </c>
      <c r="N498">
        <v>2</v>
      </c>
      <c r="O498">
        <v>0</v>
      </c>
      <c r="Q498" t="str">
        <f t="shared" si="70"/>
        <v>xG Cukup Sedikit</v>
      </c>
      <c r="R498" t="str">
        <f t="shared" si="71"/>
        <v>Possession Cukup Sedikit</v>
      </c>
      <c r="S498" t="str">
        <f t="shared" si="72"/>
        <v>Total Pass Cukup Sedikit</v>
      </c>
      <c r="T498" t="str">
        <f t="shared" si="73"/>
        <v>Pass Sukses Cukup Sedikit</v>
      </c>
      <c r="U498" t="str">
        <f t="shared" si="74"/>
        <v>Total Shot Sangat Sedikit</v>
      </c>
      <c r="V498" t="str">
        <f t="shared" si="77"/>
        <v>Shot on Target Tinggi</v>
      </c>
      <c r="W498" t="str">
        <f t="shared" si="78"/>
        <v>Fouls Normal</v>
      </c>
      <c r="X498" t="str">
        <f t="shared" si="79"/>
        <v>Corner Rendah</v>
      </c>
      <c r="Y498" t="str">
        <f t="shared" si="75"/>
        <v>Yellow Card Rendah</v>
      </c>
      <c r="Z498" t="str">
        <f t="shared" si="76"/>
        <v>Red Card Rendah</v>
      </c>
    </row>
    <row r="499" spans="1:26" x14ac:dyDescent="0.25">
      <c r="A499" t="s">
        <v>39</v>
      </c>
      <c r="B499">
        <v>3.1</v>
      </c>
      <c r="C499">
        <v>62</v>
      </c>
      <c r="D499">
        <v>650</v>
      </c>
      <c r="E499">
        <v>559</v>
      </c>
      <c r="F499">
        <v>3</v>
      </c>
      <c r="G499" t="s">
        <v>40</v>
      </c>
      <c r="H499">
        <v>1</v>
      </c>
      <c r="I499" t="s">
        <v>36</v>
      </c>
      <c r="J499">
        <v>27</v>
      </c>
      <c r="K499">
        <v>11</v>
      </c>
      <c r="L499">
        <v>9</v>
      </c>
      <c r="M499">
        <v>10</v>
      </c>
      <c r="N499">
        <v>4</v>
      </c>
      <c r="O499">
        <v>0</v>
      </c>
      <c r="Q499" t="str">
        <f t="shared" si="70"/>
        <v>xG Cukup Banyak</v>
      </c>
      <c r="R499" t="str">
        <f t="shared" si="71"/>
        <v>Possession Cukup Banyak</v>
      </c>
      <c r="S499" t="str">
        <f t="shared" si="72"/>
        <v>Total Pass Cukup Banyak</v>
      </c>
      <c r="T499" t="str">
        <f t="shared" si="73"/>
        <v>Pass Sukses Cukup Banyak</v>
      </c>
      <c r="U499" t="str">
        <f t="shared" si="74"/>
        <v>Total Shot Cukup Banyak</v>
      </c>
      <c r="V499" t="str">
        <f t="shared" si="77"/>
        <v>Shot on Target Tinggi</v>
      </c>
      <c r="W499" t="str">
        <f t="shared" si="78"/>
        <v>Fouls Normal</v>
      </c>
      <c r="X499" t="str">
        <f t="shared" si="79"/>
        <v>Corner Tinggi</v>
      </c>
      <c r="Y499" t="str">
        <f t="shared" si="75"/>
        <v>Yellow Card Tinggi</v>
      </c>
      <c r="Z499" t="str">
        <f t="shared" si="76"/>
        <v>Red Card Rendah</v>
      </c>
    </row>
    <row r="500" spans="1:26" x14ac:dyDescent="0.25">
      <c r="A500" t="s">
        <v>33</v>
      </c>
      <c r="B500">
        <v>0.8</v>
      </c>
      <c r="C500">
        <v>60</v>
      </c>
      <c r="D500">
        <v>682</v>
      </c>
      <c r="E500">
        <v>592</v>
      </c>
      <c r="F500">
        <v>1</v>
      </c>
      <c r="G500" t="s">
        <v>36</v>
      </c>
      <c r="H500">
        <v>1</v>
      </c>
      <c r="I500" t="s">
        <v>36</v>
      </c>
      <c r="J500">
        <v>11</v>
      </c>
      <c r="K500">
        <v>4</v>
      </c>
      <c r="L500">
        <v>10</v>
      </c>
      <c r="M500">
        <v>3</v>
      </c>
      <c r="N500">
        <v>0</v>
      </c>
      <c r="O500">
        <v>0</v>
      </c>
      <c r="Q500" t="str">
        <f t="shared" si="70"/>
        <v>xG Sangat Sedikit</v>
      </c>
      <c r="R500" t="str">
        <f t="shared" si="71"/>
        <v>Possession Cukup Banyak</v>
      </c>
      <c r="S500" t="str">
        <f t="shared" si="72"/>
        <v>Total Pass Sangat Banyak</v>
      </c>
      <c r="T500" t="str">
        <f t="shared" si="73"/>
        <v>Pass Sukses Cukup Banyak</v>
      </c>
      <c r="U500" t="str">
        <f t="shared" si="74"/>
        <v>Total Shot Cukup Sedikit</v>
      </c>
      <c r="V500" t="str">
        <f t="shared" si="77"/>
        <v>Shot on Target Normal</v>
      </c>
      <c r="W500" t="str">
        <f t="shared" si="78"/>
        <v>Fouls Normal</v>
      </c>
      <c r="X500" t="str">
        <f t="shared" si="79"/>
        <v>Corner Rendah</v>
      </c>
      <c r="Y500" t="str">
        <f t="shared" si="75"/>
        <v>Yellow Card Rendah</v>
      </c>
      <c r="Z500" t="str">
        <f t="shared" si="76"/>
        <v>Red Card Rendah</v>
      </c>
    </row>
    <row r="501" spans="1:26" x14ac:dyDescent="0.25">
      <c r="A501" t="s">
        <v>51</v>
      </c>
      <c r="B501">
        <v>0.9</v>
      </c>
      <c r="C501">
        <v>47</v>
      </c>
      <c r="D501">
        <v>511</v>
      </c>
      <c r="E501">
        <v>414</v>
      </c>
      <c r="F501">
        <v>2</v>
      </c>
      <c r="G501" t="s">
        <v>40</v>
      </c>
      <c r="H501">
        <v>1</v>
      </c>
      <c r="I501" t="s">
        <v>40</v>
      </c>
      <c r="J501">
        <v>15</v>
      </c>
      <c r="K501">
        <v>6</v>
      </c>
      <c r="L501">
        <v>8</v>
      </c>
      <c r="M501">
        <v>3</v>
      </c>
      <c r="N501">
        <v>0</v>
      </c>
      <c r="O501">
        <v>0</v>
      </c>
      <c r="Q501" t="str">
        <f t="shared" si="70"/>
        <v>xG Sangat Sedikit</v>
      </c>
      <c r="R501" t="str">
        <f t="shared" si="71"/>
        <v>Possession Cukup Sedikit</v>
      </c>
      <c r="S501" t="str">
        <f t="shared" si="72"/>
        <v>Total Pass Cukup Banyak</v>
      </c>
      <c r="T501" t="str">
        <f t="shared" si="73"/>
        <v>Pass Sukses Cukup Sedikit</v>
      </c>
      <c r="U501" t="str">
        <f t="shared" si="74"/>
        <v>Total Shot Cukup Sedikit</v>
      </c>
      <c r="V501" t="str">
        <f t="shared" si="77"/>
        <v>Shot on Target Tinggi</v>
      </c>
      <c r="W501" t="str">
        <f t="shared" si="78"/>
        <v>Fouls Rendah</v>
      </c>
      <c r="X501" t="str">
        <f t="shared" si="79"/>
        <v>Corner Rendah</v>
      </c>
      <c r="Y501" t="str">
        <f t="shared" si="75"/>
        <v>Yellow Card Rendah</v>
      </c>
      <c r="Z501" t="str">
        <f t="shared" si="76"/>
        <v>Red Card Rendah</v>
      </c>
    </row>
    <row r="502" spans="1:26" x14ac:dyDescent="0.25">
      <c r="A502" t="s">
        <v>47</v>
      </c>
      <c r="B502">
        <v>1</v>
      </c>
      <c r="C502">
        <v>47</v>
      </c>
      <c r="D502">
        <v>459</v>
      </c>
      <c r="E502">
        <v>386</v>
      </c>
      <c r="F502">
        <v>1</v>
      </c>
      <c r="G502" t="s">
        <v>36</v>
      </c>
      <c r="H502">
        <v>0</v>
      </c>
      <c r="I502" t="s">
        <v>35</v>
      </c>
      <c r="J502">
        <v>10</v>
      </c>
      <c r="K502">
        <v>2</v>
      </c>
      <c r="L502">
        <v>16</v>
      </c>
      <c r="M502">
        <v>6</v>
      </c>
      <c r="N502">
        <v>4</v>
      </c>
      <c r="O502">
        <v>0</v>
      </c>
      <c r="Q502" t="str">
        <f t="shared" si="70"/>
        <v>xG Sangat Sedikit</v>
      </c>
      <c r="R502" t="str">
        <f t="shared" si="71"/>
        <v>Possession Cukup Sedikit</v>
      </c>
      <c r="S502" t="str">
        <f t="shared" si="72"/>
        <v>Total Pass Cukup Sedikit</v>
      </c>
      <c r="T502" t="str">
        <f t="shared" si="73"/>
        <v>Pass Sukses Cukup Sedikit</v>
      </c>
      <c r="U502" t="str">
        <f t="shared" si="74"/>
        <v>Total Shot Sangat Sedikit</v>
      </c>
      <c r="V502" t="str">
        <f t="shared" si="77"/>
        <v>Shot on Target Rendah</v>
      </c>
      <c r="W502" t="str">
        <f t="shared" si="78"/>
        <v>Fouls Tinggi</v>
      </c>
      <c r="X502" t="str">
        <f t="shared" si="79"/>
        <v>Corner Tinggi</v>
      </c>
      <c r="Y502" t="str">
        <f t="shared" si="75"/>
        <v>Yellow Card Tinggi</v>
      </c>
      <c r="Z502" t="str">
        <f t="shared" si="76"/>
        <v>Red Card Rendah</v>
      </c>
    </row>
    <row r="503" spans="1:26" x14ac:dyDescent="0.25">
      <c r="A503" t="s">
        <v>59</v>
      </c>
      <c r="B503">
        <v>1.1000000000000001</v>
      </c>
      <c r="C503">
        <v>40</v>
      </c>
      <c r="D503">
        <v>419</v>
      </c>
      <c r="E503">
        <v>310</v>
      </c>
      <c r="F503">
        <v>1</v>
      </c>
      <c r="G503" t="s">
        <v>35</v>
      </c>
      <c r="H503">
        <v>1</v>
      </c>
      <c r="I503" t="s">
        <v>35</v>
      </c>
      <c r="J503">
        <v>7</v>
      </c>
      <c r="K503">
        <v>3</v>
      </c>
      <c r="L503">
        <v>10</v>
      </c>
      <c r="M503">
        <v>4</v>
      </c>
      <c r="N503">
        <v>1</v>
      </c>
      <c r="O503">
        <v>0</v>
      </c>
      <c r="Q503" t="str">
        <f t="shared" si="70"/>
        <v>xG Sangat Sedikit</v>
      </c>
      <c r="R503" t="str">
        <f t="shared" si="71"/>
        <v>Possession Cukup Sedikit</v>
      </c>
      <c r="S503" t="str">
        <f t="shared" si="72"/>
        <v>Total Pass Cukup Sedikit</v>
      </c>
      <c r="T503" t="str">
        <f t="shared" si="73"/>
        <v>Pass Sukses Cukup Sedikit</v>
      </c>
      <c r="U503" t="str">
        <f t="shared" si="74"/>
        <v>Total Shot Sangat Sedikit</v>
      </c>
      <c r="V503" t="str">
        <f t="shared" si="77"/>
        <v>Shot on Target Rendah</v>
      </c>
      <c r="W503" t="str">
        <f t="shared" si="78"/>
        <v>Fouls Normal</v>
      </c>
      <c r="X503" t="str">
        <f t="shared" si="79"/>
        <v>Corner Rendah</v>
      </c>
      <c r="Y503" t="str">
        <f t="shared" si="75"/>
        <v>Yellow Card Rendah</v>
      </c>
      <c r="Z503" t="str">
        <f t="shared" si="76"/>
        <v>Red Card Rendah</v>
      </c>
    </row>
    <row r="504" spans="1:26" x14ac:dyDescent="0.25">
      <c r="A504" t="s">
        <v>46</v>
      </c>
      <c r="B504">
        <v>0</v>
      </c>
      <c r="C504">
        <v>51</v>
      </c>
      <c r="D504">
        <v>471</v>
      </c>
      <c r="E504">
        <v>367</v>
      </c>
      <c r="F504">
        <v>1</v>
      </c>
      <c r="G504" t="s">
        <v>36</v>
      </c>
      <c r="H504">
        <v>0</v>
      </c>
      <c r="I504" t="s">
        <v>36</v>
      </c>
      <c r="J504">
        <v>1</v>
      </c>
      <c r="K504">
        <v>0</v>
      </c>
      <c r="L504">
        <v>11</v>
      </c>
      <c r="M504">
        <v>9</v>
      </c>
      <c r="N504">
        <v>3</v>
      </c>
      <c r="O504">
        <v>0</v>
      </c>
      <c r="Q504" t="str">
        <f t="shared" si="70"/>
        <v>xG Sangat Sedikit</v>
      </c>
      <c r="R504" t="str">
        <f t="shared" si="71"/>
        <v>Possession Cukup Banyak</v>
      </c>
      <c r="S504" t="str">
        <f t="shared" si="72"/>
        <v>Total Pass Cukup Sedikit</v>
      </c>
      <c r="T504" t="str">
        <f t="shared" si="73"/>
        <v>Pass Sukses Cukup Sedikit</v>
      </c>
      <c r="U504" t="str">
        <f t="shared" si="74"/>
        <v>Total Shot Sangat Sedikit</v>
      </c>
      <c r="V504" t="str">
        <f t="shared" si="77"/>
        <v>Shot on Target Rendah</v>
      </c>
      <c r="W504" t="str">
        <f t="shared" si="78"/>
        <v>Fouls Normal</v>
      </c>
      <c r="X504" t="str">
        <f t="shared" si="79"/>
        <v>Corner Tinggi</v>
      </c>
      <c r="Y504" t="str">
        <f t="shared" si="75"/>
        <v>Yellow Card Tinggi</v>
      </c>
      <c r="Z504" t="str">
        <f t="shared" si="76"/>
        <v>Red Card Rendah</v>
      </c>
    </row>
    <row r="505" spans="1:26" x14ac:dyDescent="0.25">
      <c r="A505" t="s">
        <v>38</v>
      </c>
      <c r="B505">
        <v>0.6</v>
      </c>
      <c r="C505">
        <v>55</v>
      </c>
      <c r="D505">
        <v>438</v>
      </c>
      <c r="E505">
        <v>333</v>
      </c>
      <c r="F505">
        <v>0</v>
      </c>
      <c r="G505" t="s">
        <v>35</v>
      </c>
      <c r="H505">
        <v>0</v>
      </c>
      <c r="I505" t="s">
        <v>36</v>
      </c>
      <c r="J505">
        <v>7</v>
      </c>
      <c r="K505">
        <v>3</v>
      </c>
      <c r="L505">
        <v>16</v>
      </c>
      <c r="M505">
        <v>7</v>
      </c>
      <c r="N505">
        <v>3</v>
      </c>
      <c r="O505">
        <v>0</v>
      </c>
      <c r="Q505" t="str">
        <f t="shared" si="70"/>
        <v>xG Sangat Sedikit</v>
      </c>
      <c r="R505" t="str">
        <f t="shared" si="71"/>
        <v>Possession Cukup Banyak</v>
      </c>
      <c r="S505" t="str">
        <f t="shared" si="72"/>
        <v>Total Pass Cukup Sedikit</v>
      </c>
      <c r="T505" t="str">
        <f t="shared" si="73"/>
        <v>Pass Sukses Cukup Sedikit</v>
      </c>
      <c r="U505" t="str">
        <f t="shared" si="74"/>
        <v>Total Shot Sangat Sedikit</v>
      </c>
      <c r="V505" t="str">
        <f t="shared" si="77"/>
        <v>Shot on Target Rendah</v>
      </c>
      <c r="W505" t="str">
        <f t="shared" si="78"/>
        <v>Fouls Tinggi</v>
      </c>
      <c r="X505" t="str">
        <f t="shared" si="79"/>
        <v>Corner Tinggi</v>
      </c>
      <c r="Y505" t="str">
        <f t="shared" si="75"/>
        <v>Yellow Card Tinggi</v>
      </c>
      <c r="Z505" t="str">
        <f t="shared" si="76"/>
        <v>Red Card Rendah</v>
      </c>
    </row>
    <row r="506" spans="1:26" x14ac:dyDescent="0.25">
      <c r="A506" t="s">
        <v>49</v>
      </c>
      <c r="B506">
        <v>3.3</v>
      </c>
      <c r="C506">
        <v>40</v>
      </c>
      <c r="D506">
        <v>375</v>
      </c>
      <c r="E506">
        <v>279</v>
      </c>
      <c r="F506">
        <v>4</v>
      </c>
      <c r="G506" t="s">
        <v>40</v>
      </c>
      <c r="H506">
        <v>3</v>
      </c>
      <c r="I506" t="s">
        <v>40</v>
      </c>
      <c r="J506">
        <v>12</v>
      </c>
      <c r="K506">
        <v>8</v>
      </c>
      <c r="L506">
        <v>11</v>
      </c>
      <c r="M506">
        <v>4</v>
      </c>
      <c r="N506">
        <v>1</v>
      </c>
      <c r="O506">
        <v>0</v>
      </c>
      <c r="Q506" t="str">
        <f t="shared" si="70"/>
        <v>xG Cukup Banyak</v>
      </c>
      <c r="R506" t="str">
        <f t="shared" si="71"/>
        <v>Possession Cukup Sedikit</v>
      </c>
      <c r="S506" t="str">
        <f t="shared" si="72"/>
        <v>Total Pass Cukup Sedikit</v>
      </c>
      <c r="T506" t="str">
        <f t="shared" si="73"/>
        <v>Pass Sukses Sangat Sedikit</v>
      </c>
      <c r="U506" t="str">
        <f t="shared" si="74"/>
        <v>Total Shot Cukup Sedikit</v>
      </c>
      <c r="V506" t="str">
        <f t="shared" si="77"/>
        <v>Shot on Target Tinggi</v>
      </c>
      <c r="W506" t="str">
        <f t="shared" si="78"/>
        <v>Fouls Normal</v>
      </c>
      <c r="X506" t="str">
        <f t="shared" si="79"/>
        <v>Corner Rendah</v>
      </c>
      <c r="Y506" t="str">
        <f t="shared" si="75"/>
        <v>Yellow Card Rendah</v>
      </c>
      <c r="Z506" t="str">
        <f t="shared" si="76"/>
        <v>Red Card Rendah</v>
      </c>
    </row>
    <row r="507" spans="1:26" x14ac:dyDescent="0.25">
      <c r="A507" t="s">
        <v>42</v>
      </c>
      <c r="B507">
        <v>3.5</v>
      </c>
      <c r="C507">
        <v>60</v>
      </c>
      <c r="D507">
        <v>526</v>
      </c>
      <c r="E507">
        <v>425</v>
      </c>
      <c r="F507">
        <v>5</v>
      </c>
      <c r="G507" t="s">
        <v>40</v>
      </c>
      <c r="H507">
        <v>5</v>
      </c>
      <c r="I507" t="s">
        <v>40</v>
      </c>
      <c r="J507">
        <v>16</v>
      </c>
      <c r="K507">
        <v>7</v>
      </c>
      <c r="L507">
        <v>13</v>
      </c>
      <c r="M507">
        <v>10</v>
      </c>
      <c r="N507">
        <v>1</v>
      </c>
      <c r="O507">
        <v>0</v>
      </c>
      <c r="Q507" t="str">
        <f t="shared" si="70"/>
        <v>xG Cukup Banyak</v>
      </c>
      <c r="R507" t="str">
        <f t="shared" si="71"/>
        <v>Possession Cukup Banyak</v>
      </c>
      <c r="S507" t="str">
        <f t="shared" si="72"/>
        <v>Total Pass Cukup Banyak</v>
      </c>
      <c r="T507" t="str">
        <f t="shared" si="73"/>
        <v>Pass Sukses Cukup Sedikit</v>
      </c>
      <c r="U507" t="str">
        <f t="shared" si="74"/>
        <v>Total Shot Cukup Sedikit</v>
      </c>
      <c r="V507" t="str">
        <f t="shared" si="77"/>
        <v>Shot on Target Tinggi</v>
      </c>
      <c r="W507" t="str">
        <f t="shared" si="78"/>
        <v>Fouls Tinggi</v>
      </c>
      <c r="X507" t="str">
        <f t="shared" si="79"/>
        <v>Corner Tinggi</v>
      </c>
      <c r="Y507" t="str">
        <f t="shared" si="75"/>
        <v>Yellow Card Rendah</v>
      </c>
      <c r="Z507" t="str">
        <f t="shared" si="76"/>
        <v>Red Card Rendah</v>
      </c>
    </row>
    <row r="508" spans="1:26" x14ac:dyDescent="0.25">
      <c r="A508" t="s">
        <v>52</v>
      </c>
      <c r="B508">
        <v>1.2</v>
      </c>
      <c r="C508">
        <v>36</v>
      </c>
      <c r="D508">
        <v>370</v>
      </c>
      <c r="E508">
        <v>307</v>
      </c>
      <c r="F508">
        <v>0</v>
      </c>
      <c r="G508" t="s">
        <v>35</v>
      </c>
      <c r="H508">
        <v>0</v>
      </c>
      <c r="I508" t="s">
        <v>35</v>
      </c>
      <c r="J508">
        <v>10</v>
      </c>
      <c r="K508">
        <v>4</v>
      </c>
      <c r="L508">
        <v>6</v>
      </c>
      <c r="M508">
        <v>4</v>
      </c>
      <c r="N508">
        <v>2</v>
      </c>
      <c r="O508">
        <v>0</v>
      </c>
      <c r="Q508" t="str">
        <f t="shared" si="70"/>
        <v>xG Sangat Sedikit</v>
      </c>
      <c r="R508" t="str">
        <f t="shared" si="71"/>
        <v>Possession Sangat Sedikit</v>
      </c>
      <c r="S508" t="str">
        <f t="shared" si="72"/>
        <v>Total Pass Cukup Sedikit</v>
      </c>
      <c r="T508" t="str">
        <f t="shared" si="73"/>
        <v>Pass Sukses Cukup Sedikit</v>
      </c>
      <c r="U508" t="str">
        <f t="shared" si="74"/>
        <v>Total Shot Sangat Sedikit</v>
      </c>
      <c r="V508" t="str">
        <f t="shared" si="77"/>
        <v>Shot on Target Normal</v>
      </c>
      <c r="W508" t="str">
        <f t="shared" si="78"/>
        <v>Fouls Rendah</v>
      </c>
      <c r="X508" t="str">
        <f t="shared" si="79"/>
        <v>Corner Rendah</v>
      </c>
      <c r="Y508" t="str">
        <f t="shared" si="75"/>
        <v>Yellow Card Rendah</v>
      </c>
      <c r="Z508" t="str">
        <f t="shared" si="76"/>
        <v>Red Card Rendah</v>
      </c>
    </row>
    <row r="509" spans="1:26" x14ac:dyDescent="0.25">
      <c r="A509" t="s">
        <v>44</v>
      </c>
      <c r="B509">
        <v>0.6</v>
      </c>
      <c r="C509">
        <v>40</v>
      </c>
      <c r="D509">
        <v>442</v>
      </c>
      <c r="E509">
        <v>372</v>
      </c>
      <c r="F509">
        <v>0</v>
      </c>
      <c r="G509" t="s">
        <v>35</v>
      </c>
      <c r="H509">
        <v>0</v>
      </c>
      <c r="I509" t="s">
        <v>35</v>
      </c>
      <c r="J509">
        <v>8</v>
      </c>
      <c r="K509">
        <v>2</v>
      </c>
      <c r="L509">
        <v>12</v>
      </c>
      <c r="M509">
        <v>2</v>
      </c>
      <c r="N509">
        <v>3</v>
      </c>
      <c r="O509">
        <v>0</v>
      </c>
      <c r="Q509" t="str">
        <f t="shared" si="70"/>
        <v>xG Sangat Sedikit</v>
      </c>
      <c r="R509" t="str">
        <f t="shared" si="71"/>
        <v>Possession Cukup Sedikit</v>
      </c>
      <c r="S509" t="str">
        <f t="shared" si="72"/>
        <v>Total Pass Cukup Sedikit</v>
      </c>
      <c r="T509" t="str">
        <f t="shared" si="73"/>
        <v>Pass Sukses Cukup Sedikit</v>
      </c>
      <c r="U509" t="str">
        <f t="shared" si="74"/>
        <v>Total Shot Sangat Sedikit</v>
      </c>
      <c r="V509" t="str">
        <f t="shared" si="77"/>
        <v>Shot on Target Rendah</v>
      </c>
      <c r="W509" t="str">
        <f t="shared" si="78"/>
        <v>Fouls Tinggi</v>
      </c>
      <c r="X509" t="str">
        <f t="shared" si="79"/>
        <v>Corner Rendah</v>
      </c>
      <c r="Y509" t="str">
        <f t="shared" si="75"/>
        <v>Yellow Card Tinggi</v>
      </c>
      <c r="Z509" t="str">
        <f t="shared" si="76"/>
        <v>Red Card Rendah</v>
      </c>
    </row>
    <row r="510" spans="1:26" x14ac:dyDescent="0.25">
      <c r="A510" t="s">
        <v>34</v>
      </c>
      <c r="B510">
        <v>1.5</v>
      </c>
      <c r="C510">
        <v>49</v>
      </c>
      <c r="D510">
        <v>502</v>
      </c>
      <c r="E510">
        <v>409</v>
      </c>
      <c r="F510">
        <v>1</v>
      </c>
      <c r="G510" t="s">
        <v>36</v>
      </c>
      <c r="H510">
        <v>0</v>
      </c>
      <c r="I510" t="s">
        <v>36</v>
      </c>
      <c r="J510">
        <v>14</v>
      </c>
      <c r="K510">
        <v>6</v>
      </c>
      <c r="L510">
        <v>14</v>
      </c>
      <c r="M510">
        <v>11</v>
      </c>
      <c r="N510">
        <v>1</v>
      </c>
      <c r="O510">
        <v>1</v>
      </c>
      <c r="Q510" t="str">
        <f t="shared" si="70"/>
        <v>xG Cukup Sedikit</v>
      </c>
      <c r="R510" t="str">
        <f t="shared" si="71"/>
        <v>Possession Cukup Sedikit</v>
      </c>
      <c r="S510" t="str">
        <f t="shared" si="72"/>
        <v>Total Pass Cukup Sedikit</v>
      </c>
      <c r="T510" t="str">
        <f t="shared" si="73"/>
        <v>Pass Sukses Cukup Sedikit</v>
      </c>
      <c r="U510" t="str">
        <f t="shared" si="74"/>
        <v>Total Shot Cukup Sedikit</v>
      </c>
      <c r="V510" t="str">
        <f t="shared" si="77"/>
        <v>Shot on Target Tinggi</v>
      </c>
      <c r="W510" t="str">
        <f t="shared" si="78"/>
        <v>Fouls Tinggi</v>
      </c>
      <c r="X510" t="str">
        <f t="shared" si="79"/>
        <v>Corner Tinggi</v>
      </c>
      <c r="Y510" t="str">
        <f t="shared" si="75"/>
        <v>Yellow Card Rendah</v>
      </c>
      <c r="Z510" t="str">
        <f t="shared" si="76"/>
        <v>Red Card Tinggi</v>
      </c>
    </row>
    <row r="511" spans="1:26" x14ac:dyDescent="0.25">
      <c r="A511" t="s">
        <v>58</v>
      </c>
      <c r="B511">
        <v>0.8</v>
      </c>
      <c r="C511">
        <v>56</v>
      </c>
      <c r="D511">
        <v>573</v>
      </c>
      <c r="E511">
        <v>498</v>
      </c>
      <c r="F511">
        <v>0</v>
      </c>
      <c r="G511" t="s">
        <v>35</v>
      </c>
      <c r="H511">
        <v>0</v>
      </c>
      <c r="I511" t="s">
        <v>35</v>
      </c>
      <c r="J511">
        <v>8</v>
      </c>
      <c r="K511">
        <v>2</v>
      </c>
      <c r="L511">
        <v>8</v>
      </c>
      <c r="M511">
        <v>4</v>
      </c>
      <c r="N511">
        <v>3</v>
      </c>
      <c r="O511">
        <v>0</v>
      </c>
      <c r="Q511" t="str">
        <f t="shared" si="70"/>
        <v>xG Sangat Sedikit</v>
      </c>
      <c r="R511" t="str">
        <f t="shared" si="71"/>
        <v>Possession Cukup Banyak</v>
      </c>
      <c r="S511" t="str">
        <f t="shared" si="72"/>
        <v>Total Pass Cukup Banyak</v>
      </c>
      <c r="T511" t="str">
        <f t="shared" si="73"/>
        <v>Pass Sukses Cukup Banyak</v>
      </c>
      <c r="U511" t="str">
        <f t="shared" si="74"/>
        <v>Total Shot Sangat Sedikit</v>
      </c>
      <c r="V511" t="str">
        <f t="shared" si="77"/>
        <v>Shot on Target Rendah</v>
      </c>
      <c r="W511" t="str">
        <f t="shared" si="78"/>
        <v>Fouls Rendah</v>
      </c>
      <c r="X511" t="str">
        <f t="shared" si="79"/>
        <v>Corner Rendah</v>
      </c>
      <c r="Y511" t="str">
        <f t="shared" si="75"/>
        <v>Yellow Card Tinggi</v>
      </c>
      <c r="Z511" t="str">
        <f t="shared" si="76"/>
        <v>Red Card Rendah</v>
      </c>
    </row>
    <row r="512" spans="1:26" x14ac:dyDescent="0.25">
      <c r="A512" t="s">
        <v>55</v>
      </c>
      <c r="B512">
        <v>1.6</v>
      </c>
      <c r="C512">
        <v>46</v>
      </c>
      <c r="D512">
        <v>474</v>
      </c>
      <c r="E512">
        <v>371</v>
      </c>
      <c r="F512">
        <v>1</v>
      </c>
      <c r="G512" t="s">
        <v>40</v>
      </c>
      <c r="H512">
        <v>0</v>
      </c>
      <c r="I512" t="s">
        <v>36</v>
      </c>
      <c r="J512">
        <v>13</v>
      </c>
      <c r="K512">
        <v>3</v>
      </c>
      <c r="L512">
        <v>13</v>
      </c>
      <c r="M512">
        <v>7</v>
      </c>
      <c r="N512">
        <v>4</v>
      </c>
      <c r="O512">
        <v>0</v>
      </c>
      <c r="Q512" t="str">
        <f t="shared" si="70"/>
        <v>xG Cukup Sedikit</v>
      </c>
      <c r="R512" t="str">
        <f t="shared" si="71"/>
        <v>Possession Cukup Sedikit</v>
      </c>
      <c r="S512" t="str">
        <f t="shared" si="72"/>
        <v>Total Pass Cukup Sedikit</v>
      </c>
      <c r="T512" t="str">
        <f t="shared" si="73"/>
        <v>Pass Sukses Cukup Sedikit</v>
      </c>
      <c r="U512" t="str">
        <f t="shared" si="74"/>
        <v>Total Shot Cukup Sedikit</v>
      </c>
      <c r="V512" t="str">
        <f t="shared" si="77"/>
        <v>Shot on Target Rendah</v>
      </c>
      <c r="W512" t="str">
        <f t="shared" si="78"/>
        <v>Fouls Tinggi</v>
      </c>
      <c r="X512" t="str">
        <f t="shared" si="79"/>
        <v>Corner Tinggi</v>
      </c>
      <c r="Y512" t="str">
        <f t="shared" si="75"/>
        <v>Yellow Card Tinggi</v>
      </c>
      <c r="Z512" t="str">
        <f t="shared" si="76"/>
        <v>Red Card Rendah</v>
      </c>
    </row>
    <row r="513" spans="1:26" x14ac:dyDescent="0.25">
      <c r="A513" t="s">
        <v>51</v>
      </c>
      <c r="B513">
        <v>3</v>
      </c>
      <c r="C513">
        <v>61</v>
      </c>
      <c r="D513">
        <v>649</v>
      </c>
      <c r="E513">
        <v>544</v>
      </c>
      <c r="F513">
        <v>1</v>
      </c>
      <c r="G513" t="s">
        <v>35</v>
      </c>
      <c r="H513">
        <v>0</v>
      </c>
      <c r="I513" t="s">
        <v>35</v>
      </c>
      <c r="J513">
        <v>31</v>
      </c>
      <c r="K513">
        <v>10</v>
      </c>
      <c r="L513">
        <v>7</v>
      </c>
      <c r="M513">
        <v>9</v>
      </c>
      <c r="N513">
        <v>2</v>
      </c>
      <c r="O513">
        <v>0</v>
      </c>
      <c r="Q513" t="str">
        <f t="shared" si="70"/>
        <v>xG Cukup Banyak</v>
      </c>
      <c r="R513" t="str">
        <f t="shared" si="71"/>
        <v>Possession Cukup Banyak</v>
      </c>
      <c r="S513" t="str">
        <f t="shared" si="72"/>
        <v>Total Pass Cukup Banyak</v>
      </c>
      <c r="T513" t="str">
        <f t="shared" si="73"/>
        <v>Pass Sukses Cukup Banyak</v>
      </c>
      <c r="U513" t="str">
        <f t="shared" si="74"/>
        <v>Total Shot Sangat Banyak</v>
      </c>
      <c r="V513" t="str">
        <f t="shared" si="77"/>
        <v>Shot on Target Tinggi</v>
      </c>
      <c r="W513" t="str">
        <f t="shared" si="78"/>
        <v>Fouls Rendah</v>
      </c>
      <c r="X513" t="str">
        <f t="shared" si="79"/>
        <v>Corner Tinggi</v>
      </c>
      <c r="Y513" t="str">
        <f t="shared" si="75"/>
        <v>Yellow Card Rendah</v>
      </c>
      <c r="Z513" t="str">
        <f t="shared" si="76"/>
        <v>Red Card Rendah</v>
      </c>
    </row>
    <row r="514" spans="1:26" x14ac:dyDescent="0.25">
      <c r="A514" t="s">
        <v>43</v>
      </c>
      <c r="B514">
        <v>0.8</v>
      </c>
      <c r="C514">
        <v>56</v>
      </c>
      <c r="D514">
        <v>521</v>
      </c>
      <c r="E514">
        <v>415</v>
      </c>
      <c r="F514">
        <v>0</v>
      </c>
      <c r="G514" t="s">
        <v>35</v>
      </c>
      <c r="H514">
        <v>0</v>
      </c>
      <c r="I514" t="s">
        <v>35</v>
      </c>
      <c r="J514">
        <v>6</v>
      </c>
      <c r="K514">
        <v>2</v>
      </c>
      <c r="L514">
        <v>8</v>
      </c>
      <c r="M514">
        <v>4</v>
      </c>
      <c r="N514">
        <v>0</v>
      </c>
      <c r="O514">
        <v>0</v>
      </c>
      <c r="Q514" t="str">
        <f t="shared" si="70"/>
        <v>xG Sangat Sedikit</v>
      </c>
      <c r="R514" t="str">
        <f t="shared" si="71"/>
        <v>Possession Cukup Banyak</v>
      </c>
      <c r="S514" t="str">
        <f t="shared" si="72"/>
        <v>Total Pass Cukup Banyak</v>
      </c>
      <c r="T514" t="str">
        <f t="shared" si="73"/>
        <v>Pass Sukses Cukup Sedikit</v>
      </c>
      <c r="U514" t="str">
        <f t="shared" si="74"/>
        <v>Total Shot Sangat Sedikit</v>
      </c>
      <c r="V514" t="str">
        <f t="shared" si="77"/>
        <v>Shot on Target Rendah</v>
      </c>
      <c r="W514" t="str">
        <f t="shared" si="78"/>
        <v>Fouls Rendah</v>
      </c>
      <c r="X514" t="str">
        <f t="shared" si="79"/>
        <v>Corner Rendah</v>
      </c>
      <c r="Y514" t="str">
        <f t="shared" si="75"/>
        <v>Yellow Card Rendah</v>
      </c>
      <c r="Z514" t="str">
        <f t="shared" si="76"/>
        <v>Red Card Rendah</v>
      </c>
    </row>
    <row r="515" spans="1:26" x14ac:dyDescent="0.25">
      <c r="A515" t="s">
        <v>48</v>
      </c>
      <c r="B515">
        <v>1</v>
      </c>
      <c r="C515">
        <v>34</v>
      </c>
      <c r="D515">
        <v>318</v>
      </c>
      <c r="E515">
        <v>245</v>
      </c>
      <c r="F515">
        <v>0</v>
      </c>
      <c r="G515" t="s">
        <v>35</v>
      </c>
      <c r="H515">
        <v>0</v>
      </c>
      <c r="I515" t="s">
        <v>35</v>
      </c>
      <c r="J515">
        <v>12</v>
      </c>
      <c r="K515">
        <v>3</v>
      </c>
      <c r="L515">
        <v>15</v>
      </c>
      <c r="M515">
        <v>2</v>
      </c>
      <c r="N515">
        <v>4</v>
      </c>
      <c r="O515">
        <v>0</v>
      </c>
      <c r="Q515" t="str">
        <f t="shared" ref="Q515:Q578" si="80">_xlfn.LET(
 _xlpm.x,B515,
 _xlpm.min,MIN($B$2:$B$761),
 _xlpm.max,MAX($B$2:$B$761),
 _xlpm.persen,(_xlpm.x-_xlpm.min)/(_xlpm.max-_xlpm.min)*100,
 IF(_xlpm.persen&lt;=25,"xG Sangat Sedikit",
   IF(_xlpm.persen&lt;=50,"xG Cukup Sedikit",
     IF(_xlpm.persen&lt;=75,"xG Cukup Banyak",
       "xG Sangat Banyak"))))</f>
        <v>xG Sangat Sedikit</v>
      </c>
      <c r="R515" t="str">
        <f t="shared" ref="R515:R578" si="81">_xlfn.LET(
 _xlpm.x,C515,
 _xlpm.min,MIN($C$2:$C$761),
 _xlpm.max,MAX($C$2:$C$761),
 _xlpm.persen,(_xlpm.x-_xlpm.min)/(_xlpm.max-_xlpm.min)*100,
 IF(_xlpm.persen&lt;=25,"Possession Sangat Sedikit",
   IF(_xlpm.persen&lt;=50,"Possession Cukup Sedikit",
     IF(_xlpm.persen&lt;=75,"Possession Cukup Banyak",
       "Possession Sangat Banyak"))))</f>
        <v>Possession Sangat Sedikit</v>
      </c>
      <c r="S515" t="str">
        <f t="shared" ref="S515:S578" si="82">_xlfn.LET(
 _xlpm.x,D515,
 _xlpm.min,MIN($D$2:$D$761),
 _xlpm.max,MAX($D$2:$D$761),
 _xlpm.persen,(_xlpm.x-_xlpm.min)/(_xlpm.max-_xlpm.min)*100,
 IF(_xlpm.persen&lt;=25,"Total Pass Sangat Sedikit",
   IF(_xlpm.persen&lt;=50,"Total Pass Cukup Sedikit",
     IF(_xlpm.persen&lt;=75,"Total Pass Cukup Banyak",
       "Total Pass Sangat Banyak"))))</f>
        <v>Total Pass Sangat Sedikit</v>
      </c>
      <c r="T515" t="str">
        <f t="shared" ref="T515:T578" si="83">_xlfn.LET(
 _xlpm.x,E515,
 _xlpm.min,MIN($E$2:$E$761),
 _xlpm.max,MAX($E$2:$E$761),
 _xlpm.persen,(_xlpm.x-_xlpm.min)/(_xlpm.max-_xlpm.min)*100,
 IF(_xlpm.persen&lt;=25,"Pass Sukses Sangat Sedikit",
   IF(_xlpm.persen&lt;=50,"Pass Sukses Cukup Sedikit",
     IF(_xlpm.persen&lt;=75,"Pass Sukses Cukup Banyak",
       "Pass Sukses Sangat Banyak"))))</f>
        <v>Pass Sukses Sangat Sedikit</v>
      </c>
      <c r="U515" t="str">
        <f t="shared" ref="U515:U578" si="84">_xlfn.LET(
 _xlpm.x,J515,
 _xlpm.min,MIN($J$2:$J$761),
 _xlpm.max,MAX($J$2:$J$761),
 _xlpm.persen,(_xlpm.x-_xlpm.min)/(_xlpm.max-_xlpm.min)*100,
 IF(_xlpm.persen&lt;=25,"Total Shot Sangat Sedikit",
   IF(_xlpm.persen&lt;=50,"Total Shot Cukup Sedikit",
     IF(_xlpm.persen&lt;=75,"Total Shot Cukup Banyak",
       "Total Shot Sangat Banyak"))))</f>
        <v>Total Shot Cukup Sedikit</v>
      </c>
      <c r="V515" t="str">
        <f t="shared" si="77"/>
        <v>Shot on Target Rendah</v>
      </c>
      <c r="W515" t="str">
        <f t="shared" si="78"/>
        <v>Fouls Tinggi</v>
      </c>
      <c r="X515" t="str">
        <f t="shared" si="79"/>
        <v>Corner Rendah</v>
      </c>
      <c r="Y515" t="str">
        <f t="shared" ref="Y515:Y578" si="85">IF(N515&lt;$Y$1,"Yellow Card Rendah","Yellow Card Tinggi")</f>
        <v>Yellow Card Tinggi</v>
      </c>
      <c r="Z515" t="str">
        <f t="shared" ref="Z515:Z578" si="86">IF(O515&lt;$Z$1,"Red Card Rendah","Red Card Tinggi")</f>
        <v>Red Card Rendah</v>
      </c>
    </row>
    <row r="516" spans="1:26" x14ac:dyDescent="0.25">
      <c r="A516" t="s">
        <v>39</v>
      </c>
      <c r="B516">
        <v>1.9</v>
      </c>
      <c r="C516">
        <v>58</v>
      </c>
      <c r="D516">
        <v>553</v>
      </c>
      <c r="E516">
        <v>473</v>
      </c>
      <c r="F516">
        <v>3</v>
      </c>
      <c r="G516" t="s">
        <v>36</v>
      </c>
      <c r="H516">
        <v>0</v>
      </c>
      <c r="I516" t="s">
        <v>35</v>
      </c>
      <c r="J516">
        <v>16</v>
      </c>
      <c r="K516">
        <v>5</v>
      </c>
      <c r="L516">
        <v>17</v>
      </c>
      <c r="M516">
        <v>6</v>
      </c>
      <c r="N516">
        <v>5</v>
      </c>
      <c r="O516">
        <v>0</v>
      </c>
      <c r="Q516" t="str">
        <f t="shared" si="80"/>
        <v>xG Cukup Sedikit</v>
      </c>
      <c r="R516" t="str">
        <f t="shared" si="81"/>
        <v>Possession Cukup Banyak</v>
      </c>
      <c r="S516" t="str">
        <f t="shared" si="82"/>
        <v>Total Pass Cukup Banyak</v>
      </c>
      <c r="T516" t="str">
        <f t="shared" si="83"/>
        <v>Pass Sukses Cukup Banyak</v>
      </c>
      <c r="U516" t="str">
        <f t="shared" si="84"/>
        <v>Total Shot Cukup Sedikit</v>
      </c>
      <c r="V516" t="str">
        <f t="shared" ref="V516:V579" si="87">IF(K516&gt;$V$1,"Shot on Target Tinggi",IF(K516&gt;($V$1/5*4),"Shot on Target Normal","Shot on Target Rendah"))</f>
        <v>Shot on Target Tinggi</v>
      </c>
      <c r="W516" t="str">
        <f t="shared" ref="W516:W579" si="88">IF(L516&gt;$W$1,"Fouls Tinggi",IF(L516&gt;($W$1/5*4),"Fouls Normal","Fouls Rendah"))</f>
        <v>Fouls Tinggi</v>
      </c>
      <c r="X516" t="str">
        <f t="shared" ref="X516:X579" si="89">IF(M516&gt;$X$1,"Corner Tinggi",IF(M516&gt;($X$1/5*4),"Corner Normal","Corner Rendah"))</f>
        <v>Corner Tinggi</v>
      </c>
      <c r="Y516" t="str">
        <f t="shared" si="85"/>
        <v>Yellow Card Tinggi</v>
      </c>
      <c r="Z516" t="str">
        <f t="shared" si="86"/>
        <v>Red Card Rendah</v>
      </c>
    </row>
    <row r="517" spans="1:26" x14ac:dyDescent="0.25">
      <c r="A517" t="s">
        <v>57</v>
      </c>
      <c r="B517">
        <v>5.2</v>
      </c>
      <c r="C517">
        <v>55</v>
      </c>
      <c r="D517">
        <v>560</v>
      </c>
      <c r="E517">
        <v>508</v>
      </c>
      <c r="F517">
        <v>5</v>
      </c>
      <c r="G517" t="s">
        <v>40</v>
      </c>
      <c r="H517">
        <v>3</v>
      </c>
      <c r="I517" t="s">
        <v>40</v>
      </c>
      <c r="J517">
        <v>26</v>
      </c>
      <c r="K517">
        <v>13</v>
      </c>
      <c r="L517">
        <v>14</v>
      </c>
      <c r="M517">
        <v>7</v>
      </c>
      <c r="N517">
        <v>0</v>
      </c>
      <c r="O517">
        <v>0</v>
      </c>
      <c r="Q517" t="str">
        <f t="shared" si="80"/>
        <v>xG Sangat Banyak</v>
      </c>
      <c r="R517" t="str">
        <f t="shared" si="81"/>
        <v>Possession Cukup Banyak</v>
      </c>
      <c r="S517" t="str">
        <f t="shared" si="82"/>
        <v>Total Pass Cukup Banyak</v>
      </c>
      <c r="T517" t="str">
        <f t="shared" si="83"/>
        <v>Pass Sukses Cukup Banyak</v>
      </c>
      <c r="U517" t="str">
        <f t="shared" si="84"/>
        <v>Total Shot Cukup Banyak</v>
      </c>
      <c r="V517" t="str">
        <f t="shared" si="87"/>
        <v>Shot on Target Tinggi</v>
      </c>
      <c r="W517" t="str">
        <f t="shared" si="88"/>
        <v>Fouls Tinggi</v>
      </c>
      <c r="X517" t="str">
        <f t="shared" si="89"/>
        <v>Corner Tinggi</v>
      </c>
      <c r="Y517" t="str">
        <f t="shared" si="85"/>
        <v>Yellow Card Rendah</v>
      </c>
      <c r="Z517" t="str">
        <f t="shared" si="86"/>
        <v>Red Card Rendah</v>
      </c>
    </row>
    <row r="518" spans="1:26" x14ac:dyDescent="0.25">
      <c r="A518" t="s">
        <v>33</v>
      </c>
      <c r="B518">
        <v>0.2</v>
      </c>
      <c r="C518">
        <v>49</v>
      </c>
      <c r="D518">
        <v>497</v>
      </c>
      <c r="E518">
        <v>425</v>
      </c>
      <c r="F518">
        <v>0</v>
      </c>
      <c r="G518" t="s">
        <v>35</v>
      </c>
      <c r="H518">
        <v>0</v>
      </c>
      <c r="I518" t="s">
        <v>36</v>
      </c>
      <c r="J518">
        <v>5</v>
      </c>
      <c r="K518">
        <v>2</v>
      </c>
      <c r="L518">
        <v>8</v>
      </c>
      <c r="M518">
        <v>0</v>
      </c>
      <c r="N518">
        <v>3</v>
      </c>
      <c r="O518">
        <v>0</v>
      </c>
      <c r="Q518" t="str">
        <f t="shared" si="80"/>
        <v>xG Sangat Sedikit</v>
      </c>
      <c r="R518" t="str">
        <f t="shared" si="81"/>
        <v>Possession Cukup Sedikit</v>
      </c>
      <c r="S518" t="str">
        <f t="shared" si="82"/>
        <v>Total Pass Cukup Sedikit</v>
      </c>
      <c r="T518" t="str">
        <f t="shared" si="83"/>
        <v>Pass Sukses Cukup Sedikit</v>
      </c>
      <c r="U518" t="str">
        <f t="shared" si="84"/>
        <v>Total Shot Sangat Sedikit</v>
      </c>
      <c r="V518" t="str">
        <f t="shared" si="87"/>
        <v>Shot on Target Rendah</v>
      </c>
      <c r="W518" t="str">
        <f t="shared" si="88"/>
        <v>Fouls Rendah</v>
      </c>
      <c r="X518" t="str">
        <f t="shared" si="89"/>
        <v>Corner Rendah</v>
      </c>
      <c r="Y518" t="str">
        <f t="shared" si="85"/>
        <v>Yellow Card Tinggi</v>
      </c>
      <c r="Z518" t="str">
        <f t="shared" si="86"/>
        <v>Red Card Rendah</v>
      </c>
    </row>
    <row r="519" spans="1:26" x14ac:dyDescent="0.25">
      <c r="A519" t="s">
        <v>54</v>
      </c>
      <c r="B519">
        <v>0.9</v>
      </c>
      <c r="C519">
        <v>51</v>
      </c>
      <c r="D519">
        <v>443</v>
      </c>
      <c r="E519">
        <v>360</v>
      </c>
      <c r="F519">
        <v>1</v>
      </c>
      <c r="G519" t="s">
        <v>35</v>
      </c>
      <c r="H519">
        <v>0</v>
      </c>
      <c r="I519" t="s">
        <v>35</v>
      </c>
      <c r="J519">
        <v>9</v>
      </c>
      <c r="K519">
        <v>1</v>
      </c>
      <c r="L519">
        <v>15</v>
      </c>
      <c r="M519">
        <v>5</v>
      </c>
      <c r="N519">
        <v>2</v>
      </c>
      <c r="O519">
        <v>0</v>
      </c>
      <c r="Q519" t="str">
        <f t="shared" si="80"/>
        <v>xG Sangat Sedikit</v>
      </c>
      <c r="R519" t="str">
        <f t="shared" si="81"/>
        <v>Possession Cukup Banyak</v>
      </c>
      <c r="S519" t="str">
        <f t="shared" si="82"/>
        <v>Total Pass Cukup Sedikit</v>
      </c>
      <c r="T519" t="str">
        <f t="shared" si="83"/>
        <v>Pass Sukses Cukup Sedikit</v>
      </c>
      <c r="U519" t="str">
        <f t="shared" si="84"/>
        <v>Total Shot Sangat Sedikit</v>
      </c>
      <c r="V519" t="str">
        <f t="shared" si="87"/>
        <v>Shot on Target Rendah</v>
      </c>
      <c r="W519" t="str">
        <f t="shared" si="88"/>
        <v>Fouls Tinggi</v>
      </c>
      <c r="X519" t="str">
        <f t="shared" si="89"/>
        <v>Corner Normal</v>
      </c>
      <c r="Y519" t="str">
        <f t="shared" si="85"/>
        <v>Yellow Card Rendah</v>
      </c>
      <c r="Z519" t="str">
        <f t="shared" si="86"/>
        <v>Red Card Rendah</v>
      </c>
    </row>
    <row r="520" spans="1:26" x14ac:dyDescent="0.25">
      <c r="A520" t="s">
        <v>45</v>
      </c>
      <c r="B520">
        <v>1.4</v>
      </c>
      <c r="C520">
        <v>57</v>
      </c>
      <c r="D520">
        <v>548</v>
      </c>
      <c r="E520">
        <v>468</v>
      </c>
      <c r="F520">
        <v>1</v>
      </c>
      <c r="G520" t="s">
        <v>35</v>
      </c>
      <c r="H520">
        <v>0</v>
      </c>
      <c r="I520" t="s">
        <v>35</v>
      </c>
      <c r="J520">
        <v>13</v>
      </c>
      <c r="K520">
        <v>3</v>
      </c>
      <c r="L520">
        <v>8</v>
      </c>
      <c r="M520">
        <v>6</v>
      </c>
      <c r="N520">
        <v>2</v>
      </c>
      <c r="O520">
        <v>0</v>
      </c>
      <c r="Q520" t="str">
        <f t="shared" si="80"/>
        <v>xG Sangat Sedikit</v>
      </c>
      <c r="R520" t="str">
        <f t="shared" si="81"/>
        <v>Possession Cukup Banyak</v>
      </c>
      <c r="S520" t="str">
        <f t="shared" si="82"/>
        <v>Total Pass Cukup Banyak</v>
      </c>
      <c r="T520" t="str">
        <f t="shared" si="83"/>
        <v>Pass Sukses Cukup Banyak</v>
      </c>
      <c r="U520" t="str">
        <f t="shared" si="84"/>
        <v>Total Shot Cukup Sedikit</v>
      </c>
      <c r="V520" t="str">
        <f t="shared" si="87"/>
        <v>Shot on Target Rendah</v>
      </c>
      <c r="W520" t="str">
        <f t="shared" si="88"/>
        <v>Fouls Rendah</v>
      </c>
      <c r="X520" t="str">
        <f t="shared" si="89"/>
        <v>Corner Tinggi</v>
      </c>
      <c r="Y520" t="str">
        <f t="shared" si="85"/>
        <v>Yellow Card Rendah</v>
      </c>
      <c r="Z520" t="str">
        <f t="shared" si="86"/>
        <v>Red Card Rendah</v>
      </c>
    </row>
    <row r="521" spans="1:26" x14ac:dyDescent="0.25">
      <c r="A521" t="s">
        <v>60</v>
      </c>
      <c r="B521">
        <v>0.9</v>
      </c>
      <c r="C521">
        <v>65</v>
      </c>
      <c r="D521">
        <v>538</v>
      </c>
      <c r="E521">
        <v>428</v>
      </c>
      <c r="F521">
        <v>0</v>
      </c>
      <c r="G521" t="s">
        <v>35</v>
      </c>
      <c r="H521">
        <v>0</v>
      </c>
      <c r="I521" t="s">
        <v>35</v>
      </c>
      <c r="J521">
        <v>12</v>
      </c>
      <c r="K521">
        <v>4</v>
      </c>
      <c r="L521">
        <v>8</v>
      </c>
      <c r="M521">
        <v>9</v>
      </c>
      <c r="N521">
        <v>2</v>
      </c>
      <c r="O521">
        <v>0</v>
      </c>
      <c r="Q521" t="str">
        <f t="shared" si="80"/>
        <v>xG Sangat Sedikit</v>
      </c>
      <c r="R521" t="str">
        <f t="shared" si="81"/>
        <v>Possession Sangat Banyak</v>
      </c>
      <c r="S521" t="str">
        <f t="shared" si="82"/>
        <v>Total Pass Cukup Banyak</v>
      </c>
      <c r="T521" t="str">
        <f t="shared" si="83"/>
        <v>Pass Sukses Cukup Sedikit</v>
      </c>
      <c r="U521" t="str">
        <f t="shared" si="84"/>
        <v>Total Shot Cukup Sedikit</v>
      </c>
      <c r="V521" t="str">
        <f t="shared" si="87"/>
        <v>Shot on Target Normal</v>
      </c>
      <c r="W521" t="str">
        <f t="shared" si="88"/>
        <v>Fouls Rendah</v>
      </c>
      <c r="X521" t="str">
        <f t="shared" si="89"/>
        <v>Corner Tinggi</v>
      </c>
      <c r="Y521" t="str">
        <f t="shared" si="85"/>
        <v>Yellow Card Rendah</v>
      </c>
      <c r="Z521" t="str">
        <f t="shared" si="86"/>
        <v>Red Card Rendah</v>
      </c>
    </row>
    <row r="522" spans="1:26" x14ac:dyDescent="0.25">
      <c r="A522" t="s">
        <v>47</v>
      </c>
      <c r="B522">
        <v>0.3</v>
      </c>
      <c r="C522">
        <v>53</v>
      </c>
      <c r="D522">
        <v>524</v>
      </c>
      <c r="E522">
        <v>456</v>
      </c>
      <c r="F522">
        <v>0</v>
      </c>
      <c r="G522" t="s">
        <v>35</v>
      </c>
      <c r="H522">
        <v>0</v>
      </c>
      <c r="I522" t="s">
        <v>35</v>
      </c>
      <c r="J522">
        <v>4</v>
      </c>
      <c r="K522">
        <v>0</v>
      </c>
      <c r="L522">
        <v>15</v>
      </c>
      <c r="M522">
        <v>1</v>
      </c>
      <c r="N522">
        <v>3</v>
      </c>
      <c r="O522">
        <v>0</v>
      </c>
      <c r="Q522" t="str">
        <f t="shared" si="80"/>
        <v>xG Sangat Sedikit</v>
      </c>
      <c r="R522" t="str">
        <f t="shared" si="81"/>
        <v>Possession Cukup Banyak</v>
      </c>
      <c r="S522" t="str">
        <f t="shared" si="82"/>
        <v>Total Pass Cukup Banyak</v>
      </c>
      <c r="T522" t="str">
        <f t="shared" si="83"/>
        <v>Pass Sukses Cukup Banyak</v>
      </c>
      <c r="U522" t="str">
        <f t="shared" si="84"/>
        <v>Total Shot Sangat Sedikit</v>
      </c>
      <c r="V522" t="str">
        <f t="shared" si="87"/>
        <v>Shot on Target Rendah</v>
      </c>
      <c r="W522" t="str">
        <f t="shared" si="88"/>
        <v>Fouls Tinggi</v>
      </c>
      <c r="X522" t="str">
        <f t="shared" si="89"/>
        <v>Corner Rendah</v>
      </c>
      <c r="Y522" t="str">
        <f t="shared" si="85"/>
        <v>Yellow Card Tinggi</v>
      </c>
      <c r="Z522" t="str">
        <f t="shared" si="86"/>
        <v>Red Card Rendah</v>
      </c>
    </row>
    <row r="523" spans="1:26" x14ac:dyDescent="0.25">
      <c r="A523" t="s">
        <v>46</v>
      </c>
      <c r="B523">
        <v>1.5</v>
      </c>
      <c r="C523">
        <v>57</v>
      </c>
      <c r="D523">
        <v>555</v>
      </c>
      <c r="E523">
        <v>462</v>
      </c>
      <c r="F523">
        <v>2</v>
      </c>
      <c r="G523" t="s">
        <v>35</v>
      </c>
      <c r="H523">
        <v>2</v>
      </c>
      <c r="I523" t="s">
        <v>36</v>
      </c>
      <c r="J523">
        <v>16</v>
      </c>
      <c r="K523">
        <v>3</v>
      </c>
      <c r="L523">
        <v>7</v>
      </c>
      <c r="M523">
        <v>4</v>
      </c>
      <c r="N523">
        <v>0</v>
      </c>
      <c r="O523">
        <v>0</v>
      </c>
      <c r="Q523" t="str">
        <f t="shared" si="80"/>
        <v>xG Cukup Sedikit</v>
      </c>
      <c r="R523" t="str">
        <f t="shared" si="81"/>
        <v>Possession Cukup Banyak</v>
      </c>
      <c r="S523" t="str">
        <f t="shared" si="82"/>
        <v>Total Pass Cukup Banyak</v>
      </c>
      <c r="T523" t="str">
        <f t="shared" si="83"/>
        <v>Pass Sukses Cukup Banyak</v>
      </c>
      <c r="U523" t="str">
        <f t="shared" si="84"/>
        <v>Total Shot Cukup Sedikit</v>
      </c>
      <c r="V523" t="str">
        <f t="shared" si="87"/>
        <v>Shot on Target Rendah</v>
      </c>
      <c r="W523" t="str">
        <f t="shared" si="88"/>
        <v>Fouls Rendah</v>
      </c>
      <c r="X523" t="str">
        <f t="shared" si="89"/>
        <v>Corner Rendah</v>
      </c>
      <c r="Y523" t="str">
        <f t="shared" si="85"/>
        <v>Yellow Card Rendah</v>
      </c>
      <c r="Z523" t="str">
        <f t="shared" si="86"/>
        <v>Red Card Rendah</v>
      </c>
    </row>
    <row r="524" spans="1:26" x14ac:dyDescent="0.25">
      <c r="A524" t="s">
        <v>58</v>
      </c>
      <c r="B524">
        <v>1.4</v>
      </c>
      <c r="C524">
        <v>68</v>
      </c>
      <c r="D524">
        <v>762</v>
      </c>
      <c r="E524">
        <v>665</v>
      </c>
      <c r="F524">
        <v>2</v>
      </c>
      <c r="G524" t="s">
        <v>36</v>
      </c>
      <c r="H524">
        <v>1</v>
      </c>
      <c r="I524" t="s">
        <v>36</v>
      </c>
      <c r="J524">
        <v>12</v>
      </c>
      <c r="K524">
        <v>4</v>
      </c>
      <c r="L524">
        <v>10</v>
      </c>
      <c r="M524">
        <v>8</v>
      </c>
      <c r="N524">
        <v>0</v>
      </c>
      <c r="O524">
        <v>1</v>
      </c>
      <c r="Q524" t="str">
        <f t="shared" si="80"/>
        <v>xG Sangat Sedikit</v>
      </c>
      <c r="R524" t="str">
        <f t="shared" si="81"/>
        <v>Possession Sangat Banyak</v>
      </c>
      <c r="S524" t="str">
        <f t="shared" si="82"/>
        <v>Total Pass Sangat Banyak</v>
      </c>
      <c r="T524" t="str">
        <f t="shared" si="83"/>
        <v>Pass Sukses Sangat Banyak</v>
      </c>
      <c r="U524" t="str">
        <f t="shared" si="84"/>
        <v>Total Shot Cukup Sedikit</v>
      </c>
      <c r="V524" t="str">
        <f t="shared" si="87"/>
        <v>Shot on Target Normal</v>
      </c>
      <c r="W524" t="str">
        <f t="shared" si="88"/>
        <v>Fouls Normal</v>
      </c>
      <c r="X524" t="str">
        <f t="shared" si="89"/>
        <v>Corner Tinggi</v>
      </c>
      <c r="Y524" t="str">
        <f t="shared" si="85"/>
        <v>Yellow Card Rendah</v>
      </c>
      <c r="Z524" t="str">
        <f t="shared" si="86"/>
        <v>Red Card Tinggi</v>
      </c>
    </row>
    <row r="525" spans="1:26" x14ac:dyDescent="0.25">
      <c r="A525" t="s">
        <v>48</v>
      </c>
      <c r="B525">
        <v>0.8</v>
      </c>
      <c r="C525">
        <v>29</v>
      </c>
      <c r="D525">
        <v>263</v>
      </c>
      <c r="E525">
        <v>172</v>
      </c>
      <c r="F525">
        <v>3</v>
      </c>
      <c r="G525" t="s">
        <v>40</v>
      </c>
      <c r="H525">
        <v>1</v>
      </c>
      <c r="I525" t="s">
        <v>36</v>
      </c>
      <c r="J525">
        <v>11</v>
      </c>
      <c r="K525">
        <v>3</v>
      </c>
      <c r="L525">
        <v>13</v>
      </c>
      <c r="M525">
        <v>3</v>
      </c>
      <c r="N525">
        <v>2</v>
      </c>
      <c r="O525">
        <v>0</v>
      </c>
      <c r="Q525" t="str">
        <f t="shared" si="80"/>
        <v>xG Sangat Sedikit</v>
      </c>
      <c r="R525" t="str">
        <f t="shared" si="81"/>
        <v>Possession Sangat Sedikit</v>
      </c>
      <c r="S525" t="str">
        <f t="shared" si="82"/>
        <v>Total Pass Sangat Sedikit</v>
      </c>
      <c r="T525" t="str">
        <f t="shared" si="83"/>
        <v>Pass Sukses Sangat Sedikit</v>
      </c>
      <c r="U525" t="str">
        <f t="shared" si="84"/>
        <v>Total Shot Cukup Sedikit</v>
      </c>
      <c r="V525" t="str">
        <f t="shared" si="87"/>
        <v>Shot on Target Rendah</v>
      </c>
      <c r="W525" t="str">
        <f t="shared" si="88"/>
        <v>Fouls Tinggi</v>
      </c>
      <c r="X525" t="str">
        <f t="shared" si="89"/>
        <v>Corner Rendah</v>
      </c>
      <c r="Y525" t="str">
        <f t="shared" si="85"/>
        <v>Yellow Card Rendah</v>
      </c>
      <c r="Z525" t="str">
        <f t="shared" si="86"/>
        <v>Red Card Rendah</v>
      </c>
    </row>
    <row r="526" spans="1:26" x14ac:dyDescent="0.25">
      <c r="A526" t="s">
        <v>42</v>
      </c>
      <c r="B526">
        <v>1.8</v>
      </c>
      <c r="C526">
        <v>66</v>
      </c>
      <c r="D526">
        <v>650</v>
      </c>
      <c r="E526">
        <v>556</v>
      </c>
      <c r="F526">
        <v>1</v>
      </c>
      <c r="G526" t="s">
        <v>36</v>
      </c>
      <c r="H526">
        <v>0</v>
      </c>
      <c r="I526" t="s">
        <v>35</v>
      </c>
      <c r="J526">
        <v>12</v>
      </c>
      <c r="K526">
        <v>4</v>
      </c>
      <c r="L526">
        <v>9</v>
      </c>
      <c r="M526">
        <v>6</v>
      </c>
      <c r="N526">
        <v>2</v>
      </c>
      <c r="O526">
        <v>0</v>
      </c>
      <c r="Q526" t="str">
        <f t="shared" si="80"/>
        <v>xG Cukup Sedikit</v>
      </c>
      <c r="R526" t="str">
        <f t="shared" si="81"/>
        <v>Possession Sangat Banyak</v>
      </c>
      <c r="S526" t="str">
        <f t="shared" si="82"/>
        <v>Total Pass Cukup Banyak</v>
      </c>
      <c r="T526" t="str">
        <f t="shared" si="83"/>
        <v>Pass Sukses Cukup Banyak</v>
      </c>
      <c r="U526" t="str">
        <f t="shared" si="84"/>
        <v>Total Shot Cukup Sedikit</v>
      </c>
      <c r="V526" t="str">
        <f t="shared" si="87"/>
        <v>Shot on Target Normal</v>
      </c>
      <c r="W526" t="str">
        <f t="shared" si="88"/>
        <v>Fouls Normal</v>
      </c>
      <c r="X526" t="str">
        <f t="shared" si="89"/>
        <v>Corner Tinggi</v>
      </c>
      <c r="Y526" t="str">
        <f t="shared" si="85"/>
        <v>Yellow Card Rendah</v>
      </c>
      <c r="Z526" t="str">
        <f t="shared" si="86"/>
        <v>Red Card Rendah</v>
      </c>
    </row>
    <row r="527" spans="1:26" x14ac:dyDescent="0.25">
      <c r="A527" t="s">
        <v>49</v>
      </c>
      <c r="B527">
        <v>3.2</v>
      </c>
      <c r="C527">
        <v>56</v>
      </c>
      <c r="D527">
        <v>488</v>
      </c>
      <c r="E527">
        <v>379</v>
      </c>
      <c r="F527">
        <v>2</v>
      </c>
      <c r="G527" t="s">
        <v>40</v>
      </c>
      <c r="H527">
        <v>0</v>
      </c>
      <c r="I527" t="s">
        <v>35</v>
      </c>
      <c r="J527">
        <v>22</v>
      </c>
      <c r="K527">
        <v>6</v>
      </c>
      <c r="L527">
        <v>13</v>
      </c>
      <c r="M527">
        <v>13</v>
      </c>
      <c r="N527">
        <v>1</v>
      </c>
      <c r="O527">
        <v>0</v>
      </c>
      <c r="Q527" t="str">
        <f t="shared" si="80"/>
        <v>xG Cukup Banyak</v>
      </c>
      <c r="R527" t="str">
        <f t="shared" si="81"/>
        <v>Possession Cukup Banyak</v>
      </c>
      <c r="S527" t="str">
        <f t="shared" si="82"/>
        <v>Total Pass Cukup Sedikit</v>
      </c>
      <c r="T527" t="str">
        <f t="shared" si="83"/>
        <v>Pass Sukses Cukup Sedikit</v>
      </c>
      <c r="U527" t="str">
        <f t="shared" si="84"/>
        <v>Total Shot Cukup Banyak</v>
      </c>
      <c r="V527" t="str">
        <f t="shared" si="87"/>
        <v>Shot on Target Tinggi</v>
      </c>
      <c r="W527" t="str">
        <f t="shared" si="88"/>
        <v>Fouls Tinggi</v>
      </c>
      <c r="X527" t="str">
        <f t="shared" si="89"/>
        <v>Corner Tinggi</v>
      </c>
      <c r="Y527" t="str">
        <f t="shared" si="85"/>
        <v>Yellow Card Rendah</v>
      </c>
      <c r="Z527" t="str">
        <f t="shared" si="86"/>
        <v>Red Card Rendah</v>
      </c>
    </row>
    <row r="528" spans="1:26" x14ac:dyDescent="0.25">
      <c r="A528" t="s">
        <v>45</v>
      </c>
      <c r="B528">
        <v>1.5</v>
      </c>
      <c r="C528">
        <v>44</v>
      </c>
      <c r="D528">
        <v>457</v>
      </c>
      <c r="E528">
        <v>381</v>
      </c>
      <c r="F528">
        <v>2</v>
      </c>
      <c r="G528" t="s">
        <v>36</v>
      </c>
      <c r="H528">
        <v>1</v>
      </c>
      <c r="I528" t="s">
        <v>40</v>
      </c>
      <c r="J528">
        <v>16</v>
      </c>
      <c r="K528">
        <v>7</v>
      </c>
      <c r="L528">
        <v>10</v>
      </c>
      <c r="M528">
        <v>5</v>
      </c>
      <c r="N528">
        <v>2</v>
      </c>
      <c r="O528">
        <v>0</v>
      </c>
      <c r="Q528" t="str">
        <f t="shared" si="80"/>
        <v>xG Cukup Sedikit</v>
      </c>
      <c r="R528" t="str">
        <f t="shared" si="81"/>
        <v>Possession Cukup Sedikit</v>
      </c>
      <c r="S528" t="str">
        <f t="shared" si="82"/>
        <v>Total Pass Cukup Sedikit</v>
      </c>
      <c r="T528" t="str">
        <f t="shared" si="83"/>
        <v>Pass Sukses Cukup Sedikit</v>
      </c>
      <c r="U528" t="str">
        <f t="shared" si="84"/>
        <v>Total Shot Cukup Sedikit</v>
      </c>
      <c r="V528" t="str">
        <f t="shared" si="87"/>
        <v>Shot on Target Tinggi</v>
      </c>
      <c r="W528" t="str">
        <f t="shared" si="88"/>
        <v>Fouls Normal</v>
      </c>
      <c r="X528" t="str">
        <f t="shared" si="89"/>
        <v>Corner Normal</v>
      </c>
      <c r="Y528" t="str">
        <f t="shared" si="85"/>
        <v>Yellow Card Rendah</v>
      </c>
      <c r="Z528" t="str">
        <f t="shared" si="86"/>
        <v>Red Card Rendah</v>
      </c>
    </row>
    <row r="529" spans="1:26" x14ac:dyDescent="0.25">
      <c r="A529" t="s">
        <v>57</v>
      </c>
      <c r="B529">
        <v>2.8</v>
      </c>
      <c r="C529">
        <v>61</v>
      </c>
      <c r="D529">
        <v>556</v>
      </c>
      <c r="E529">
        <v>471</v>
      </c>
      <c r="F529">
        <v>4</v>
      </c>
      <c r="G529" t="s">
        <v>40</v>
      </c>
      <c r="H529">
        <v>1</v>
      </c>
      <c r="I529" t="s">
        <v>35</v>
      </c>
      <c r="J529">
        <v>17</v>
      </c>
      <c r="K529">
        <v>8</v>
      </c>
      <c r="L529">
        <v>11</v>
      </c>
      <c r="M529">
        <v>10</v>
      </c>
      <c r="N529">
        <v>2</v>
      </c>
      <c r="O529">
        <v>0</v>
      </c>
      <c r="Q529" t="str">
        <f t="shared" si="80"/>
        <v>xG Cukup Sedikit</v>
      </c>
      <c r="R529" t="str">
        <f t="shared" si="81"/>
        <v>Possession Cukup Banyak</v>
      </c>
      <c r="S529" t="str">
        <f t="shared" si="82"/>
        <v>Total Pass Cukup Banyak</v>
      </c>
      <c r="T529" t="str">
        <f t="shared" si="83"/>
        <v>Pass Sukses Cukup Banyak</v>
      </c>
      <c r="U529" t="str">
        <f t="shared" si="84"/>
        <v>Total Shot Cukup Sedikit</v>
      </c>
      <c r="V529" t="str">
        <f t="shared" si="87"/>
        <v>Shot on Target Tinggi</v>
      </c>
      <c r="W529" t="str">
        <f t="shared" si="88"/>
        <v>Fouls Normal</v>
      </c>
      <c r="X529" t="str">
        <f t="shared" si="89"/>
        <v>Corner Tinggi</v>
      </c>
      <c r="Y529" t="str">
        <f t="shared" si="85"/>
        <v>Yellow Card Rendah</v>
      </c>
      <c r="Z529" t="str">
        <f t="shared" si="86"/>
        <v>Red Card Rendah</v>
      </c>
    </row>
    <row r="530" spans="1:26" x14ac:dyDescent="0.25">
      <c r="A530" t="s">
        <v>43</v>
      </c>
      <c r="B530">
        <v>1.4</v>
      </c>
      <c r="C530">
        <v>46</v>
      </c>
      <c r="D530">
        <v>409</v>
      </c>
      <c r="E530">
        <v>311</v>
      </c>
      <c r="F530">
        <v>1</v>
      </c>
      <c r="G530" t="s">
        <v>35</v>
      </c>
      <c r="H530">
        <v>0</v>
      </c>
      <c r="I530" t="s">
        <v>36</v>
      </c>
      <c r="J530">
        <v>19</v>
      </c>
      <c r="K530">
        <v>5</v>
      </c>
      <c r="L530">
        <v>17</v>
      </c>
      <c r="M530">
        <v>0</v>
      </c>
      <c r="N530">
        <v>4</v>
      </c>
      <c r="O530">
        <v>0</v>
      </c>
      <c r="Q530" t="str">
        <f t="shared" si="80"/>
        <v>xG Sangat Sedikit</v>
      </c>
      <c r="R530" t="str">
        <f t="shared" si="81"/>
        <v>Possession Cukup Sedikit</v>
      </c>
      <c r="S530" t="str">
        <f t="shared" si="82"/>
        <v>Total Pass Cukup Sedikit</v>
      </c>
      <c r="T530" t="str">
        <f t="shared" si="83"/>
        <v>Pass Sukses Cukup Sedikit</v>
      </c>
      <c r="U530" t="str">
        <f t="shared" si="84"/>
        <v>Total Shot Cukup Sedikit</v>
      </c>
      <c r="V530" t="str">
        <f t="shared" si="87"/>
        <v>Shot on Target Tinggi</v>
      </c>
      <c r="W530" t="str">
        <f t="shared" si="88"/>
        <v>Fouls Tinggi</v>
      </c>
      <c r="X530" t="str">
        <f t="shared" si="89"/>
        <v>Corner Rendah</v>
      </c>
      <c r="Y530" t="str">
        <f t="shared" si="85"/>
        <v>Yellow Card Tinggi</v>
      </c>
      <c r="Z530" t="str">
        <f t="shared" si="86"/>
        <v>Red Card Rendah</v>
      </c>
    </row>
    <row r="531" spans="1:26" x14ac:dyDescent="0.25">
      <c r="A531" t="s">
        <v>44</v>
      </c>
      <c r="B531">
        <v>0.1</v>
      </c>
      <c r="C531">
        <v>24</v>
      </c>
      <c r="D531">
        <v>239</v>
      </c>
      <c r="E531">
        <v>162</v>
      </c>
      <c r="F531">
        <v>0</v>
      </c>
      <c r="G531" t="s">
        <v>36</v>
      </c>
      <c r="H531">
        <v>0</v>
      </c>
      <c r="I531" t="s">
        <v>36</v>
      </c>
      <c r="J531">
        <v>2</v>
      </c>
      <c r="K531">
        <v>0</v>
      </c>
      <c r="L531">
        <v>9</v>
      </c>
      <c r="M531">
        <v>2</v>
      </c>
      <c r="N531">
        <v>3</v>
      </c>
      <c r="O531">
        <v>0</v>
      </c>
      <c r="Q531" t="str">
        <f t="shared" si="80"/>
        <v>xG Sangat Sedikit</v>
      </c>
      <c r="R531" t="str">
        <f t="shared" si="81"/>
        <v>Possession Sangat Sedikit</v>
      </c>
      <c r="S531" t="str">
        <f t="shared" si="82"/>
        <v>Total Pass Sangat Sedikit</v>
      </c>
      <c r="T531" t="str">
        <f t="shared" si="83"/>
        <v>Pass Sukses Sangat Sedikit</v>
      </c>
      <c r="U531" t="str">
        <f t="shared" si="84"/>
        <v>Total Shot Sangat Sedikit</v>
      </c>
      <c r="V531" t="str">
        <f t="shared" si="87"/>
        <v>Shot on Target Rendah</v>
      </c>
      <c r="W531" t="str">
        <f t="shared" si="88"/>
        <v>Fouls Normal</v>
      </c>
      <c r="X531" t="str">
        <f t="shared" si="89"/>
        <v>Corner Rendah</v>
      </c>
      <c r="Y531" t="str">
        <f t="shared" si="85"/>
        <v>Yellow Card Tinggi</v>
      </c>
      <c r="Z531" t="str">
        <f t="shared" si="86"/>
        <v>Red Card Rendah</v>
      </c>
    </row>
    <row r="532" spans="1:26" x14ac:dyDescent="0.25">
      <c r="A532" t="s">
        <v>34</v>
      </c>
      <c r="B532">
        <v>1.2</v>
      </c>
      <c r="C532">
        <v>39</v>
      </c>
      <c r="D532">
        <v>371</v>
      </c>
      <c r="E532">
        <v>295</v>
      </c>
      <c r="F532">
        <v>2</v>
      </c>
      <c r="G532" t="s">
        <v>36</v>
      </c>
      <c r="H532">
        <v>1</v>
      </c>
      <c r="I532" t="s">
        <v>40</v>
      </c>
      <c r="J532">
        <v>12</v>
      </c>
      <c r="K532">
        <v>3</v>
      </c>
      <c r="L532">
        <v>7</v>
      </c>
      <c r="M532">
        <v>4</v>
      </c>
      <c r="N532">
        <v>4</v>
      </c>
      <c r="O532">
        <v>0</v>
      </c>
      <c r="Q532" t="str">
        <f t="shared" si="80"/>
        <v>xG Sangat Sedikit</v>
      </c>
      <c r="R532" t="str">
        <f t="shared" si="81"/>
        <v>Possession Cukup Sedikit</v>
      </c>
      <c r="S532" t="str">
        <f t="shared" si="82"/>
        <v>Total Pass Cukup Sedikit</v>
      </c>
      <c r="T532" t="str">
        <f t="shared" si="83"/>
        <v>Pass Sukses Cukup Sedikit</v>
      </c>
      <c r="U532" t="str">
        <f t="shared" si="84"/>
        <v>Total Shot Cukup Sedikit</v>
      </c>
      <c r="V532" t="str">
        <f t="shared" si="87"/>
        <v>Shot on Target Rendah</v>
      </c>
      <c r="W532" t="str">
        <f t="shared" si="88"/>
        <v>Fouls Rendah</v>
      </c>
      <c r="X532" t="str">
        <f t="shared" si="89"/>
        <v>Corner Rendah</v>
      </c>
      <c r="Y532" t="str">
        <f t="shared" si="85"/>
        <v>Yellow Card Tinggi</v>
      </c>
      <c r="Z532" t="str">
        <f t="shared" si="86"/>
        <v>Red Card Rendah</v>
      </c>
    </row>
    <row r="533" spans="1:26" x14ac:dyDescent="0.25">
      <c r="A533" t="s">
        <v>59</v>
      </c>
      <c r="B533">
        <v>0.2</v>
      </c>
      <c r="C533">
        <v>41</v>
      </c>
      <c r="D533">
        <v>466</v>
      </c>
      <c r="E533">
        <v>361</v>
      </c>
      <c r="F533">
        <v>0</v>
      </c>
      <c r="G533" t="s">
        <v>35</v>
      </c>
      <c r="H533">
        <v>0</v>
      </c>
      <c r="I533" t="s">
        <v>35</v>
      </c>
      <c r="J533">
        <v>4</v>
      </c>
      <c r="K533">
        <v>1</v>
      </c>
      <c r="L533">
        <v>16</v>
      </c>
      <c r="M533">
        <v>2</v>
      </c>
      <c r="N533">
        <v>3</v>
      </c>
      <c r="O533">
        <v>0</v>
      </c>
      <c r="Q533" t="str">
        <f t="shared" si="80"/>
        <v>xG Sangat Sedikit</v>
      </c>
      <c r="R533" t="str">
        <f t="shared" si="81"/>
        <v>Possession Cukup Sedikit</v>
      </c>
      <c r="S533" t="str">
        <f t="shared" si="82"/>
        <v>Total Pass Cukup Sedikit</v>
      </c>
      <c r="T533" t="str">
        <f t="shared" si="83"/>
        <v>Pass Sukses Cukup Sedikit</v>
      </c>
      <c r="U533" t="str">
        <f t="shared" si="84"/>
        <v>Total Shot Sangat Sedikit</v>
      </c>
      <c r="V533" t="str">
        <f t="shared" si="87"/>
        <v>Shot on Target Rendah</v>
      </c>
      <c r="W533" t="str">
        <f t="shared" si="88"/>
        <v>Fouls Tinggi</v>
      </c>
      <c r="X533" t="str">
        <f t="shared" si="89"/>
        <v>Corner Rendah</v>
      </c>
      <c r="Y533" t="str">
        <f t="shared" si="85"/>
        <v>Yellow Card Tinggi</v>
      </c>
      <c r="Z533" t="str">
        <f t="shared" si="86"/>
        <v>Red Card Rendah</v>
      </c>
    </row>
    <row r="534" spans="1:26" x14ac:dyDescent="0.25">
      <c r="A534" t="s">
        <v>38</v>
      </c>
      <c r="B534">
        <v>1.1000000000000001</v>
      </c>
      <c r="C534">
        <v>46</v>
      </c>
      <c r="D534">
        <v>460</v>
      </c>
      <c r="E534">
        <v>371</v>
      </c>
      <c r="F534">
        <v>2</v>
      </c>
      <c r="G534" t="s">
        <v>40</v>
      </c>
      <c r="H534">
        <v>1</v>
      </c>
      <c r="I534" t="s">
        <v>40</v>
      </c>
      <c r="J534">
        <v>10</v>
      </c>
      <c r="K534">
        <v>5</v>
      </c>
      <c r="L534">
        <v>9</v>
      </c>
      <c r="M534">
        <v>3</v>
      </c>
      <c r="N534">
        <v>2</v>
      </c>
      <c r="O534">
        <v>0</v>
      </c>
      <c r="Q534" t="str">
        <f t="shared" si="80"/>
        <v>xG Sangat Sedikit</v>
      </c>
      <c r="R534" t="str">
        <f t="shared" si="81"/>
        <v>Possession Cukup Sedikit</v>
      </c>
      <c r="S534" t="str">
        <f t="shared" si="82"/>
        <v>Total Pass Cukup Sedikit</v>
      </c>
      <c r="T534" t="str">
        <f t="shared" si="83"/>
        <v>Pass Sukses Cukup Sedikit</v>
      </c>
      <c r="U534" t="str">
        <f t="shared" si="84"/>
        <v>Total Shot Sangat Sedikit</v>
      </c>
      <c r="V534" t="str">
        <f t="shared" si="87"/>
        <v>Shot on Target Tinggi</v>
      </c>
      <c r="W534" t="str">
        <f t="shared" si="88"/>
        <v>Fouls Normal</v>
      </c>
      <c r="X534" t="str">
        <f t="shared" si="89"/>
        <v>Corner Rendah</v>
      </c>
      <c r="Y534" t="str">
        <f t="shared" si="85"/>
        <v>Yellow Card Rendah</v>
      </c>
      <c r="Z534" t="str">
        <f t="shared" si="86"/>
        <v>Red Card Rendah</v>
      </c>
    </row>
    <row r="535" spans="1:26" x14ac:dyDescent="0.25">
      <c r="A535" t="s">
        <v>52</v>
      </c>
      <c r="B535">
        <v>0.4</v>
      </c>
      <c r="C535">
        <v>50</v>
      </c>
      <c r="D535">
        <v>501</v>
      </c>
      <c r="E535">
        <v>431</v>
      </c>
      <c r="F535">
        <v>1</v>
      </c>
      <c r="G535" t="s">
        <v>35</v>
      </c>
      <c r="H535">
        <v>0</v>
      </c>
      <c r="I535" t="s">
        <v>36</v>
      </c>
      <c r="J535">
        <v>8</v>
      </c>
      <c r="K535">
        <v>2</v>
      </c>
      <c r="L535">
        <v>6</v>
      </c>
      <c r="M535">
        <v>3</v>
      </c>
      <c r="N535">
        <v>1</v>
      </c>
      <c r="O535">
        <v>0</v>
      </c>
      <c r="Q535" t="str">
        <f t="shared" si="80"/>
        <v>xG Sangat Sedikit</v>
      </c>
      <c r="R535" t="str">
        <f t="shared" si="81"/>
        <v>Possession Cukup Sedikit</v>
      </c>
      <c r="S535" t="str">
        <f t="shared" si="82"/>
        <v>Total Pass Cukup Sedikit</v>
      </c>
      <c r="T535" t="str">
        <f t="shared" si="83"/>
        <v>Pass Sukses Cukup Sedikit</v>
      </c>
      <c r="U535" t="str">
        <f t="shared" si="84"/>
        <v>Total Shot Sangat Sedikit</v>
      </c>
      <c r="V535" t="str">
        <f t="shared" si="87"/>
        <v>Shot on Target Rendah</v>
      </c>
      <c r="W535" t="str">
        <f t="shared" si="88"/>
        <v>Fouls Rendah</v>
      </c>
      <c r="X535" t="str">
        <f t="shared" si="89"/>
        <v>Corner Rendah</v>
      </c>
      <c r="Y535" t="str">
        <f t="shared" si="85"/>
        <v>Yellow Card Rendah</v>
      </c>
      <c r="Z535" t="str">
        <f t="shared" si="86"/>
        <v>Red Card Rendah</v>
      </c>
    </row>
    <row r="536" spans="1:26" x14ac:dyDescent="0.25">
      <c r="A536" t="s">
        <v>55</v>
      </c>
      <c r="B536">
        <v>2.2000000000000002</v>
      </c>
      <c r="C536">
        <v>36</v>
      </c>
      <c r="D536">
        <v>339</v>
      </c>
      <c r="E536">
        <v>247</v>
      </c>
      <c r="F536">
        <v>3</v>
      </c>
      <c r="G536" t="s">
        <v>40</v>
      </c>
      <c r="H536">
        <v>2</v>
      </c>
      <c r="I536" t="s">
        <v>40</v>
      </c>
      <c r="J536">
        <v>13</v>
      </c>
      <c r="K536">
        <v>5</v>
      </c>
      <c r="L536">
        <v>15</v>
      </c>
      <c r="M536">
        <v>5</v>
      </c>
      <c r="N536">
        <v>4</v>
      </c>
      <c r="O536">
        <v>0</v>
      </c>
      <c r="Q536" t="str">
        <f t="shared" si="80"/>
        <v>xG Cukup Sedikit</v>
      </c>
      <c r="R536" t="str">
        <f t="shared" si="81"/>
        <v>Possession Sangat Sedikit</v>
      </c>
      <c r="S536" t="str">
        <f t="shared" si="82"/>
        <v>Total Pass Sangat Sedikit</v>
      </c>
      <c r="T536" t="str">
        <f t="shared" si="83"/>
        <v>Pass Sukses Sangat Sedikit</v>
      </c>
      <c r="U536" t="str">
        <f t="shared" si="84"/>
        <v>Total Shot Cukup Sedikit</v>
      </c>
      <c r="V536" t="str">
        <f t="shared" si="87"/>
        <v>Shot on Target Tinggi</v>
      </c>
      <c r="W536" t="str">
        <f t="shared" si="88"/>
        <v>Fouls Tinggi</v>
      </c>
      <c r="X536" t="str">
        <f t="shared" si="89"/>
        <v>Corner Normal</v>
      </c>
      <c r="Y536" t="str">
        <f t="shared" si="85"/>
        <v>Yellow Card Tinggi</v>
      </c>
      <c r="Z536" t="str">
        <f t="shared" si="86"/>
        <v>Red Card Rendah</v>
      </c>
    </row>
    <row r="537" spans="1:26" x14ac:dyDescent="0.25">
      <c r="A537" t="s">
        <v>33</v>
      </c>
      <c r="B537">
        <v>2.1</v>
      </c>
      <c r="C537">
        <v>48</v>
      </c>
      <c r="D537">
        <v>499</v>
      </c>
      <c r="E537">
        <v>431</v>
      </c>
      <c r="F537">
        <v>2</v>
      </c>
      <c r="G537" t="s">
        <v>40</v>
      </c>
      <c r="H537">
        <v>0</v>
      </c>
      <c r="I537" t="s">
        <v>35</v>
      </c>
      <c r="J537">
        <v>10</v>
      </c>
      <c r="K537">
        <v>3</v>
      </c>
      <c r="L537">
        <v>14</v>
      </c>
      <c r="M537">
        <v>2</v>
      </c>
      <c r="N537">
        <v>1</v>
      </c>
      <c r="O537">
        <v>0</v>
      </c>
      <c r="Q537" t="str">
        <f t="shared" si="80"/>
        <v>xG Cukup Sedikit</v>
      </c>
      <c r="R537" t="str">
        <f t="shared" si="81"/>
        <v>Possession Cukup Sedikit</v>
      </c>
      <c r="S537" t="str">
        <f t="shared" si="82"/>
        <v>Total Pass Cukup Sedikit</v>
      </c>
      <c r="T537" t="str">
        <f t="shared" si="83"/>
        <v>Pass Sukses Cukup Sedikit</v>
      </c>
      <c r="U537" t="str">
        <f t="shared" si="84"/>
        <v>Total Shot Sangat Sedikit</v>
      </c>
      <c r="V537" t="str">
        <f t="shared" si="87"/>
        <v>Shot on Target Rendah</v>
      </c>
      <c r="W537" t="str">
        <f t="shared" si="88"/>
        <v>Fouls Tinggi</v>
      </c>
      <c r="X537" t="str">
        <f t="shared" si="89"/>
        <v>Corner Rendah</v>
      </c>
      <c r="Y537" t="str">
        <f t="shared" si="85"/>
        <v>Yellow Card Rendah</v>
      </c>
      <c r="Z537" t="str">
        <f t="shared" si="86"/>
        <v>Red Card Rendah</v>
      </c>
    </row>
    <row r="538" spans="1:26" x14ac:dyDescent="0.25">
      <c r="A538" t="s">
        <v>54</v>
      </c>
      <c r="B538">
        <v>1.6</v>
      </c>
      <c r="C538">
        <v>38</v>
      </c>
      <c r="D538">
        <v>363</v>
      </c>
      <c r="E538">
        <v>263</v>
      </c>
      <c r="F538">
        <v>1</v>
      </c>
      <c r="G538" t="s">
        <v>35</v>
      </c>
      <c r="H538">
        <v>0</v>
      </c>
      <c r="I538" t="s">
        <v>35</v>
      </c>
      <c r="J538">
        <v>9</v>
      </c>
      <c r="K538">
        <v>4</v>
      </c>
      <c r="L538">
        <v>7</v>
      </c>
      <c r="M538">
        <v>5</v>
      </c>
      <c r="N538">
        <v>2</v>
      </c>
      <c r="O538">
        <v>0</v>
      </c>
      <c r="Q538" t="str">
        <f t="shared" si="80"/>
        <v>xG Cukup Sedikit</v>
      </c>
      <c r="R538" t="str">
        <f t="shared" si="81"/>
        <v>Possession Cukup Sedikit</v>
      </c>
      <c r="S538" t="str">
        <f t="shared" si="82"/>
        <v>Total Pass Cukup Sedikit</v>
      </c>
      <c r="T538" t="str">
        <f t="shared" si="83"/>
        <v>Pass Sukses Sangat Sedikit</v>
      </c>
      <c r="U538" t="str">
        <f t="shared" si="84"/>
        <v>Total Shot Sangat Sedikit</v>
      </c>
      <c r="V538" t="str">
        <f t="shared" si="87"/>
        <v>Shot on Target Normal</v>
      </c>
      <c r="W538" t="str">
        <f t="shared" si="88"/>
        <v>Fouls Rendah</v>
      </c>
      <c r="X538" t="str">
        <f t="shared" si="89"/>
        <v>Corner Normal</v>
      </c>
      <c r="Y538" t="str">
        <f t="shared" si="85"/>
        <v>Yellow Card Rendah</v>
      </c>
      <c r="Z538" t="str">
        <f t="shared" si="86"/>
        <v>Red Card Rendah</v>
      </c>
    </row>
    <row r="539" spans="1:26" x14ac:dyDescent="0.25">
      <c r="A539" t="s">
        <v>60</v>
      </c>
      <c r="B539">
        <v>2.2999999999999998</v>
      </c>
      <c r="C539">
        <v>58</v>
      </c>
      <c r="D539">
        <v>632</v>
      </c>
      <c r="E539">
        <v>566</v>
      </c>
      <c r="F539">
        <v>5</v>
      </c>
      <c r="G539" t="s">
        <v>40</v>
      </c>
      <c r="H539">
        <v>5</v>
      </c>
      <c r="I539" t="s">
        <v>40</v>
      </c>
      <c r="J539">
        <v>18</v>
      </c>
      <c r="K539">
        <v>9</v>
      </c>
      <c r="L539">
        <v>15</v>
      </c>
      <c r="M539">
        <v>5</v>
      </c>
      <c r="N539">
        <v>3</v>
      </c>
      <c r="O539">
        <v>0</v>
      </c>
      <c r="Q539" t="str">
        <f t="shared" si="80"/>
        <v>xG Cukup Sedikit</v>
      </c>
      <c r="R539" t="str">
        <f t="shared" si="81"/>
        <v>Possession Cukup Banyak</v>
      </c>
      <c r="S539" t="str">
        <f t="shared" si="82"/>
        <v>Total Pass Cukup Banyak</v>
      </c>
      <c r="T539" t="str">
        <f t="shared" si="83"/>
        <v>Pass Sukses Cukup Banyak</v>
      </c>
      <c r="U539" t="str">
        <f t="shared" si="84"/>
        <v>Total Shot Cukup Sedikit</v>
      </c>
      <c r="V539" t="str">
        <f t="shared" si="87"/>
        <v>Shot on Target Tinggi</v>
      </c>
      <c r="W539" t="str">
        <f t="shared" si="88"/>
        <v>Fouls Tinggi</v>
      </c>
      <c r="X539" t="str">
        <f t="shared" si="89"/>
        <v>Corner Normal</v>
      </c>
      <c r="Y539" t="str">
        <f t="shared" si="85"/>
        <v>Yellow Card Tinggi</v>
      </c>
      <c r="Z539" t="str">
        <f t="shared" si="86"/>
        <v>Red Card Rendah</v>
      </c>
    </row>
    <row r="540" spans="1:26" x14ac:dyDescent="0.25">
      <c r="A540" t="s">
        <v>51</v>
      </c>
      <c r="B540">
        <v>2.1</v>
      </c>
      <c r="C540">
        <v>48</v>
      </c>
      <c r="D540">
        <v>461</v>
      </c>
      <c r="E540">
        <v>326</v>
      </c>
      <c r="F540">
        <v>1</v>
      </c>
      <c r="G540" t="s">
        <v>36</v>
      </c>
      <c r="H540">
        <v>0</v>
      </c>
      <c r="I540" t="s">
        <v>36</v>
      </c>
      <c r="J540">
        <v>16</v>
      </c>
      <c r="K540">
        <v>3</v>
      </c>
      <c r="L540">
        <v>11</v>
      </c>
      <c r="M540">
        <v>6</v>
      </c>
      <c r="N540">
        <v>2</v>
      </c>
      <c r="O540">
        <v>0</v>
      </c>
      <c r="Q540" t="str">
        <f t="shared" si="80"/>
        <v>xG Cukup Sedikit</v>
      </c>
      <c r="R540" t="str">
        <f t="shared" si="81"/>
        <v>Possession Cukup Sedikit</v>
      </c>
      <c r="S540" t="str">
        <f t="shared" si="82"/>
        <v>Total Pass Cukup Sedikit</v>
      </c>
      <c r="T540" t="str">
        <f t="shared" si="83"/>
        <v>Pass Sukses Cukup Sedikit</v>
      </c>
      <c r="U540" t="str">
        <f t="shared" si="84"/>
        <v>Total Shot Cukup Sedikit</v>
      </c>
      <c r="V540" t="str">
        <f t="shared" si="87"/>
        <v>Shot on Target Rendah</v>
      </c>
      <c r="W540" t="str">
        <f t="shared" si="88"/>
        <v>Fouls Normal</v>
      </c>
      <c r="X540" t="str">
        <f t="shared" si="89"/>
        <v>Corner Tinggi</v>
      </c>
      <c r="Y540" t="str">
        <f t="shared" si="85"/>
        <v>Yellow Card Rendah</v>
      </c>
      <c r="Z540" t="str">
        <f t="shared" si="86"/>
        <v>Red Card Rendah</v>
      </c>
    </row>
    <row r="541" spans="1:26" x14ac:dyDescent="0.25">
      <c r="A541" t="s">
        <v>58</v>
      </c>
      <c r="B541">
        <v>1</v>
      </c>
      <c r="C541">
        <v>56</v>
      </c>
      <c r="D541">
        <v>566</v>
      </c>
      <c r="E541">
        <v>513</v>
      </c>
      <c r="F541">
        <v>1</v>
      </c>
      <c r="G541" t="s">
        <v>35</v>
      </c>
      <c r="H541">
        <v>0</v>
      </c>
      <c r="I541" t="s">
        <v>35</v>
      </c>
      <c r="J541">
        <v>12</v>
      </c>
      <c r="K541">
        <v>6</v>
      </c>
      <c r="L541">
        <v>7</v>
      </c>
      <c r="M541">
        <v>4</v>
      </c>
      <c r="N541">
        <v>3</v>
      </c>
      <c r="O541">
        <v>0</v>
      </c>
      <c r="Q541" t="str">
        <f t="shared" si="80"/>
        <v>xG Sangat Sedikit</v>
      </c>
      <c r="R541" t="str">
        <f t="shared" si="81"/>
        <v>Possession Cukup Banyak</v>
      </c>
      <c r="S541" t="str">
        <f t="shared" si="82"/>
        <v>Total Pass Cukup Banyak</v>
      </c>
      <c r="T541" t="str">
        <f t="shared" si="83"/>
        <v>Pass Sukses Cukup Banyak</v>
      </c>
      <c r="U541" t="str">
        <f t="shared" si="84"/>
        <v>Total Shot Cukup Sedikit</v>
      </c>
      <c r="V541" t="str">
        <f t="shared" si="87"/>
        <v>Shot on Target Tinggi</v>
      </c>
      <c r="W541" t="str">
        <f t="shared" si="88"/>
        <v>Fouls Rendah</v>
      </c>
      <c r="X541" t="str">
        <f t="shared" si="89"/>
        <v>Corner Rendah</v>
      </c>
      <c r="Y541" t="str">
        <f t="shared" si="85"/>
        <v>Yellow Card Tinggi</v>
      </c>
      <c r="Z541" t="str">
        <f t="shared" si="86"/>
        <v>Red Card Rendah</v>
      </c>
    </row>
    <row r="542" spans="1:26" x14ac:dyDescent="0.25">
      <c r="A542" t="s">
        <v>48</v>
      </c>
      <c r="B542">
        <v>0.9</v>
      </c>
      <c r="C542">
        <v>36</v>
      </c>
      <c r="D542">
        <v>336</v>
      </c>
      <c r="E542">
        <v>245</v>
      </c>
      <c r="F542">
        <v>2</v>
      </c>
      <c r="G542" t="s">
        <v>40</v>
      </c>
      <c r="H542">
        <v>1</v>
      </c>
      <c r="I542" t="s">
        <v>40</v>
      </c>
      <c r="J542">
        <v>10</v>
      </c>
      <c r="K542">
        <v>6</v>
      </c>
      <c r="L542">
        <v>14</v>
      </c>
      <c r="M542">
        <v>5</v>
      </c>
      <c r="N542">
        <v>4</v>
      </c>
      <c r="O542">
        <v>0</v>
      </c>
      <c r="Q542" t="str">
        <f t="shared" si="80"/>
        <v>xG Sangat Sedikit</v>
      </c>
      <c r="R542" t="str">
        <f t="shared" si="81"/>
        <v>Possession Sangat Sedikit</v>
      </c>
      <c r="S542" t="str">
        <f t="shared" si="82"/>
        <v>Total Pass Sangat Sedikit</v>
      </c>
      <c r="T542" t="str">
        <f t="shared" si="83"/>
        <v>Pass Sukses Sangat Sedikit</v>
      </c>
      <c r="U542" t="str">
        <f t="shared" si="84"/>
        <v>Total Shot Sangat Sedikit</v>
      </c>
      <c r="V542" t="str">
        <f t="shared" si="87"/>
        <v>Shot on Target Tinggi</v>
      </c>
      <c r="W542" t="str">
        <f t="shared" si="88"/>
        <v>Fouls Tinggi</v>
      </c>
      <c r="X542" t="str">
        <f t="shared" si="89"/>
        <v>Corner Normal</v>
      </c>
      <c r="Y542" t="str">
        <f t="shared" si="85"/>
        <v>Yellow Card Tinggi</v>
      </c>
      <c r="Z542" t="str">
        <f t="shared" si="86"/>
        <v>Red Card Rendah</v>
      </c>
    </row>
    <row r="543" spans="1:26" x14ac:dyDescent="0.25">
      <c r="A543" t="s">
        <v>46</v>
      </c>
      <c r="B543">
        <v>2.2999999999999998</v>
      </c>
      <c r="C543">
        <v>58</v>
      </c>
      <c r="D543">
        <v>649</v>
      </c>
      <c r="E543">
        <v>564</v>
      </c>
      <c r="F543">
        <v>4</v>
      </c>
      <c r="G543" t="s">
        <v>40</v>
      </c>
      <c r="H543">
        <v>3</v>
      </c>
      <c r="I543" t="s">
        <v>40</v>
      </c>
      <c r="J543">
        <v>15</v>
      </c>
      <c r="K543">
        <v>7</v>
      </c>
      <c r="L543">
        <v>7</v>
      </c>
      <c r="M543">
        <v>1</v>
      </c>
      <c r="N543">
        <v>0</v>
      </c>
      <c r="O543">
        <v>0</v>
      </c>
      <c r="Q543" t="str">
        <f t="shared" si="80"/>
        <v>xG Cukup Sedikit</v>
      </c>
      <c r="R543" t="str">
        <f t="shared" si="81"/>
        <v>Possession Cukup Banyak</v>
      </c>
      <c r="S543" t="str">
        <f t="shared" si="82"/>
        <v>Total Pass Cukup Banyak</v>
      </c>
      <c r="T543" t="str">
        <f t="shared" si="83"/>
        <v>Pass Sukses Cukup Banyak</v>
      </c>
      <c r="U543" t="str">
        <f t="shared" si="84"/>
        <v>Total Shot Cukup Sedikit</v>
      </c>
      <c r="V543" t="str">
        <f t="shared" si="87"/>
        <v>Shot on Target Tinggi</v>
      </c>
      <c r="W543" t="str">
        <f t="shared" si="88"/>
        <v>Fouls Rendah</v>
      </c>
      <c r="X543" t="str">
        <f t="shared" si="89"/>
        <v>Corner Rendah</v>
      </c>
      <c r="Y543" t="str">
        <f t="shared" si="85"/>
        <v>Yellow Card Rendah</v>
      </c>
      <c r="Z543" t="str">
        <f t="shared" si="86"/>
        <v>Red Card Rendah</v>
      </c>
    </row>
    <row r="544" spans="1:26" x14ac:dyDescent="0.25">
      <c r="A544" t="s">
        <v>45</v>
      </c>
      <c r="B544">
        <v>0.9</v>
      </c>
      <c r="C544">
        <v>53</v>
      </c>
      <c r="D544">
        <v>478</v>
      </c>
      <c r="E544">
        <v>393</v>
      </c>
      <c r="F544">
        <v>1</v>
      </c>
      <c r="G544" t="s">
        <v>36</v>
      </c>
      <c r="H544">
        <v>0</v>
      </c>
      <c r="I544" t="s">
        <v>36</v>
      </c>
      <c r="J544">
        <v>12</v>
      </c>
      <c r="K544">
        <v>6</v>
      </c>
      <c r="L544">
        <v>20</v>
      </c>
      <c r="M544">
        <v>4</v>
      </c>
      <c r="N544">
        <v>2</v>
      </c>
      <c r="O544">
        <v>0</v>
      </c>
      <c r="Q544" t="str">
        <f t="shared" si="80"/>
        <v>xG Sangat Sedikit</v>
      </c>
      <c r="R544" t="str">
        <f t="shared" si="81"/>
        <v>Possession Cukup Banyak</v>
      </c>
      <c r="S544" t="str">
        <f t="shared" si="82"/>
        <v>Total Pass Cukup Sedikit</v>
      </c>
      <c r="T544" t="str">
        <f t="shared" si="83"/>
        <v>Pass Sukses Cukup Sedikit</v>
      </c>
      <c r="U544" t="str">
        <f t="shared" si="84"/>
        <v>Total Shot Cukup Sedikit</v>
      </c>
      <c r="V544" t="str">
        <f t="shared" si="87"/>
        <v>Shot on Target Tinggi</v>
      </c>
      <c r="W544" t="str">
        <f t="shared" si="88"/>
        <v>Fouls Tinggi</v>
      </c>
      <c r="X544" t="str">
        <f t="shared" si="89"/>
        <v>Corner Rendah</v>
      </c>
      <c r="Y544" t="str">
        <f t="shared" si="85"/>
        <v>Yellow Card Rendah</v>
      </c>
      <c r="Z544" t="str">
        <f t="shared" si="86"/>
        <v>Red Card Rendah</v>
      </c>
    </row>
    <row r="545" spans="1:26" x14ac:dyDescent="0.25">
      <c r="A545" t="s">
        <v>42</v>
      </c>
      <c r="B545">
        <v>2.5</v>
      </c>
      <c r="C545">
        <v>58</v>
      </c>
      <c r="D545">
        <v>593</v>
      </c>
      <c r="E545">
        <v>509</v>
      </c>
      <c r="F545">
        <v>5</v>
      </c>
      <c r="G545" t="s">
        <v>40</v>
      </c>
      <c r="H545">
        <v>3</v>
      </c>
      <c r="I545" t="s">
        <v>40</v>
      </c>
      <c r="J545">
        <v>14</v>
      </c>
      <c r="K545">
        <v>6</v>
      </c>
      <c r="L545">
        <v>8</v>
      </c>
      <c r="M545">
        <v>3</v>
      </c>
      <c r="N545">
        <v>2</v>
      </c>
      <c r="O545">
        <v>0</v>
      </c>
      <c r="Q545" t="str">
        <f t="shared" si="80"/>
        <v>xG Cukup Sedikit</v>
      </c>
      <c r="R545" t="str">
        <f t="shared" si="81"/>
        <v>Possession Cukup Banyak</v>
      </c>
      <c r="S545" t="str">
        <f t="shared" si="82"/>
        <v>Total Pass Cukup Banyak</v>
      </c>
      <c r="T545" t="str">
        <f t="shared" si="83"/>
        <v>Pass Sukses Cukup Banyak</v>
      </c>
      <c r="U545" t="str">
        <f t="shared" si="84"/>
        <v>Total Shot Cukup Sedikit</v>
      </c>
      <c r="V545" t="str">
        <f t="shared" si="87"/>
        <v>Shot on Target Tinggi</v>
      </c>
      <c r="W545" t="str">
        <f t="shared" si="88"/>
        <v>Fouls Rendah</v>
      </c>
      <c r="X545" t="str">
        <f t="shared" si="89"/>
        <v>Corner Rendah</v>
      </c>
      <c r="Y545" t="str">
        <f t="shared" si="85"/>
        <v>Yellow Card Rendah</v>
      </c>
      <c r="Z545" t="str">
        <f t="shared" si="86"/>
        <v>Red Card Rendah</v>
      </c>
    </row>
    <row r="546" spans="1:26" x14ac:dyDescent="0.25">
      <c r="A546" t="s">
        <v>57</v>
      </c>
      <c r="B546">
        <v>1.2</v>
      </c>
      <c r="C546">
        <v>75</v>
      </c>
      <c r="D546">
        <v>686</v>
      </c>
      <c r="E546">
        <v>605</v>
      </c>
      <c r="F546">
        <v>0</v>
      </c>
      <c r="G546" t="s">
        <v>36</v>
      </c>
      <c r="H546">
        <v>0</v>
      </c>
      <c r="I546" t="s">
        <v>36</v>
      </c>
      <c r="J546">
        <v>12</v>
      </c>
      <c r="K546">
        <v>5</v>
      </c>
      <c r="L546">
        <v>12</v>
      </c>
      <c r="M546">
        <v>5</v>
      </c>
      <c r="N546">
        <v>1</v>
      </c>
      <c r="O546">
        <v>0</v>
      </c>
      <c r="Q546" t="str">
        <f t="shared" si="80"/>
        <v>xG Sangat Sedikit</v>
      </c>
      <c r="R546" t="str">
        <f t="shared" si="81"/>
        <v>Possession Sangat Banyak</v>
      </c>
      <c r="S546" t="str">
        <f t="shared" si="82"/>
        <v>Total Pass Sangat Banyak</v>
      </c>
      <c r="T546" t="str">
        <f t="shared" si="83"/>
        <v>Pass Sukses Sangat Banyak</v>
      </c>
      <c r="U546" t="str">
        <f t="shared" si="84"/>
        <v>Total Shot Cukup Sedikit</v>
      </c>
      <c r="V546" t="str">
        <f t="shared" si="87"/>
        <v>Shot on Target Tinggi</v>
      </c>
      <c r="W546" t="str">
        <f t="shared" si="88"/>
        <v>Fouls Tinggi</v>
      </c>
      <c r="X546" t="str">
        <f t="shared" si="89"/>
        <v>Corner Normal</v>
      </c>
      <c r="Y546" t="str">
        <f t="shared" si="85"/>
        <v>Yellow Card Rendah</v>
      </c>
      <c r="Z546" t="str">
        <f t="shared" si="86"/>
        <v>Red Card Rendah</v>
      </c>
    </row>
    <row r="547" spans="1:26" x14ac:dyDescent="0.25">
      <c r="A547" t="s">
        <v>47</v>
      </c>
      <c r="B547">
        <v>0.3</v>
      </c>
      <c r="C547">
        <v>43</v>
      </c>
      <c r="D547">
        <v>450</v>
      </c>
      <c r="E547">
        <v>352</v>
      </c>
      <c r="F547">
        <v>0</v>
      </c>
      <c r="G547" t="s">
        <v>36</v>
      </c>
      <c r="H547">
        <v>0</v>
      </c>
      <c r="I547" t="s">
        <v>36</v>
      </c>
      <c r="J547">
        <v>5</v>
      </c>
      <c r="K547">
        <v>1</v>
      </c>
      <c r="L547">
        <v>15</v>
      </c>
      <c r="M547">
        <v>5</v>
      </c>
      <c r="N547">
        <v>3</v>
      </c>
      <c r="O547">
        <v>0</v>
      </c>
      <c r="Q547" t="str">
        <f t="shared" si="80"/>
        <v>xG Sangat Sedikit</v>
      </c>
      <c r="R547" t="str">
        <f t="shared" si="81"/>
        <v>Possession Cukup Sedikit</v>
      </c>
      <c r="S547" t="str">
        <f t="shared" si="82"/>
        <v>Total Pass Cukup Sedikit</v>
      </c>
      <c r="T547" t="str">
        <f t="shared" si="83"/>
        <v>Pass Sukses Cukup Sedikit</v>
      </c>
      <c r="U547" t="str">
        <f t="shared" si="84"/>
        <v>Total Shot Sangat Sedikit</v>
      </c>
      <c r="V547" t="str">
        <f t="shared" si="87"/>
        <v>Shot on Target Rendah</v>
      </c>
      <c r="W547" t="str">
        <f t="shared" si="88"/>
        <v>Fouls Tinggi</v>
      </c>
      <c r="X547" t="str">
        <f t="shared" si="89"/>
        <v>Corner Normal</v>
      </c>
      <c r="Y547" t="str">
        <f t="shared" si="85"/>
        <v>Yellow Card Tinggi</v>
      </c>
      <c r="Z547" t="str">
        <f t="shared" si="86"/>
        <v>Red Card Rendah</v>
      </c>
    </row>
    <row r="548" spans="1:26" x14ac:dyDescent="0.25">
      <c r="A548" t="s">
        <v>43</v>
      </c>
      <c r="B548">
        <v>1.1000000000000001</v>
      </c>
      <c r="C548">
        <v>46</v>
      </c>
      <c r="D548">
        <v>505</v>
      </c>
      <c r="E548">
        <v>419</v>
      </c>
      <c r="F548">
        <v>3</v>
      </c>
      <c r="G548" t="s">
        <v>40</v>
      </c>
      <c r="H548">
        <v>3</v>
      </c>
      <c r="I548" t="s">
        <v>40</v>
      </c>
      <c r="J548">
        <v>8</v>
      </c>
      <c r="K548">
        <v>4</v>
      </c>
      <c r="L548">
        <v>16</v>
      </c>
      <c r="M548">
        <v>1</v>
      </c>
      <c r="N548">
        <v>0</v>
      </c>
      <c r="O548">
        <v>0</v>
      </c>
      <c r="Q548" t="str">
        <f t="shared" si="80"/>
        <v>xG Sangat Sedikit</v>
      </c>
      <c r="R548" t="str">
        <f t="shared" si="81"/>
        <v>Possession Cukup Sedikit</v>
      </c>
      <c r="S548" t="str">
        <f t="shared" si="82"/>
        <v>Total Pass Cukup Sedikit</v>
      </c>
      <c r="T548" t="str">
        <f t="shared" si="83"/>
        <v>Pass Sukses Cukup Sedikit</v>
      </c>
      <c r="U548" t="str">
        <f t="shared" si="84"/>
        <v>Total Shot Sangat Sedikit</v>
      </c>
      <c r="V548" t="str">
        <f t="shared" si="87"/>
        <v>Shot on Target Normal</v>
      </c>
      <c r="W548" t="str">
        <f t="shared" si="88"/>
        <v>Fouls Tinggi</v>
      </c>
      <c r="X548" t="str">
        <f t="shared" si="89"/>
        <v>Corner Rendah</v>
      </c>
      <c r="Y548" t="str">
        <f t="shared" si="85"/>
        <v>Yellow Card Rendah</v>
      </c>
      <c r="Z548" t="str">
        <f t="shared" si="86"/>
        <v>Red Card Rendah</v>
      </c>
    </row>
    <row r="549" spans="1:26" x14ac:dyDescent="0.25">
      <c r="A549" t="s">
        <v>49</v>
      </c>
      <c r="B549">
        <v>1.6</v>
      </c>
      <c r="C549">
        <v>40</v>
      </c>
      <c r="D549">
        <v>365</v>
      </c>
      <c r="E549">
        <v>267</v>
      </c>
      <c r="F549">
        <v>3</v>
      </c>
      <c r="G549" t="s">
        <v>40</v>
      </c>
      <c r="H549">
        <v>1</v>
      </c>
      <c r="I549" t="s">
        <v>40</v>
      </c>
      <c r="J549">
        <v>10</v>
      </c>
      <c r="K549">
        <v>5</v>
      </c>
      <c r="L549">
        <v>11</v>
      </c>
      <c r="M549">
        <v>1</v>
      </c>
      <c r="N549">
        <v>3</v>
      </c>
      <c r="O549">
        <v>0</v>
      </c>
      <c r="Q549" t="str">
        <f t="shared" si="80"/>
        <v>xG Cukup Sedikit</v>
      </c>
      <c r="R549" t="str">
        <f t="shared" si="81"/>
        <v>Possession Cukup Sedikit</v>
      </c>
      <c r="S549" t="str">
        <f t="shared" si="82"/>
        <v>Total Pass Cukup Sedikit</v>
      </c>
      <c r="T549" t="str">
        <f t="shared" si="83"/>
        <v>Pass Sukses Sangat Sedikit</v>
      </c>
      <c r="U549" t="str">
        <f t="shared" si="84"/>
        <v>Total Shot Sangat Sedikit</v>
      </c>
      <c r="V549" t="str">
        <f t="shared" si="87"/>
        <v>Shot on Target Tinggi</v>
      </c>
      <c r="W549" t="str">
        <f t="shared" si="88"/>
        <v>Fouls Normal</v>
      </c>
      <c r="X549" t="str">
        <f t="shared" si="89"/>
        <v>Corner Rendah</v>
      </c>
      <c r="Y549" t="str">
        <f t="shared" si="85"/>
        <v>Yellow Card Tinggi</v>
      </c>
      <c r="Z549" t="str">
        <f t="shared" si="86"/>
        <v>Red Card Rendah</v>
      </c>
    </row>
    <row r="550" spans="1:26" x14ac:dyDescent="0.25">
      <c r="A550" t="s">
        <v>39</v>
      </c>
      <c r="B550">
        <v>5.6</v>
      </c>
      <c r="C550">
        <v>48</v>
      </c>
      <c r="D550">
        <v>540</v>
      </c>
      <c r="E550">
        <v>453</v>
      </c>
      <c r="F550">
        <v>6</v>
      </c>
      <c r="G550" t="s">
        <v>40</v>
      </c>
      <c r="H550">
        <v>3</v>
      </c>
      <c r="I550" t="s">
        <v>40</v>
      </c>
      <c r="J550">
        <v>24</v>
      </c>
      <c r="K550">
        <v>12</v>
      </c>
      <c r="L550">
        <v>9</v>
      </c>
      <c r="M550">
        <v>5</v>
      </c>
      <c r="N550">
        <v>2</v>
      </c>
      <c r="O550">
        <v>0</v>
      </c>
      <c r="Q550" t="str">
        <f t="shared" si="80"/>
        <v>xG Sangat Banyak</v>
      </c>
      <c r="R550" t="str">
        <f t="shared" si="81"/>
        <v>Possession Cukup Sedikit</v>
      </c>
      <c r="S550" t="str">
        <f t="shared" si="82"/>
        <v>Total Pass Cukup Banyak</v>
      </c>
      <c r="T550" t="str">
        <f t="shared" si="83"/>
        <v>Pass Sukses Cukup Banyak</v>
      </c>
      <c r="U550" t="str">
        <f t="shared" si="84"/>
        <v>Total Shot Cukup Banyak</v>
      </c>
      <c r="V550" t="str">
        <f t="shared" si="87"/>
        <v>Shot on Target Tinggi</v>
      </c>
      <c r="W550" t="str">
        <f t="shared" si="88"/>
        <v>Fouls Normal</v>
      </c>
      <c r="X550" t="str">
        <f t="shared" si="89"/>
        <v>Corner Normal</v>
      </c>
      <c r="Y550" t="str">
        <f t="shared" si="85"/>
        <v>Yellow Card Rendah</v>
      </c>
      <c r="Z550" t="str">
        <f t="shared" si="86"/>
        <v>Red Card Rendah</v>
      </c>
    </row>
    <row r="551" spans="1:26" x14ac:dyDescent="0.25">
      <c r="A551" t="s">
        <v>44</v>
      </c>
      <c r="B551">
        <v>0.7</v>
      </c>
      <c r="C551">
        <v>34</v>
      </c>
      <c r="D551">
        <v>354</v>
      </c>
      <c r="E551">
        <v>281</v>
      </c>
      <c r="F551">
        <v>1</v>
      </c>
      <c r="G551" t="s">
        <v>36</v>
      </c>
      <c r="H551">
        <v>1</v>
      </c>
      <c r="I551" t="s">
        <v>36</v>
      </c>
      <c r="J551">
        <v>8</v>
      </c>
      <c r="K551">
        <v>3</v>
      </c>
      <c r="L551">
        <v>10</v>
      </c>
      <c r="M551">
        <v>5</v>
      </c>
      <c r="N551">
        <v>4</v>
      </c>
      <c r="O551">
        <v>0</v>
      </c>
      <c r="Q551" t="str">
        <f t="shared" si="80"/>
        <v>xG Sangat Sedikit</v>
      </c>
      <c r="R551" t="str">
        <f t="shared" si="81"/>
        <v>Possession Sangat Sedikit</v>
      </c>
      <c r="S551" t="str">
        <f t="shared" si="82"/>
        <v>Total Pass Sangat Sedikit</v>
      </c>
      <c r="T551" t="str">
        <f t="shared" si="83"/>
        <v>Pass Sukses Sangat Sedikit</v>
      </c>
      <c r="U551" t="str">
        <f t="shared" si="84"/>
        <v>Total Shot Sangat Sedikit</v>
      </c>
      <c r="V551" t="str">
        <f t="shared" si="87"/>
        <v>Shot on Target Rendah</v>
      </c>
      <c r="W551" t="str">
        <f t="shared" si="88"/>
        <v>Fouls Normal</v>
      </c>
      <c r="X551" t="str">
        <f t="shared" si="89"/>
        <v>Corner Normal</v>
      </c>
      <c r="Y551" t="str">
        <f t="shared" si="85"/>
        <v>Yellow Card Tinggi</v>
      </c>
      <c r="Z551" t="str">
        <f t="shared" si="86"/>
        <v>Red Card Rendah</v>
      </c>
    </row>
    <row r="552" spans="1:26" x14ac:dyDescent="0.25">
      <c r="A552" t="s">
        <v>55</v>
      </c>
      <c r="B552">
        <v>0.4</v>
      </c>
      <c r="C552">
        <v>48</v>
      </c>
      <c r="D552">
        <v>465</v>
      </c>
      <c r="E552">
        <v>362</v>
      </c>
      <c r="F552">
        <v>0</v>
      </c>
      <c r="G552" t="s">
        <v>36</v>
      </c>
      <c r="H552">
        <v>0</v>
      </c>
      <c r="I552" t="s">
        <v>36</v>
      </c>
      <c r="J552">
        <v>10</v>
      </c>
      <c r="K552">
        <v>4</v>
      </c>
      <c r="L552">
        <v>12</v>
      </c>
      <c r="M552">
        <v>2</v>
      </c>
      <c r="N552">
        <v>2</v>
      </c>
      <c r="O552">
        <v>0</v>
      </c>
      <c r="Q552" t="str">
        <f t="shared" si="80"/>
        <v>xG Sangat Sedikit</v>
      </c>
      <c r="R552" t="str">
        <f t="shared" si="81"/>
        <v>Possession Cukup Sedikit</v>
      </c>
      <c r="S552" t="str">
        <f t="shared" si="82"/>
        <v>Total Pass Cukup Sedikit</v>
      </c>
      <c r="T552" t="str">
        <f t="shared" si="83"/>
        <v>Pass Sukses Cukup Sedikit</v>
      </c>
      <c r="U552" t="str">
        <f t="shared" si="84"/>
        <v>Total Shot Sangat Sedikit</v>
      </c>
      <c r="V552" t="str">
        <f t="shared" si="87"/>
        <v>Shot on Target Normal</v>
      </c>
      <c r="W552" t="str">
        <f t="shared" si="88"/>
        <v>Fouls Tinggi</v>
      </c>
      <c r="X552" t="str">
        <f t="shared" si="89"/>
        <v>Corner Rendah</v>
      </c>
      <c r="Y552" t="str">
        <f t="shared" si="85"/>
        <v>Yellow Card Rendah</v>
      </c>
      <c r="Z552" t="str">
        <f t="shared" si="86"/>
        <v>Red Card Rendah</v>
      </c>
    </row>
    <row r="553" spans="1:26" x14ac:dyDescent="0.25">
      <c r="A553" t="s">
        <v>34</v>
      </c>
      <c r="B553">
        <v>1.8</v>
      </c>
      <c r="C553">
        <v>53</v>
      </c>
      <c r="D553">
        <v>605</v>
      </c>
      <c r="E553">
        <v>513</v>
      </c>
      <c r="F553">
        <v>2</v>
      </c>
      <c r="G553" t="s">
        <v>40</v>
      </c>
      <c r="H553">
        <v>0</v>
      </c>
      <c r="I553" t="s">
        <v>35</v>
      </c>
      <c r="J553">
        <v>14</v>
      </c>
      <c r="K553">
        <v>7</v>
      </c>
      <c r="L553">
        <v>13</v>
      </c>
      <c r="M553">
        <v>1</v>
      </c>
      <c r="N553">
        <v>3</v>
      </c>
      <c r="O553">
        <v>0</v>
      </c>
      <c r="Q553" t="str">
        <f t="shared" si="80"/>
        <v>xG Cukup Sedikit</v>
      </c>
      <c r="R553" t="str">
        <f t="shared" si="81"/>
        <v>Possession Cukup Banyak</v>
      </c>
      <c r="S553" t="str">
        <f t="shared" si="82"/>
        <v>Total Pass Cukup Banyak</v>
      </c>
      <c r="T553" t="str">
        <f t="shared" si="83"/>
        <v>Pass Sukses Cukup Banyak</v>
      </c>
      <c r="U553" t="str">
        <f t="shared" si="84"/>
        <v>Total Shot Cukup Sedikit</v>
      </c>
      <c r="V553" t="str">
        <f t="shared" si="87"/>
        <v>Shot on Target Tinggi</v>
      </c>
      <c r="W553" t="str">
        <f t="shared" si="88"/>
        <v>Fouls Tinggi</v>
      </c>
      <c r="X553" t="str">
        <f t="shared" si="89"/>
        <v>Corner Rendah</v>
      </c>
      <c r="Y553" t="str">
        <f t="shared" si="85"/>
        <v>Yellow Card Tinggi</v>
      </c>
      <c r="Z553" t="str">
        <f t="shared" si="86"/>
        <v>Red Card Rendah</v>
      </c>
    </row>
    <row r="554" spans="1:26" x14ac:dyDescent="0.25">
      <c r="A554" t="s">
        <v>52</v>
      </c>
      <c r="B554">
        <v>0.3</v>
      </c>
      <c r="C554">
        <v>38</v>
      </c>
      <c r="D554">
        <v>353</v>
      </c>
      <c r="E554">
        <v>267</v>
      </c>
      <c r="F554">
        <v>0</v>
      </c>
      <c r="G554" t="s">
        <v>35</v>
      </c>
      <c r="H554">
        <v>0</v>
      </c>
      <c r="I554" t="s">
        <v>35</v>
      </c>
      <c r="J554">
        <v>4</v>
      </c>
      <c r="K554">
        <v>1</v>
      </c>
      <c r="L554">
        <v>10</v>
      </c>
      <c r="M554">
        <v>6</v>
      </c>
      <c r="N554">
        <v>1</v>
      </c>
      <c r="O554">
        <v>1</v>
      </c>
      <c r="Q554" t="str">
        <f t="shared" si="80"/>
        <v>xG Sangat Sedikit</v>
      </c>
      <c r="R554" t="str">
        <f t="shared" si="81"/>
        <v>Possession Cukup Sedikit</v>
      </c>
      <c r="S554" t="str">
        <f t="shared" si="82"/>
        <v>Total Pass Sangat Sedikit</v>
      </c>
      <c r="T554" t="str">
        <f t="shared" si="83"/>
        <v>Pass Sukses Sangat Sedikit</v>
      </c>
      <c r="U554" t="str">
        <f t="shared" si="84"/>
        <v>Total Shot Sangat Sedikit</v>
      </c>
      <c r="V554" t="str">
        <f t="shared" si="87"/>
        <v>Shot on Target Rendah</v>
      </c>
      <c r="W554" t="str">
        <f t="shared" si="88"/>
        <v>Fouls Normal</v>
      </c>
      <c r="X554" t="str">
        <f t="shared" si="89"/>
        <v>Corner Tinggi</v>
      </c>
      <c r="Y554" t="str">
        <f t="shared" si="85"/>
        <v>Yellow Card Rendah</v>
      </c>
      <c r="Z554" t="str">
        <f t="shared" si="86"/>
        <v>Red Card Tinggi</v>
      </c>
    </row>
    <row r="555" spans="1:26" x14ac:dyDescent="0.25">
      <c r="A555" t="s">
        <v>60</v>
      </c>
      <c r="B555">
        <v>0.9</v>
      </c>
      <c r="C555">
        <v>70</v>
      </c>
      <c r="D555">
        <v>662</v>
      </c>
      <c r="E555">
        <v>567</v>
      </c>
      <c r="F555">
        <v>0</v>
      </c>
      <c r="G555" t="s">
        <v>35</v>
      </c>
      <c r="H555">
        <v>0</v>
      </c>
      <c r="I555" t="s">
        <v>35</v>
      </c>
      <c r="J555">
        <v>13</v>
      </c>
      <c r="K555">
        <v>4</v>
      </c>
      <c r="L555">
        <v>13</v>
      </c>
      <c r="M555">
        <v>7</v>
      </c>
      <c r="N555">
        <v>2</v>
      </c>
      <c r="O555">
        <v>1</v>
      </c>
      <c r="Q555" t="str">
        <f t="shared" si="80"/>
        <v>xG Sangat Sedikit</v>
      </c>
      <c r="R555" t="str">
        <f t="shared" si="81"/>
        <v>Possession Sangat Banyak</v>
      </c>
      <c r="S555" t="str">
        <f t="shared" si="82"/>
        <v>Total Pass Sangat Banyak</v>
      </c>
      <c r="T555" t="str">
        <f t="shared" si="83"/>
        <v>Pass Sukses Cukup Banyak</v>
      </c>
      <c r="U555" t="str">
        <f t="shared" si="84"/>
        <v>Total Shot Cukup Sedikit</v>
      </c>
      <c r="V555" t="str">
        <f t="shared" si="87"/>
        <v>Shot on Target Normal</v>
      </c>
      <c r="W555" t="str">
        <f t="shared" si="88"/>
        <v>Fouls Tinggi</v>
      </c>
      <c r="X555" t="str">
        <f t="shared" si="89"/>
        <v>Corner Tinggi</v>
      </c>
      <c r="Y555" t="str">
        <f t="shared" si="85"/>
        <v>Yellow Card Rendah</v>
      </c>
      <c r="Z555" t="str">
        <f t="shared" si="86"/>
        <v>Red Card Tinggi</v>
      </c>
    </row>
    <row r="556" spans="1:26" x14ac:dyDescent="0.25">
      <c r="A556" t="s">
        <v>51</v>
      </c>
      <c r="B556">
        <v>1.7</v>
      </c>
      <c r="C556">
        <v>46</v>
      </c>
      <c r="D556">
        <v>437</v>
      </c>
      <c r="E556">
        <v>345</v>
      </c>
      <c r="F556">
        <v>1</v>
      </c>
      <c r="G556" t="s">
        <v>40</v>
      </c>
      <c r="H556">
        <v>0</v>
      </c>
      <c r="I556" t="s">
        <v>36</v>
      </c>
      <c r="J556">
        <v>16</v>
      </c>
      <c r="K556">
        <v>2</v>
      </c>
      <c r="L556">
        <v>8</v>
      </c>
      <c r="M556">
        <v>2</v>
      </c>
      <c r="N556">
        <v>2</v>
      </c>
      <c r="O556">
        <v>0</v>
      </c>
      <c r="Q556" t="str">
        <f t="shared" si="80"/>
        <v>xG Cukup Sedikit</v>
      </c>
      <c r="R556" t="str">
        <f t="shared" si="81"/>
        <v>Possession Cukup Sedikit</v>
      </c>
      <c r="S556" t="str">
        <f t="shared" si="82"/>
        <v>Total Pass Cukup Sedikit</v>
      </c>
      <c r="T556" t="str">
        <f t="shared" si="83"/>
        <v>Pass Sukses Cukup Sedikit</v>
      </c>
      <c r="U556" t="str">
        <f t="shared" si="84"/>
        <v>Total Shot Cukup Sedikit</v>
      </c>
      <c r="V556" t="str">
        <f t="shared" si="87"/>
        <v>Shot on Target Rendah</v>
      </c>
      <c r="W556" t="str">
        <f t="shared" si="88"/>
        <v>Fouls Rendah</v>
      </c>
      <c r="X556" t="str">
        <f t="shared" si="89"/>
        <v>Corner Rendah</v>
      </c>
      <c r="Y556" t="str">
        <f t="shared" si="85"/>
        <v>Yellow Card Rendah</v>
      </c>
      <c r="Z556" t="str">
        <f t="shared" si="86"/>
        <v>Red Card Rendah</v>
      </c>
    </row>
    <row r="557" spans="1:26" x14ac:dyDescent="0.25">
      <c r="A557" t="s">
        <v>33</v>
      </c>
      <c r="B557">
        <v>0.4</v>
      </c>
      <c r="C557">
        <v>49</v>
      </c>
      <c r="D557">
        <v>501</v>
      </c>
      <c r="E557">
        <v>391</v>
      </c>
      <c r="F557">
        <v>0</v>
      </c>
      <c r="G557" t="s">
        <v>35</v>
      </c>
      <c r="H557">
        <v>0</v>
      </c>
      <c r="I557" t="s">
        <v>36</v>
      </c>
      <c r="J557">
        <v>11</v>
      </c>
      <c r="K557">
        <v>4</v>
      </c>
      <c r="L557">
        <v>12</v>
      </c>
      <c r="M557">
        <v>4</v>
      </c>
      <c r="N557">
        <v>2</v>
      </c>
      <c r="O557">
        <v>1</v>
      </c>
      <c r="Q557" t="str">
        <f t="shared" si="80"/>
        <v>xG Sangat Sedikit</v>
      </c>
      <c r="R557" t="str">
        <f t="shared" si="81"/>
        <v>Possession Cukup Sedikit</v>
      </c>
      <c r="S557" t="str">
        <f t="shared" si="82"/>
        <v>Total Pass Cukup Sedikit</v>
      </c>
      <c r="T557" t="str">
        <f t="shared" si="83"/>
        <v>Pass Sukses Cukup Sedikit</v>
      </c>
      <c r="U557" t="str">
        <f t="shared" si="84"/>
        <v>Total Shot Cukup Sedikit</v>
      </c>
      <c r="V557" t="str">
        <f t="shared" si="87"/>
        <v>Shot on Target Normal</v>
      </c>
      <c r="W557" t="str">
        <f t="shared" si="88"/>
        <v>Fouls Tinggi</v>
      </c>
      <c r="X557" t="str">
        <f t="shared" si="89"/>
        <v>Corner Rendah</v>
      </c>
      <c r="Y557" t="str">
        <f t="shared" si="85"/>
        <v>Yellow Card Rendah</v>
      </c>
      <c r="Z557" t="str">
        <f t="shared" si="86"/>
        <v>Red Card Tinggi</v>
      </c>
    </row>
    <row r="558" spans="1:26" x14ac:dyDescent="0.25">
      <c r="A558" t="s">
        <v>59</v>
      </c>
      <c r="B558">
        <v>0.3</v>
      </c>
      <c r="C558">
        <v>32</v>
      </c>
      <c r="D558">
        <v>338</v>
      </c>
      <c r="E558">
        <v>256</v>
      </c>
      <c r="F558">
        <v>1</v>
      </c>
      <c r="G558" t="s">
        <v>35</v>
      </c>
      <c r="H558">
        <v>1</v>
      </c>
      <c r="I558" t="s">
        <v>36</v>
      </c>
      <c r="J558">
        <v>4</v>
      </c>
      <c r="K558">
        <v>1</v>
      </c>
      <c r="L558">
        <v>5</v>
      </c>
      <c r="M558">
        <v>1</v>
      </c>
      <c r="N558">
        <v>2</v>
      </c>
      <c r="O558">
        <v>0</v>
      </c>
      <c r="Q558" t="str">
        <f t="shared" si="80"/>
        <v>xG Sangat Sedikit</v>
      </c>
      <c r="R558" t="str">
        <f t="shared" si="81"/>
        <v>Possession Sangat Sedikit</v>
      </c>
      <c r="S558" t="str">
        <f t="shared" si="82"/>
        <v>Total Pass Sangat Sedikit</v>
      </c>
      <c r="T558" t="str">
        <f t="shared" si="83"/>
        <v>Pass Sukses Sangat Sedikit</v>
      </c>
      <c r="U558" t="str">
        <f t="shared" si="84"/>
        <v>Total Shot Sangat Sedikit</v>
      </c>
      <c r="V558" t="str">
        <f t="shared" si="87"/>
        <v>Shot on Target Rendah</v>
      </c>
      <c r="W558" t="str">
        <f t="shared" si="88"/>
        <v>Fouls Rendah</v>
      </c>
      <c r="X558" t="str">
        <f t="shared" si="89"/>
        <v>Corner Rendah</v>
      </c>
      <c r="Y558" t="str">
        <f t="shared" si="85"/>
        <v>Yellow Card Rendah</v>
      </c>
      <c r="Z558" t="str">
        <f t="shared" si="86"/>
        <v>Red Card Rendah</v>
      </c>
    </row>
    <row r="559" spans="1:26" x14ac:dyDescent="0.25">
      <c r="A559" t="s">
        <v>54</v>
      </c>
      <c r="B559">
        <v>1.1000000000000001</v>
      </c>
      <c r="C559">
        <v>43</v>
      </c>
      <c r="D559">
        <v>393</v>
      </c>
      <c r="E559">
        <v>287</v>
      </c>
      <c r="F559">
        <v>0</v>
      </c>
      <c r="G559" t="s">
        <v>36</v>
      </c>
      <c r="H559">
        <v>0</v>
      </c>
      <c r="I559" t="s">
        <v>36</v>
      </c>
      <c r="J559">
        <v>8</v>
      </c>
      <c r="K559">
        <v>3</v>
      </c>
      <c r="L559">
        <v>12</v>
      </c>
      <c r="M559">
        <v>3</v>
      </c>
      <c r="N559">
        <v>2</v>
      </c>
      <c r="O559">
        <v>0</v>
      </c>
      <c r="Q559" t="str">
        <f t="shared" si="80"/>
        <v>xG Sangat Sedikit</v>
      </c>
      <c r="R559" t="str">
        <f t="shared" si="81"/>
        <v>Possession Cukup Sedikit</v>
      </c>
      <c r="S559" t="str">
        <f t="shared" si="82"/>
        <v>Total Pass Cukup Sedikit</v>
      </c>
      <c r="T559" t="str">
        <f t="shared" si="83"/>
        <v>Pass Sukses Cukup Sedikit</v>
      </c>
      <c r="U559" t="str">
        <f t="shared" si="84"/>
        <v>Total Shot Sangat Sedikit</v>
      </c>
      <c r="V559" t="str">
        <f t="shared" si="87"/>
        <v>Shot on Target Rendah</v>
      </c>
      <c r="W559" t="str">
        <f t="shared" si="88"/>
        <v>Fouls Tinggi</v>
      </c>
      <c r="X559" t="str">
        <f t="shared" si="89"/>
        <v>Corner Rendah</v>
      </c>
      <c r="Y559" t="str">
        <f t="shared" si="85"/>
        <v>Yellow Card Rendah</v>
      </c>
      <c r="Z559" t="str">
        <f t="shared" si="86"/>
        <v>Red Card Rendah</v>
      </c>
    </row>
    <row r="560" spans="1:26" x14ac:dyDescent="0.25">
      <c r="A560" t="s">
        <v>38</v>
      </c>
      <c r="B560">
        <v>0.2</v>
      </c>
      <c r="C560">
        <v>32</v>
      </c>
      <c r="D560">
        <v>339</v>
      </c>
      <c r="E560">
        <v>264</v>
      </c>
      <c r="F560">
        <v>0</v>
      </c>
      <c r="G560" t="s">
        <v>35</v>
      </c>
      <c r="H560">
        <v>0</v>
      </c>
      <c r="I560" t="s">
        <v>35</v>
      </c>
      <c r="J560">
        <v>3</v>
      </c>
      <c r="K560">
        <v>0</v>
      </c>
      <c r="L560">
        <v>12</v>
      </c>
      <c r="M560">
        <v>1</v>
      </c>
      <c r="N560">
        <v>1</v>
      </c>
      <c r="O560">
        <v>0</v>
      </c>
      <c r="Q560" t="str">
        <f t="shared" si="80"/>
        <v>xG Sangat Sedikit</v>
      </c>
      <c r="R560" t="str">
        <f t="shared" si="81"/>
        <v>Possession Sangat Sedikit</v>
      </c>
      <c r="S560" t="str">
        <f t="shared" si="82"/>
        <v>Total Pass Sangat Sedikit</v>
      </c>
      <c r="T560" t="str">
        <f t="shared" si="83"/>
        <v>Pass Sukses Sangat Sedikit</v>
      </c>
      <c r="U560" t="str">
        <f t="shared" si="84"/>
        <v>Total Shot Sangat Sedikit</v>
      </c>
      <c r="V560" t="str">
        <f t="shared" si="87"/>
        <v>Shot on Target Rendah</v>
      </c>
      <c r="W560" t="str">
        <f t="shared" si="88"/>
        <v>Fouls Tinggi</v>
      </c>
      <c r="X560" t="str">
        <f t="shared" si="89"/>
        <v>Corner Rendah</v>
      </c>
      <c r="Y560" t="str">
        <f t="shared" si="85"/>
        <v>Yellow Card Rendah</v>
      </c>
      <c r="Z560" t="str">
        <f t="shared" si="86"/>
        <v>Red Card Rendah</v>
      </c>
    </row>
    <row r="561" spans="1:26" x14ac:dyDescent="0.25">
      <c r="A561" t="s">
        <v>58</v>
      </c>
      <c r="B561">
        <v>1.3</v>
      </c>
      <c r="C561">
        <v>47</v>
      </c>
      <c r="D561">
        <v>541</v>
      </c>
      <c r="E561">
        <v>489</v>
      </c>
      <c r="F561">
        <v>2</v>
      </c>
      <c r="G561" t="s">
        <v>40</v>
      </c>
      <c r="H561">
        <v>1</v>
      </c>
      <c r="I561" t="s">
        <v>40</v>
      </c>
      <c r="J561">
        <v>14</v>
      </c>
      <c r="K561">
        <v>5</v>
      </c>
      <c r="L561">
        <v>6</v>
      </c>
      <c r="M561">
        <v>4</v>
      </c>
      <c r="N561">
        <v>1</v>
      </c>
      <c r="O561">
        <v>0</v>
      </c>
      <c r="Q561" t="str">
        <f t="shared" si="80"/>
        <v>xG Sangat Sedikit</v>
      </c>
      <c r="R561" t="str">
        <f t="shared" si="81"/>
        <v>Possession Cukup Sedikit</v>
      </c>
      <c r="S561" t="str">
        <f t="shared" si="82"/>
        <v>Total Pass Cukup Banyak</v>
      </c>
      <c r="T561" t="str">
        <f t="shared" si="83"/>
        <v>Pass Sukses Cukup Banyak</v>
      </c>
      <c r="U561" t="str">
        <f t="shared" si="84"/>
        <v>Total Shot Cukup Sedikit</v>
      </c>
      <c r="V561" t="str">
        <f t="shared" si="87"/>
        <v>Shot on Target Tinggi</v>
      </c>
      <c r="W561" t="str">
        <f t="shared" si="88"/>
        <v>Fouls Rendah</v>
      </c>
      <c r="X561" t="str">
        <f t="shared" si="89"/>
        <v>Corner Rendah</v>
      </c>
      <c r="Y561" t="str">
        <f t="shared" si="85"/>
        <v>Yellow Card Rendah</v>
      </c>
      <c r="Z561" t="str">
        <f t="shared" si="86"/>
        <v>Red Card Rendah</v>
      </c>
    </row>
    <row r="562" spans="1:26" x14ac:dyDescent="0.25">
      <c r="A562" t="s">
        <v>47</v>
      </c>
      <c r="B562">
        <v>0.9</v>
      </c>
      <c r="C562">
        <v>53</v>
      </c>
      <c r="D562">
        <v>483</v>
      </c>
      <c r="E562">
        <v>375</v>
      </c>
      <c r="F562">
        <v>1</v>
      </c>
      <c r="G562" t="s">
        <v>35</v>
      </c>
      <c r="H562">
        <v>1</v>
      </c>
      <c r="I562" t="s">
        <v>36</v>
      </c>
      <c r="J562">
        <v>7</v>
      </c>
      <c r="K562">
        <v>3</v>
      </c>
      <c r="L562">
        <v>19</v>
      </c>
      <c r="M562">
        <v>7</v>
      </c>
      <c r="N562">
        <v>3</v>
      </c>
      <c r="O562">
        <v>0</v>
      </c>
      <c r="Q562" t="str">
        <f t="shared" si="80"/>
        <v>xG Sangat Sedikit</v>
      </c>
      <c r="R562" t="str">
        <f t="shared" si="81"/>
        <v>Possession Cukup Banyak</v>
      </c>
      <c r="S562" t="str">
        <f t="shared" si="82"/>
        <v>Total Pass Cukup Sedikit</v>
      </c>
      <c r="T562" t="str">
        <f t="shared" si="83"/>
        <v>Pass Sukses Cukup Sedikit</v>
      </c>
      <c r="U562" t="str">
        <f t="shared" si="84"/>
        <v>Total Shot Sangat Sedikit</v>
      </c>
      <c r="V562" t="str">
        <f t="shared" si="87"/>
        <v>Shot on Target Rendah</v>
      </c>
      <c r="W562" t="str">
        <f t="shared" si="88"/>
        <v>Fouls Tinggi</v>
      </c>
      <c r="X562" t="str">
        <f t="shared" si="89"/>
        <v>Corner Tinggi</v>
      </c>
      <c r="Y562" t="str">
        <f t="shared" si="85"/>
        <v>Yellow Card Tinggi</v>
      </c>
      <c r="Z562" t="str">
        <f t="shared" si="86"/>
        <v>Red Card Rendah</v>
      </c>
    </row>
    <row r="563" spans="1:26" x14ac:dyDescent="0.25">
      <c r="A563" t="s">
        <v>48</v>
      </c>
      <c r="B563">
        <v>1.5</v>
      </c>
      <c r="C563">
        <v>36</v>
      </c>
      <c r="D563">
        <v>315</v>
      </c>
      <c r="E563">
        <v>205</v>
      </c>
      <c r="F563">
        <v>2</v>
      </c>
      <c r="G563" t="s">
        <v>40</v>
      </c>
      <c r="H563">
        <v>1</v>
      </c>
      <c r="I563" t="s">
        <v>40</v>
      </c>
      <c r="J563">
        <v>11</v>
      </c>
      <c r="K563">
        <v>7</v>
      </c>
      <c r="L563">
        <v>10</v>
      </c>
      <c r="M563">
        <v>4</v>
      </c>
      <c r="N563">
        <v>1</v>
      </c>
      <c r="O563">
        <v>0</v>
      </c>
      <c r="Q563" t="str">
        <f t="shared" si="80"/>
        <v>xG Cukup Sedikit</v>
      </c>
      <c r="R563" t="str">
        <f t="shared" si="81"/>
        <v>Possession Sangat Sedikit</v>
      </c>
      <c r="S563" t="str">
        <f t="shared" si="82"/>
        <v>Total Pass Sangat Sedikit</v>
      </c>
      <c r="T563" t="str">
        <f t="shared" si="83"/>
        <v>Pass Sukses Sangat Sedikit</v>
      </c>
      <c r="U563" t="str">
        <f t="shared" si="84"/>
        <v>Total Shot Cukup Sedikit</v>
      </c>
      <c r="V563" t="str">
        <f t="shared" si="87"/>
        <v>Shot on Target Tinggi</v>
      </c>
      <c r="W563" t="str">
        <f t="shared" si="88"/>
        <v>Fouls Normal</v>
      </c>
      <c r="X563" t="str">
        <f t="shared" si="89"/>
        <v>Corner Rendah</v>
      </c>
      <c r="Y563" t="str">
        <f t="shared" si="85"/>
        <v>Yellow Card Rendah</v>
      </c>
      <c r="Z563" t="str">
        <f t="shared" si="86"/>
        <v>Red Card Rendah</v>
      </c>
    </row>
    <row r="564" spans="1:26" x14ac:dyDescent="0.25">
      <c r="A564" t="s">
        <v>49</v>
      </c>
      <c r="B564">
        <v>2</v>
      </c>
      <c r="C564">
        <v>48</v>
      </c>
      <c r="D564">
        <v>496</v>
      </c>
      <c r="E564">
        <v>380</v>
      </c>
      <c r="F564">
        <v>2</v>
      </c>
      <c r="G564" t="s">
        <v>36</v>
      </c>
      <c r="H564">
        <v>0</v>
      </c>
      <c r="I564" t="s">
        <v>35</v>
      </c>
      <c r="J564">
        <v>16</v>
      </c>
      <c r="K564">
        <v>9</v>
      </c>
      <c r="L564">
        <v>16</v>
      </c>
      <c r="M564">
        <v>7</v>
      </c>
      <c r="N564">
        <v>3</v>
      </c>
      <c r="O564">
        <v>0</v>
      </c>
      <c r="Q564" t="str">
        <f t="shared" si="80"/>
        <v>xG Cukup Sedikit</v>
      </c>
      <c r="R564" t="str">
        <f t="shared" si="81"/>
        <v>Possession Cukup Sedikit</v>
      </c>
      <c r="S564" t="str">
        <f t="shared" si="82"/>
        <v>Total Pass Cukup Sedikit</v>
      </c>
      <c r="T564" t="str">
        <f t="shared" si="83"/>
        <v>Pass Sukses Cukup Sedikit</v>
      </c>
      <c r="U564" t="str">
        <f t="shared" si="84"/>
        <v>Total Shot Cukup Sedikit</v>
      </c>
      <c r="V564" t="str">
        <f t="shared" si="87"/>
        <v>Shot on Target Tinggi</v>
      </c>
      <c r="W564" t="str">
        <f t="shared" si="88"/>
        <v>Fouls Tinggi</v>
      </c>
      <c r="X564" t="str">
        <f t="shared" si="89"/>
        <v>Corner Tinggi</v>
      </c>
      <c r="Y564" t="str">
        <f t="shared" si="85"/>
        <v>Yellow Card Tinggi</v>
      </c>
      <c r="Z564" t="str">
        <f t="shared" si="86"/>
        <v>Red Card Rendah</v>
      </c>
    </row>
    <row r="565" spans="1:26" x14ac:dyDescent="0.25">
      <c r="A565" t="s">
        <v>43</v>
      </c>
      <c r="B565">
        <v>0.7</v>
      </c>
      <c r="C565">
        <v>52</v>
      </c>
      <c r="D565">
        <v>501</v>
      </c>
      <c r="E565">
        <v>393</v>
      </c>
      <c r="F565">
        <v>2</v>
      </c>
      <c r="G565" t="s">
        <v>36</v>
      </c>
      <c r="H565">
        <v>1</v>
      </c>
      <c r="I565" t="s">
        <v>35</v>
      </c>
      <c r="J565">
        <v>11</v>
      </c>
      <c r="K565">
        <v>3</v>
      </c>
      <c r="L565">
        <v>10</v>
      </c>
      <c r="M565">
        <v>5</v>
      </c>
      <c r="N565">
        <v>2</v>
      </c>
      <c r="O565">
        <v>0</v>
      </c>
      <c r="Q565" t="str">
        <f t="shared" si="80"/>
        <v>xG Sangat Sedikit</v>
      </c>
      <c r="R565" t="str">
        <f t="shared" si="81"/>
        <v>Possession Cukup Banyak</v>
      </c>
      <c r="S565" t="str">
        <f t="shared" si="82"/>
        <v>Total Pass Cukup Sedikit</v>
      </c>
      <c r="T565" t="str">
        <f t="shared" si="83"/>
        <v>Pass Sukses Cukup Sedikit</v>
      </c>
      <c r="U565" t="str">
        <f t="shared" si="84"/>
        <v>Total Shot Cukup Sedikit</v>
      </c>
      <c r="V565" t="str">
        <f t="shared" si="87"/>
        <v>Shot on Target Rendah</v>
      </c>
      <c r="W565" t="str">
        <f t="shared" si="88"/>
        <v>Fouls Normal</v>
      </c>
      <c r="X565" t="str">
        <f t="shared" si="89"/>
        <v>Corner Normal</v>
      </c>
      <c r="Y565" t="str">
        <f t="shared" si="85"/>
        <v>Yellow Card Rendah</v>
      </c>
      <c r="Z565" t="str">
        <f t="shared" si="86"/>
        <v>Red Card Rendah</v>
      </c>
    </row>
    <row r="566" spans="1:26" x14ac:dyDescent="0.25">
      <c r="A566" t="s">
        <v>39</v>
      </c>
      <c r="B566">
        <v>3.1</v>
      </c>
      <c r="C566">
        <v>54</v>
      </c>
      <c r="D566">
        <v>579</v>
      </c>
      <c r="E566">
        <v>497</v>
      </c>
      <c r="F566">
        <v>5</v>
      </c>
      <c r="G566" t="s">
        <v>40</v>
      </c>
      <c r="H566">
        <v>3</v>
      </c>
      <c r="I566" t="s">
        <v>40</v>
      </c>
      <c r="J566">
        <v>22</v>
      </c>
      <c r="K566">
        <v>13</v>
      </c>
      <c r="L566">
        <v>10</v>
      </c>
      <c r="M566">
        <v>6</v>
      </c>
      <c r="N566">
        <v>0</v>
      </c>
      <c r="O566">
        <v>0</v>
      </c>
      <c r="Q566" t="str">
        <f t="shared" si="80"/>
        <v>xG Cukup Banyak</v>
      </c>
      <c r="R566" t="str">
        <f t="shared" si="81"/>
        <v>Possession Cukup Banyak</v>
      </c>
      <c r="S566" t="str">
        <f t="shared" si="82"/>
        <v>Total Pass Cukup Banyak</v>
      </c>
      <c r="T566" t="str">
        <f t="shared" si="83"/>
        <v>Pass Sukses Cukup Banyak</v>
      </c>
      <c r="U566" t="str">
        <f t="shared" si="84"/>
        <v>Total Shot Cukup Banyak</v>
      </c>
      <c r="V566" t="str">
        <f t="shared" si="87"/>
        <v>Shot on Target Tinggi</v>
      </c>
      <c r="W566" t="str">
        <f t="shared" si="88"/>
        <v>Fouls Normal</v>
      </c>
      <c r="X566" t="str">
        <f t="shared" si="89"/>
        <v>Corner Tinggi</v>
      </c>
      <c r="Y566" t="str">
        <f t="shared" si="85"/>
        <v>Yellow Card Rendah</v>
      </c>
      <c r="Z566" t="str">
        <f t="shared" si="86"/>
        <v>Red Card Rendah</v>
      </c>
    </row>
    <row r="567" spans="1:26" x14ac:dyDescent="0.25">
      <c r="A567" t="s">
        <v>45</v>
      </c>
      <c r="B567">
        <v>1.1000000000000001</v>
      </c>
      <c r="C567">
        <v>41</v>
      </c>
      <c r="D567">
        <v>357</v>
      </c>
      <c r="E567">
        <v>280</v>
      </c>
      <c r="F567">
        <v>2</v>
      </c>
      <c r="G567" t="s">
        <v>36</v>
      </c>
      <c r="H567">
        <v>1</v>
      </c>
      <c r="I567" t="s">
        <v>36</v>
      </c>
      <c r="J567">
        <v>13</v>
      </c>
      <c r="K567">
        <v>4</v>
      </c>
      <c r="L567">
        <v>14</v>
      </c>
      <c r="M567">
        <v>3</v>
      </c>
      <c r="N567">
        <v>3</v>
      </c>
      <c r="O567">
        <v>0</v>
      </c>
      <c r="Q567" t="str">
        <f t="shared" si="80"/>
        <v>xG Sangat Sedikit</v>
      </c>
      <c r="R567" t="str">
        <f t="shared" si="81"/>
        <v>Possession Cukup Sedikit</v>
      </c>
      <c r="S567" t="str">
        <f t="shared" si="82"/>
        <v>Total Pass Sangat Sedikit</v>
      </c>
      <c r="T567" t="str">
        <f t="shared" si="83"/>
        <v>Pass Sukses Sangat Sedikit</v>
      </c>
      <c r="U567" t="str">
        <f t="shared" si="84"/>
        <v>Total Shot Cukup Sedikit</v>
      </c>
      <c r="V567" t="str">
        <f t="shared" si="87"/>
        <v>Shot on Target Normal</v>
      </c>
      <c r="W567" t="str">
        <f t="shared" si="88"/>
        <v>Fouls Tinggi</v>
      </c>
      <c r="X567" t="str">
        <f t="shared" si="89"/>
        <v>Corner Rendah</v>
      </c>
      <c r="Y567" t="str">
        <f t="shared" si="85"/>
        <v>Yellow Card Tinggi</v>
      </c>
      <c r="Z567" t="str">
        <f t="shared" si="86"/>
        <v>Red Card Rendah</v>
      </c>
    </row>
    <row r="568" spans="1:26" x14ac:dyDescent="0.25">
      <c r="A568" t="s">
        <v>57</v>
      </c>
      <c r="B568">
        <v>2</v>
      </c>
      <c r="C568">
        <v>76</v>
      </c>
      <c r="D568">
        <v>774</v>
      </c>
      <c r="E568">
        <v>679</v>
      </c>
      <c r="F568">
        <v>0</v>
      </c>
      <c r="G568" t="s">
        <v>35</v>
      </c>
      <c r="H568">
        <v>0</v>
      </c>
      <c r="I568" t="s">
        <v>35</v>
      </c>
      <c r="J568">
        <v>20</v>
      </c>
      <c r="K568">
        <v>5</v>
      </c>
      <c r="L568">
        <v>5</v>
      </c>
      <c r="M568">
        <v>7</v>
      </c>
      <c r="N568">
        <v>4</v>
      </c>
      <c r="O568">
        <v>0</v>
      </c>
      <c r="Q568" t="str">
        <f t="shared" si="80"/>
        <v>xG Cukup Sedikit</v>
      </c>
      <c r="R568" t="str">
        <f t="shared" si="81"/>
        <v>Possession Sangat Banyak</v>
      </c>
      <c r="S568" t="str">
        <f t="shared" si="82"/>
        <v>Total Pass Sangat Banyak</v>
      </c>
      <c r="T568" t="str">
        <f t="shared" si="83"/>
        <v>Pass Sukses Sangat Banyak</v>
      </c>
      <c r="U568" t="str">
        <f t="shared" si="84"/>
        <v>Total Shot Cukup Banyak</v>
      </c>
      <c r="V568" t="str">
        <f t="shared" si="87"/>
        <v>Shot on Target Tinggi</v>
      </c>
      <c r="W568" t="str">
        <f t="shared" si="88"/>
        <v>Fouls Rendah</v>
      </c>
      <c r="X568" t="str">
        <f t="shared" si="89"/>
        <v>Corner Tinggi</v>
      </c>
      <c r="Y568" t="str">
        <f t="shared" si="85"/>
        <v>Yellow Card Tinggi</v>
      </c>
      <c r="Z568" t="str">
        <f t="shared" si="86"/>
        <v>Red Card Rendah</v>
      </c>
    </row>
    <row r="569" spans="1:26" x14ac:dyDescent="0.25">
      <c r="A569" t="s">
        <v>46</v>
      </c>
      <c r="B569">
        <v>1.9</v>
      </c>
      <c r="C569">
        <v>48</v>
      </c>
      <c r="D569">
        <v>558</v>
      </c>
      <c r="E569">
        <v>471</v>
      </c>
      <c r="F569">
        <v>2</v>
      </c>
      <c r="G569" t="s">
        <v>40</v>
      </c>
      <c r="H569">
        <v>2</v>
      </c>
      <c r="I569" t="s">
        <v>40</v>
      </c>
      <c r="J569">
        <v>12</v>
      </c>
      <c r="K569">
        <v>4</v>
      </c>
      <c r="L569">
        <v>8</v>
      </c>
      <c r="M569">
        <v>3</v>
      </c>
      <c r="N569">
        <v>1</v>
      </c>
      <c r="O569">
        <v>0</v>
      </c>
      <c r="Q569" t="str">
        <f t="shared" si="80"/>
        <v>xG Cukup Sedikit</v>
      </c>
      <c r="R569" t="str">
        <f t="shared" si="81"/>
        <v>Possession Cukup Sedikit</v>
      </c>
      <c r="S569" t="str">
        <f t="shared" si="82"/>
        <v>Total Pass Cukup Banyak</v>
      </c>
      <c r="T569" t="str">
        <f t="shared" si="83"/>
        <v>Pass Sukses Cukup Banyak</v>
      </c>
      <c r="U569" t="str">
        <f t="shared" si="84"/>
        <v>Total Shot Cukup Sedikit</v>
      </c>
      <c r="V569" t="str">
        <f t="shared" si="87"/>
        <v>Shot on Target Normal</v>
      </c>
      <c r="W569" t="str">
        <f t="shared" si="88"/>
        <v>Fouls Rendah</v>
      </c>
      <c r="X569" t="str">
        <f t="shared" si="89"/>
        <v>Corner Rendah</v>
      </c>
      <c r="Y569" t="str">
        <f t="shared" si="85"/>
        <v>Yellow Card Rendah</v>
      </c>
      <c r="Z569" t="str">
        <f t="shared" si="86"/>
        <v>Red Card Rendah</v>
      </c>
    </row>
    <row r="570" spans="1:26" x14ac:dyDescent="0.25">
      <c r="A570" t="s">
        <v>42</v>
      </c>
      <c r="B570">
        <v>1.9</v>
      </c>
      <c r="C570">
        <v>50</v>
      </c>
      <c r="D570">
        <v>506</v>
      </c>
      <c r="E570">
        <v>407</v>
      </c>
      <c r="F570">
        <v>3</v>
      </c>
      <c r="G570" t="s">
        <v>40</v>
      </c>
      <c r="H570">
        <v>1</v>
      </c>
      <c r="I570" t="s">
        <v>36</v>
      </c>
      <c r="J570">
        <v>14</v>
      </c>
      <c r="K570">
        <v>5</v>
      </c>
      <c r="L570">
        <v>8</v>
      </c>
      <c r="M570">
        <v>3</v>
      </c>
      <c r="N570">
        <v>2</v>
      </c>
      <c r="O570">
        <v>0</v>
      </c>
      <c r="Q570" t="str">
        <f t="shared" si="80"/>
        <v>xG Cukup Sedikit</v>
      </c>
      <c r="R570" t="str">
        <f t="shared" si="81"/>
        <v>Possession Cukup Sedikit</v>
      </c>
      <c r="S570" t="str">
        <f t="shared" si="82"/>
        <v>Total Pass Cukup Sedikit</v>
      </c>
      <c r="T570" t="str">
        <f t="shared" si="83"/>
        <v>Pass Sukses Cukup Sedikit</v>
      </c>
      <c r="U570" t="str">
        <f t="shared" si="84"/>
        <v>Total Shot Cukup Sedikit</v>
      </c>
      <c r="V570" t="str">
        <f t="shared" si="87"/>
        <v>Shot on Target Tinggi</v>
      </c>
      <c r="W570" t="str">
        <f t="shared" si="88"/>
        <v>Fouls Rendah</v>
      </c>
      <c r="X570" t="str">
        <f t="shared" si="89"/>
        <v>Corner Rendah</v>
      </c>
      <c r="Y570" t="str">
        <f t="shared" si="85"/>
        <v>Yellow Card Rendah</v>
      </c>
      <c r="Z570" t="str">
        <f t="shared" si="86"/>
        <v>Red Card Rendah</v>
      </c>
    </row>
    <row r="571" spans="1:26" x14ac:dyDescent="0.25">
      <c r="A571" t="s">
        <v>46</v>
      </c>
      <c r="B571">
        <v>2.5</v>
      </c>
      <c r="C571">
        <v>44</v>
      </c>
      <c r="D571">
        <v>400</v>
      </c>
      <c r="E571">
        <v>308</v>
      </c>
      <c r="F571">
        <v>2</v>
      </c>
      <c r="G571" t="s">
        <v>40</v>
      </c>
      <c r="H571">
        <v>2</v>
      </c>
      <c r="I571" t="s">
        <v>40</v>
      </c>
      <c r="J571">
        <v>14</v>
      </c>
      <c r="K571">
        <v>4</v>
      </c>
      <c r="L571">
        <v>15</v>
      </c>
      <c r="M571">
        <v>10</v>
      </c>
      <c r="N571">
        <v>4</v>
      </c>
      <c r="O571">
        <v>0</v>
      </c>
      <c r="Q571" t="str">
        <f t="shared" si="80"/>
        <v>xG Cukup Sedikit</v>
      </c>
      <c r="R571" t="str">
        <f t="shared" si="81"/>
        <v>Possession Cukup Sedikit</v>
      </c>
      <c r="S571" t="str">
        <f t="shared" si="82"/>
        <v>Total Pass Cukup Sedikit</v>
      </c>
      <c r="T571" t="str">
        <f t="shared" si="83"/>
        <v>Pass Sukses Cukup Sedikit</v>
      </c>
      <c r="U571" t="str">
        <f t="shared" si="84"/>
        <v>Total Shot Cukup Sedikit</v>
      </c>
      <c r="V571" t="str">
        <f t="shared" si="87"/>
        <v>Shot on Target Normal</v>
      </c>
      <c r="W571" t="str">
        <f t="shared" si="88"/>
        <v>Fouls Tinggi</v>
      </c>
      <c r="X571" t="str">
        <f t="shared" si="89"/>
        <v>Corner Tinggi</v>
      </c>
      <c r="Y571" t="str">
        <f t="shared" si="85"/>
        <v>Yellow Card Tinggi</v>
      </c>
      <c r="Z571" t="str">
        <f t="shared" si="86"/>
        <v>Red Card Rendah</v>
      </c>
    </row>
    <row r="572" spans="1:26" x14ac:dyDescent="0.25">
      <c r="A572" t="s">
        <v>59</v>
      </c>
      <c r="B572">
        <v>0.4</v>
      </c>
      <c r="C572">
        <v>40</v>
      </c>
      <c r="D572">
        <v>430</v>
      </c>
      <c r="E572">
        <v>352</v>
      </c>
      <c r="F572">
        <v>1</v>
      </c>
      <c r="G572" t="s">
        <v>35</v>
      </c>
      <c r="H572">
        <v>0</v>
      </c>
      <c r="I572" t="s">
        <v>36</v>
      </c>
      <c r="J572">
        <v>4</v>
      </c>
      <c r="K572">
        <v>2</v>
      </c>
      <c r="L572">
        <v>11</v>
      </c>
      <c r="M572">
        <v>2</v>
      </c>
      <c r="N572">
        <v>1</v>
      </c>
      <c r="O572">
        <v>0</v>
      </c>
      <c r="Q572" t="str">
        <f t="shared" si="80"/>
        <v>xG Sangat Sedikit</v>
      </c>
      <c r="R572" t="str">
        <f t="shared" si="81"/>
        <v>Possession Cukup Sedikit</v>
      </c>
      <c r="S572" t="str">
        <f t="shared" si="82"/>
        <v>Total Pass Cukup Sedikit</v>
      </c>
      <c r="T572" t="str">
        <f t="shared" si="83"/>
        <v>Pass Sukses Cukup Sedikit</v>
      </c>
      <c r="U572" t="str">
        <f t="shared" si="84"/>
        <v>Total Shot Sangat Sedikit</v>
      </c>
      <c r="V572" t="str">
        <f t="shared" si="87"/>
        <v>Shot on Target Rendah</v>
      </c>
      <c r="W572" t="str">
        <f t="shared" si="88"/>
        <v>Fouls Normal</v>
      </c>
      <c r="X572" t="str">
        <f t="shared" si="89"/>
        <v>Corner Rendah</v>
      </c>
      <c r="Y572" t="str">
        <f t="shared" si="85"/>
        <v>Yellow Card Rendah</v>
      </c>
      <c r="Z572" t="str">
        <f t="shared" si="86"/>
        <v>Red Card Rendah</v>
      </c>
    </row>
    <row r="573" spans="1:26" x14ac:dyDescent="0.25">
      <c r="A573" t="s">
        <v>44</v>
      </c>
      <c r="B573">
        <v>0.7</v>
      </c>
      <c r="C573">
        <v>42</v>
      </c>
      <c r="D573">
        <v>371</v>
      </c>
      <c r="E573">
        <v>239</v>
      </c>
      <c r="F573">
        <v>0</v>
      </c>
      <c r="G573" t="s">
        <v>35</v>
      </c>
      <c r="H573">
        <v>0</v>
      </c>
      <c r="I573" t="s">
        <v>36</v>
      </c>
      <c r="J573">
        <v>9</v>
      </c>
      <c r="K573">
        <v>0</v>
      </c>
      <c r="L573">
        <v>14</v>
      </c>
      <c r="M573">
        <v>3</v>
      </c>
      <c r="N573">
        <v>2</v>
      </c>
      <c r="O573">
        <v>0</v>
      </c>
      <c r="Q573" t="str">
        <f t="shared" si="80"/>
        <v>xG Sangat Sedikit</v>
      </c>
      <c r="R573" t="str">
        <f t="shared" si="81"/>
        <v>Possession Cukup Sedikit</v>
      </c>
      <c r="S573" t="str">
        <f t="shared" si="82"/>
        <v>Total Pass Cukup Sedikit</v>
      </c>
      <c r="T573" t="str">
        <f t="shared" si="83"/>
        <v>Pass Sukses Sangat Sedikit</v>
      </c>
      <c r="U573" t="str">
        <f t="shared" si="84"/>
        <v>Total Shot Sangat Sedikit</v>
      </c>
      <c r="V573" t="str">
        <f t="shared" si="87"/>
        <v>Shot on Target Rendah</v>
      </c>
      <c r="W573" t="str">
        <f t="shared" si="88"/>
        <v>Fouls Tinggi</v>
      </c>
      <c r="X573" t="str">
        <f t="shared" si="89"/>
        <v>Corner Rendah</v>
      </c>
      <c r="Y573" t="str">
        <f t="shared" si="85"/>
        <v>Yellow Card Rendah</v>
      </c>
      <c r="Z573" t="str">
        <f t="shared" si="86"/>
        <v>Red Card Rendah</v>
      </c>
    </row>
    <row r="574" spans="1:26" x14ac:dyDescent="0.25">
      <c r="A574" t="s">
        <v>57</v>
      </c>
      <c r="B574">
        <v>1.2</v>
      </c>
      <c r="C574">
        <v>61</v>
      </c>
      <c r="D574">
        <v>608</v>
      </c>
      <c r="E574">
        <v>516</v>
      </c>
      <c r="F574">
        <v>1</v>
      </c>
      <c r="G574" t="s">
        <v>36</v>
      </c>
      <c r="H574">
        <v>1</v>
      </c>
      <c r="I574" t="s">
        <v>40</v>
      </c>
      <c r="J574">
        <v>15</v>
      </c>
      <c r="K574">
        <v>1</v>
      </c>
      <c r="L574">
        <v>12</v>
      </c>
      <c r="M574">
        <v>6</v>
      </c>
      <c r="N574">
        <v>2</v>
      </c>
      <c r="O574">
        <v>0</v>
      </c>
      <c r="Q574" t="str">
        <f t="shared" si="80"/>
        <v>xG Sangat Sedikit</v>
      </c>
      <c r="R574" t="str">
        <f t="shared" si="81"/>
        <v>Possession Cukup Banyak</v>
      </c>
      <c r="S574" t="str">
        <f t="shared" si="82"/>
        <v>Total Pass Cukup Banyak</v>
      </c>
      <c r="T574" t="str">
        <f t="shared" si="83"/>
        <v>Pass Sukses Cukup Banyak</v>
      </c>
      <c r="U574" t="str">
        <f t="shared" si="84"/>
        <v>Total Shot Cukup Sedikit</v>
      </c>
      <c r="V574" t="str">
        <f t="shared" si="87"/>
        <v>Shot on Target Rendah</v>
      </c>
      <c r="W574" t="str">
        <f t="shared" si="88"/>
        <v>Fouls Tinggi</v>
      </c>
      <c r="X574" t="str">
        <f t="shared" si="89"/>
        <v>Corner Tinggi</v>
      </c>
      <c r="Y574" t="str">
        <f t="shared" si="85"/>
        <v>Yellow Card Rendah</v>
      </c>
      <c r="Z574" t="str">
        <f t="shared" si="86"/>
        <v>Red Card Rendah</v>
      </c>
    </row>
    <row r="575" spans="1:26" x14ac:dyDescent="0.25">
      <c r="A575" t="s">
        <v>51</v>
      </c>
      <c r="B575">
        <v>1.4</v>
      </c>
      <c r="C575">
        <v>44</v>
      </c>
      <c r="D575">
        <v>465</v>
      </c>
      <c r="E575">
        <v>394</v>
      </c>
      <c r="F575">
        <v>1</v>
      </c>
      <c r="G575" t="s">
        <v>35</v>
      </c>
      <c r="H575">
        <v>0</v>
      </c>
      <c r="I575" t="s">
        <v>35</v>
      </c>
      <c r="J575">
        <v>17</v>
      </c>
      <c r="K575">
        <v>4</v>
      </c>
      <c r="L575">
        <v>13</v>
      </c>
      <c r="M575">
        <v>1</v>
      </c>
      <c r="N575">
        <v>1</v>
      </c>
      <c r="O575">
        <v>0</v>
      </c>
      <c r="Q575" t="str">
        <f t="shared" si="80"/>
        <v>xG Sangat Sedikit</v>
      </c>
      <c r="R575" t="str">
        <f t="shared" si="81"/>
        <v>Possession Cukup Sedikit</v>
      </c>
      <c r="S575" t="str">
        <f t="shared" si="82"/>
        <v>Total Pass Cukup Sedikit</v>
      </c>
      <c r="T575" t="str">
        <f t="shared" si="83"/>
        <v>Pass Sukses Cukup Sedikit</v>
      </c>
      <c r="U575" t="str">
        <f t="shared" si="84"/>
        <v>Total Shot Cukup Sedikit</v>
      </c>
      <c r="V575" t="str">
        <f t="shared" si="87"/>
        <v>Shot on Target Normal</v>
      </c>
      <c r="W575" t="str">
        <f t="shared" si="88"/>
        <v>Fouls Tinggi</v>
      </c>
      <c r="X575" t="str">
        <f t="shared" si="89"/>
        <v>Corner Rendah</v>
      </c>
      <c r="Y575" t="str">
        <f t="shared" si="85"/>
        <v>Yellow Card Rendah</v>
      </c>
      <c r="Z575" t="str">
        <f t="shared" si="86"/>
        <v>Red Card Rendah</v>
      </c>
    </row>
    <row r="576" spans="1:26" x14ac:dyDescent="0.25">
      <c r="A576" t="s">
        <v>54</v>
      </c>
      <c r="B576">
        <v>4.4000000000000004</v>
      </c>
      <c r="C576">
        <v>50</v>
      </c>
      <c r="D576">
        <v>487</v>
      </c>
      <c r="E576">
        <v>409</v>
      </c>
      <c r="F576">
        <v>5</v>
      </c>
      <c r="G576" t="s">
        <v>40</v>
      </c>
      <c r="H576">
        <v>1</v>
      </c>
      <c r="I576" t="s">
        <v>40</v>
      </c>
      <c r="J576">
        <v>20</v>
      </c>
      <c r="K576">
        <v>11</v>
      </c>
      <c r="L576">
        <v>4</v>
      </c>
      <c r="M576">
        <v>2</v>
      </c>
      <c r="N576">
        <v>0</v>
      </c>
      <c r="O576">
        <v>0</v>
      </c>
      <c r="Q576" t="str">
        <f t="shared" si="80"/>
        <v>xG Sangat Banyak</v>
      </c>
      <c r="R576" t="str">
        <f t="shared" si="81"/>
        <v>Possession Cukup Sedikit</v>
      </c>
      <c r="S576" t="str">
        <f t="shared" si="82"/>
        <v>Total Pass Cukup Sedikit</v>
      </c>
      <c r="T576" t="str">
        <f t="shared" si="83"/>
        <v>Pass Sukses Cukup Sedikit</v>
      </c>
      <c r="U576" t="str">
        <f t="shared" si="84"/>
        <v>Total Shot Cukup Banyak</v>
      </c>
      <c r="V576" t="str">
        <f t="shared" si="87"/>
        <v>Shot on Target Tinggi</v>
      </c>
      <c r="W576" t="str">
        <f t="shared" si="88"/>
        <v>Fouls Rendah</v>
      </c>
      <c r="X576" t="str">
        <f t="shared" si="89"/>
        <v>Corner Rendah</v>
      </c>
      <c r="Y576" t="str">
        <f t="shared" si="85"/>
        <v>Yellow Card Rendah</v>
      </c>
      <c r="Z576" t="str">
        <f t="shared" si="86"/>
        <v>Red Card Rendah</v>
      </c>
    </row>
    <row r="577" spans="1:26" x14ac:dyDescent="0.25">
      <c r="A577" t="s">
        <v>42</v>
      </c>
      <c r="B577">
        <v>0.9</v>
      </c>
      <c r="C577">
        <v>55</v>
      </c>
      <c r="D577">
        <v>555</v>
      </c>
      <c r="E577">
        <v>473</v>
      </c>
      <c r="F577">
        <v>1</v>
      </c>
      <c r="G577" t="s">
        <v>36</v>
      </c>
      <c r="H577">
        <v>1</v>
      </c>
      <c r="I577" t="s">
        <v>40</v>
      </c>
      <c r="J577">
        <v>9</v>
      </c>
      <c r="K577">
        <v>3</v>
      </c>
      <c r="L577">
        <v>14</v>
      </c>
      <c r="M577">
        <v>5</v>
      </c>
      <c r="N577">
        <v>3</v>
      </c>
      <c r="O577">
        <v>0</v>
      </c>
      <c r="Q577" t="str">
        <f t="shared" si="80"/>
        <v>xG Sangat Sedikit</v>
      </c>
      <c r="R577" t="str">
        <f t="shared" si="81"/>
        <v>Possession Cukup Banyak</v>
      </c>
      <c r="S577" t="str">
        <f t="shared" si="82"/>
        <v>Total Pass Cukup Banyak</v>
      </c>
      <c r="T577" t="str">
        <f t="shared" si="83"/>
        <v>Pass Sukses Cukup Banyak</v>
      </c>
      <c r="U577" t="str">
        <f t="shared" si="84"/>
        <v>Total Shot Sangat Sedikit</v>
      </c>
      <c r="V577" t="str">
        <f t="shared" si="87"/>
        <v>Shot on Target Rendah</v>
      </c>
      <c r="W577" t="str">
        <f t="shared" si="88"/>
        <v>Fouls Tinggi</v>
      </c>
      <c r="X577" t="str">
        <f t="shared" si="89"/>
        <v>Corner Normal</v>
      </c>
      <c r="Y577" t="str">
        <f t="shared" si="85"/>
        <v>Yellow Card Tinggi</v>
      </c>
      <c r="Z577" t="str">
        <f t="shared" si="86"/>
        <v>Red Card Rendah</v>
      </c>
    </row>
    <row r="578" spans="1:26" x14ac:dyDescent="0.25">
      <c r="A578" t="s">
        <v>38</v>
      </c>
      <c r="B578">
        <v>1.5</v>
      </c>
      <c r="C578">
        <v>27</v>
      </c>
      <c r="D578">
        <v>282</v>
      </c>
      <c r="E578">
        <v>206</v>
      </c>
      <c r="F578">
        <v>2</v>
      </c>
      <c r="G578" t="s">
        <v>36</v>
      </c>
      <c r="H578">
        <v>1</v>
      </c>
      <c r="I578" t="s">
        <v>40</v>
      </c>
      <c r="J578">
        <v>7</v>
      </c>
      <c r="K578">
        <v>3</v>
      </c>
      <c r="L578">
        <v>14</v>
      </c>
      <c r="M578">
        <v>2</v>
      </c>
      <c r="N578">
        <v>5</v>
      </c>
      <c r="O578">
        <v>0</v>
      </c>
      <c r="Q578" t="str">
        <f t="shared" si="80"/>
        <v>xG Cukup Sedikit</v>
      </c>
      <c r="R578" t="str">
        <f t="shared" si="81"/>
        <v>Possession Sangat Sedikit</v>
      </c>
      <c r="S578" t="str">
        <f t="shared" si="82"/>
        <v>Total Pass Sangat Sedikit</v>
      </c>
      <c r="T578" t="str">
        <f t="shared" si="83"/>
        <v>Pass Sukses Sangat Sedikit</v>
      </c>
      <c r="U578" t="str">
        <f t="shared" si="84"/>
        <v>Total Shot Sangat Sedikit</v>
      </c>
      <c r="V578" t="str">
        <f t="shared" si="87"/>
        <v>Shot on Target Rendah</v>
      </c>
      <c r="W578" t="str">
        <f t="shared" si="88"/>
        <v>Fouls Tinggi</v>
      </c>
      <c r="X578" t="str">
        <f t="shared" si="89"/>
        <v>Corner Rendah</v>
      </c>
      <c r="Y578" t="str">
        <f t="shared" si="85"/>
        <v>Yellow Card Tinggi</v>
      </c>
      <c r="Z578" t="str">
        <f t="shared" si="86"/>
        <v>Red Card Rendah</v>
      </c>
    </row>
    <row r="579" spans="1:26" x14ac:dyDescent="0.25">
      <c r="A579" t="s">
        <v>33</v>
      </c>
      <c r="B579">
        <v>1</v>
      </c>
      <c r="C579">
        <v>47</v>
      </c>
      <c r="D579">
        <v>427</v>
      </c>
      <c r="E579">
        <v>307</v>
      </c>
      <c r="F579">
        <v>2</v>
      </c>
      <c r="G579" t="s">
        <v>36</v>
      </c>
      <c r="H579">
        <v>0</v>
      </c>
      <c r="I579" t="s">
        <v>36</v>
      </c>
      <c r="J579">
        <v>13</v>
      </c>
      <c r="K579">
        <v>4</v>
      </c>
      <c r="L579">
        <v>13</v>
      </c>
      <c r="M579">
        <v>9</v>
      </c>
      <c r="N579">
        <v>4</v>
      </c>
      <c r="O579">
        <v>0</v>
      </c>
      <c r="Q579" t="str">
        <f t="shared" ref="Q579:Q642" si="90">_xlfn.LET(
 _xlpm.x,B579,
 _xlpm.min,MIN($B$2:$B$761),
 _xlpm.max,MAX($B$2:$B$761),
 _xlpm.persen,(_xlpm.x-_xlpm.min)/(_xlpm.max-_xlpm.min)*100,
 IF(_xlpm.persen&lt;=25,"xG Sangat Sedikit",
   IF(_xlpm.persen&lt;=50,"xG Cukup Sedikit",
     IF(_xlpm.persen&lt;=75,"xG Cukup Banyak",
       "xG Sangat Banyak"))))</f>
        <v>xG Sangat Sedikit</v>
      </c>
      <c r="R579" t="str">
        <f t="shared" ref="R579:R642" si="91">_xlfn.LET(
 _xlpm.x,C579,
 _xlpm.min,MIN($C$2:$C$761),
 _xlpm.max,MAX($C$2:$C$761),
 _xlpm.persen,(_xlpm.x-_xlpm.min)/(_xlpm.max-_xlpm.min)*100,
 IF(_xlpm.persen&lt;=25,"Possession Sangat Sedikit",
   IF(_xlpm.persen&lt;=50,"Possession Cukup Sedikit",
     IF(_xlpm.persen&lt;=75,"Possession Cukup Banyak",
       "Possession Sangat Banyak"))))</f>
        <v>Possession Cukup Sedikit</v>
      </c>
      <c r="S579" t="str">
        <f t="shared" ref="S579:S642" si="92">_xlfn.LET(
 _xlpm.x,D579,
 _xlpm.min,MIN($D$2:$D$761),
 _xlpm.max,MAX($D$2:$D$761),
 _xlpm.persen,(_xlpm.x-_xlpm.min)/(_xlpm.max-_xlpm.min)*100,
 IF(_xlpm.persen&lt;=25,"Total Pass Sangat Sedikit",
   IF(_xlpm.persen&lt;=50,"Total Pass Cukup Sedikit",
     IF(_xlpm.persen&lt;=75,"Total Pass Cukup Banyak",
       "Total Pass Sangat Banyak"))))</f>
        <v>Total Pass Cukup Sedikit</v>
      </c>
      <c r="T579" t="str">
        <f t="shared" ref="T579:T642" si="93">_xlfn.LET(
 _xlpm.x,E579,
 _xlpm.min,MIN($E$2:$E$761),
 _xlpm.max,MAX($E$2:$E$761),
 _xlpm.persen,(_xlpm.x-_xlpm.min)/(_xlpm.max-_xlpm.min)*100,
 IF(_xlpm.persen&lt;=25,"Pass Sukses Sangat Sedikit",
   IF(_xlpm.persen&lt;=50,"Pass Sukses Cukup Sedikit",
     IF(_xlpm.persen&lt;=75,"Pass Sukses Cukup Banyak",
       "Pass Sukses Sangat Banyak"))))</f>
        <v>Pass Sukses Cukup Sedikit</v>
      </c>
      <c r="U579" t="str">
        <f t="shared" ref="U579:U642" si="94">_xlfn.LET(
 _xlpm.x,J579,
 _xlpm.min,MIN($J$2:$J$761),
 _xlpm.max,MAX($J$2:$J$761),
 _xlpm.persen,(_xlpm.x-_xlpm.min)/(_xlpm.max-_xlpm.min)*100,
 IF(_xlpm.persen&lt;=25,"Total Shot Sangat Sedikit",
   IF(_xlpm.persen&lt;=50,"Total Shot Cukup Sedikit",
     IF(_xlpm.persen&lt;=75,"Total Shot Cukup Banyak",
       "Total Shot Sangat Banyak"))))</f>
        <v>Total Shot Cukup Sedikit</v>
      </c>
      <c r="V579" t="str">
        <f t="shared" si="87"/>
        <v>Shot on Target Normal</v>
      </c>
      <c r="W579" t="str">
        <f t="shared" si="88"/>
        <v>Fouls Tinggi</v>
      </c>
      <c r="X579" t="str">
        <f t="shared" si="89"/>
        <v>Corner Tinggi</v>
      </c>
      <c r="Y579" t="str">
        <f t="shared" ref="Y579:Y642" si="95">IF(N579&lt;$Y$1,"Yellow Card Rendah","Yellow Card Tinggi")</f>
        <v>Yellow Card Tinggi</v>
      </c>
      <c r="Z579" t="str">
        <f t="shared" ref="Z579:Z642" si="96">IF(O579&lt;$Z$1,"Red Card Rendah","Red Card Tinggi")</f>
        <v>Red Card Rendah</v>
      </c>
    </row>
    <row r="580" spans="1:26" x14ac:dyDescent="0.25">
      <c r="A580" t="s">
        <v>48</v>
      </c>
      <c r="B580">
        <v>2.1</v>
      </c>
      <c r="C580">
        <v>40</v>
      </c>
      <c r="D580">
        <v>393</v>
      </c>
      <c r="E580">
        <v>299</v>
      </c>
      <c r="F580">
        <v>3</v>
      </c>
      <c r="G580" t="s">
        <v>40</v>
      </c>
      <c r="H580">
        <v>2</v>
      </c>
      <c r="I580" t="s">
        <v>40</v>
      </c>
      <c r="J580">
        <v>11</v>
      </c>
      <c r="K580">
        <v>3</v>
      </c>
      <c r="L580">
        <v>8</v>
      </c>
      <c r="M580">
        <v>3</v>
      </c>
      <c r="N580">
        <v>2</v>
      </c>
      <c r="O580">
        <v>0</v>
      </c>
      <c r="Q580" t="str">
        <f t="shared" si="90"/>
        <v>xG Cukup Sedikit</v>
      </c>
      <c r="R580" t="str">
        <f t="shared" si="91"/>
        <v>Possession Cukup Sedikit</v>
      </c>
      <c r="S580" t="str">
        <f t="shared" si="92"/>
        <v>Total Pass Cukup Sedikit</v>
      </c>
      <c r="T580" t="str">
        <f t="shared" si="93"/>
        <v>Pass Sukses Cukup Sedikit</v>
      </c>
      <c r="U580" t="str">
        <f t="shared" si="94"/>
        <v>Total Shot Cukup Sedikit</v>
      </c>
      <c r="V580" t="str">
        <f t="shared" ref="V580:V643" si="97">IF(K580&gt;$V$1,"Shot on Target Tinggi",IF(K580&gt;($V$1/5*4),"Shot on Target Normal","Shot on Target Rendah"))</f>
        <v>Shot on Target Rendah</v>
      </c>
      <c r="W580" t="str">
        <f t="shared" ref="W580:W643" si="98">IF(L580&gt;$W$1,"Fouls Tinggi",IF(L580&gt;($W$1/5*4),"Fouls Normal","Fouls Rendah"))</f>
        <v>Fouls Rendah</v>
      </c>
      <c r="X580" t="str">
        <f t="shared" ref="X580:X643" si="99">IF(M580&gt;$X$1,"Corner Tinggi",IF(M580&gt;($X$1/5*4),"Corner Normal","Corner Rendah"))</f>
        <v>Corner Rendah</v>
      </c>
      <c r="Y580" t="str">
        <f t="shared" si="95"/>
        <v>Yellow Card Rendah</v>
      </c>
      <c r="Z580" t="str">
        <f t="shared" si="96"/>
        <v>Red Card Rendah</v>
      </c>
    </row>
    <row r="581" spans="1:26" x14ac:dyDescent="0.25">
      <c r="A581" t="s">
        <v>58</v>
      </c>
      <c r="B581">
        <v>2.2000000000000002</v>
      </c>
      <c r="C581">
        <v>55</v>
      </c>
      <c r="D581">
        <v>557</v>
      </c>
      <c r="E581">
        <v>472</v>
      </c>
      <c r="F581">
        <v>2</v>
      </c>
      <c r="G581" t="s">
        <v>36</v>
      </c>
      <c r="H581">
        <v>0</v>
      </c>
      <c r="I581" t="s">
        <v>36</v>
      </c>
      <c r="J581">
        <v>21</v>
      </c>
      <c r="K581">
        <v>8</v>
      </c>
      <c r="L581">
        <v>4</v>
      </c>
      <c r="M581">
        <v>5</v>
      </c>
      <c r="N581">
        <v>0</v>
      </c>
      <c r="O581">
        <v>0</v>
      </c>
      <c r="Q581" t="str">
        <f t="shared" si="90"/>
        <v>xG Cukup Sedikit</v>
      </c>
      <c r="R581" t="str">
        <f t="shared" si="91"/>
        <v>Possession Cukup Banyak</v>
      </c>
      <c r="S581" t="str">
        <f t="shared" si="92"/>
        <v>Total Pass Cukup Banyak</v>
      </c>
      <c r="T581" t="str">
        <f t="shared" si="93"/>
        <v>Pass Sukses Cukup Banyak</v>
      </c>
      <c r="U581" t="str">
        <f t="shared" si="94"/>
        <v>Total Shot Cukup Banyak</v>
      </c>
      <c r="V581" t="str">
        <f t="shared" si="97"/>
        <v>Shot on Target Tinggi</v>
      </c>
      <c r="W581" t="str">
        <f t="shared" si="98"/>
        <v>Fouls Rendah</v>
      </c>
      <c r="X581" t="str">
        <f t="shared" si="99"/>
        <v>Corner Normal</v>
      </c>
      <c r="Y581" t="str">
        <f t="shared" si="95"/>
        <v>Yellow Card Rendah</v>
      </c>
      <c r="Z581" t="str">
        <f t="shared" si="96"/>
        <v>Red Card Rendah</v>
      </c>
    </row>
    <row r="582" spans="1:26" x14ac:dyDescent="0.25">
      <c r="A582" t="s">
        <v>49</v>
      </c>
      <c r="B582">
        <v>1.2</v>
      </c>
      <c r="C582">
        <v>43</v>
      </c>
      <c r="D582">
        <v>358</v>
      </c>
      <c r="E582">
        <v>273</v>
      </c>
      <c r="F582">
        <v>2</v>
      </c>
      <c r="G582" t="s">
        <v>36</v>
      </c>
      <c r="H582">
        <v>0</v>
      </c>
      <c r="I582" t="s">
        <v>35</v>
      </c>
      <c r="J582">
        <v>7</v>
      </c>
      <c r="K582">
        <v>3</v>
      </c>
      <c r="L582">
        <v>16</v>
      </c>
      <c r="M582">
        <v>3</v>
      </c>
      <c r="N582">
        <v>3</v>
      </c>
      <c r="O582">
        <v>0</v>
      </c>
      <c r="Q582" t="str">
        <f t="shared" si="90"/>
        <v>xG Sangat Sedikit</v>
      </c>
      <c r="R582" t="str">
        <f t="shared" si="91"/>
        <v>Possession Cukup Sedikit</v>
      </c>
      <c r="S582" t="str">
        <f t="shared" si="92"/>
        <v>Total Pass Cukup Sedikit</v>
      </c>
      <c r="T582" t="str">
        <f t="shared" si="93"/>
        <v>Pass Sukses Sangat Sedikit</v>
      </c>
      <c r="U582" t="str">
        <f t="shared" si="94"/>
        <v>Total Shot Sangat Sedikit</v>
      </c>
      <c r="V582" t="str">
        <f t="shared" si="97"/>
        <v>Shot on Target Rendah</v>
      </c>
      <c r="W582" t="str">
        <f t="shared" si="98"/>
        <v>Fouls Tinggi</v>
      </c>
      <c r="X582" t="str">
        <f t="shared" si="99"/>
        <v>Corner Rendah</v>
      </c>
      <c r="Y582" t="str">
        <f t="shared" si="95"/>
        <v>Yellow Card Tinggi</v>
      </c>
      <c r="Z582" t="str">
        <f t="shared" si="96"/>
        <v>Red Card Rendah</v>
      </c>
    </row>
    <row r="583" spans="1:26" x14ac:dyDescent="0.25">
      <c r="A583" t="s">
        <v>34</v>
      </c>
      <c r="B583">
        <v>1.7</v>
      </c>
      <c r="C583">
        <v>56</v>
      </c>
      <c r="D583">
        <v>573</v>
      </c>
      <c r="E583">
        <v>478</v>
      </c>
      <c r="F583">
        <v>2</v>
      </c>
      <c r="G583" t="s">
        <v>35</v>
      </c>
      <c r="H583">
        <v>0</v>
      </c>
      <c r="I583" t="s">
        <v>35</v>
      </c>
      <c r="J583">
        <v>21</v>
      </c>
      <c r="K583">
        <v>5</v>
      </c>
      <c r="L583">
        <v>18</v>
      </c>
      <c r="M583">
        <v>3</v>
      </c>
      <c r="N583">
        <v>3</v>
      </c>
      <c r="O583">
        <v>0</v>
      </c>
      <c r="Q583" t="str">
        <f t="shared" si="90"/>
        <v>xG Cukup Sedikit</v>
      </c>
      <c r="R583" t="str">
        <f t="shared" si="91"/>
        <v>Possession Cukup Banyak</v>
      </c>
      <c r="S583" t="str">
        <f t="shared" si="92"/>
        <v>Total Pass Cukup Banyak</v>
      </c>
      <c r="T583" t="str">
        <f t="shared" si="93"/>
        <v>Pass Sukses Cukup Banyak</v>
      </c>
      <c r="U583" t="str">
        <f t="shared" si="94"/>
        <v>Total Shot Cukup Banyak</v>
      </c>
      <c r="V583" t="str">
        <f t="shared" si="97"/>
        <v>Shot on Target Tinggi</v>
      </c>
      <c r="W583" t="str">
        <f t="shared" si="98"/>
        <v>Fouls Tinggi</v>
      </c>
      <c r="X583" t="str">
        <f t="shared" si="99"/>
        <v>Corner Rendah</v>
      </c>
      <c r="Y583" t="str">
        <f t="shared" si="95"/>
        <v>Yellow Card Tinggi</v>
      </c>
      <c r="Z583" t="str">
        <f t="shared" si="96"/>
        <v>Red Card Rendah</v>
      </c>
    </row>
    <row r="584" spans="1:26" x14ac:dyDescent="0.25">
      <c r="A584" t="s">
        <v>39</v>
      </c>
      <c r="B584">
        <v>2</v>
      </c>
      <c r="C584">
        <v>70</v>
      </c>
      <c r="D584">
        <v>617</v>
      </c>
      <c r="E584">
        <v>508</v>
      </c>
      <c r="F584">
        <v>1</v>
      </c>
      <c r="G584" t="s">
        <v>36</v>
      </c>
      <c r="H584">
        <v>0</v>
      </c>
      <c r="I584" t="s">
        <v>35</v>
      </c>
      <c r="J584">
        <v>23</v>
      </c>
      <c r="K584">
        <v>7</v>
      </c>
      <c r="L584">
        <v>10</v>
      </c>
      <c r="M584">
        <v>9</v>
      </c>
      <c r="N584">
        <v>1</v>
      </c>
      <c r="O584">
        <v>0</v>
      </c>
      <c r="Q584" t="str">
        <f t="shared" si="90"/>
        <v>xG Cukup Sedikit</v>
      </c>
      <c r="R584" t="str">
        <f t="shared" si="91"/>
        <v>Possession Sangat Banyak</v>
      </c>
      <c r="S584" t="str">
        <f t="shared" si="92"/>
        <v>Total Pass Cukup Banyak</v>
      </c>
      <c r="T584" t="str">
        <f t="shared" si="93"/>
        <v>Pass Sukses Cukup Banyak</v>
      </c>
      <c r="U584" t="str">
        <f t="shared" si="94"/>
        <v>Total Shot Cukup Banyak</v>
      </c>
      <c r="V584" t="str">
        <f t="shared" si="97"/>
        <v>Shot on Target Tinggi</v>
      </c>
      <c r="W584" t="str">
        <f t="shared" si="98"/>
        <v>Fouls Normal</v>
      </c>
      <c r="X584" t="str">
        <f t="shared" si="99"/>
        <v>Corner Tinggi</v>
      </c>
      <c r="Y584" t="str">
        <f t="shared" si="95"/>
        <v>Yellow Card Rendah</v>
      </c>
      <c r="Z584" t="str">
        <f t="shared" si="96"/>
        <v>Red Card Rendah</v>
      </c>
    </row>
    <row r="585" spans="1:26" x14ac:dyDescent="0.25">
      <c r="A585" t="s">
        <v>52</v>
      </c>
      <c r="B585">
        <v>1.2</v>
      </c>
      <c r="C585">
        <v>50</v>
      </c>
      <c r="D585">
        <v>465</v>
      </c>
      <c r="E585">
        <v>368</v>
      </c>
      <c r="F585">
        <v>1</v>
      </c>
      <c r="G585" t="s">
        <v>40</v>
      </c>
      <c r="H585">
        <v>0</v>
      </c>
      <c r="I585" t="s">
        <v>36</v>
      </c>
      <c r="J585">
        <v>11</v>
      </c>
      <c r="K585">
        <v>3</v>
      </c>
      <c r="L585">
        <v>10</v>
      </c>
      <c r="M585">
        <v>5</v>
      </c>
      <c r="N585">
        <v>1</v>
      </c>
      <c r="O585">
        <v>0</v>
      </c>
      <c r="Q585" t="str">
        <f t="shared" si="90"/>
        <v>xG Sangat Sedikit</v>
      </c>
      <c r="R585" t="str">
        <f t="shared" si="91"/>
        <v>Possession Cukup Sedikit</v>
      </c>
      <c r="S585" t="str">
        <f t="shared" si="92"/>
        <v>Total Pass Cukup Sedikit</v>
      </c>
      <c r="T585" t="str">
        <f t="shared" si="93"/>
        <v>Pass Sukses Cukup Sedikit</v>
      </c>
      <c r="U585" t="str">
        <f t="shared" si="94"/>
        <v>Total Shot Cukup Sedikit</v>
      </c>
      <c r="V585" t="str">
        <f t="shared" si="97"/>
        <v>Shot on Target Rendah</v>
      </c>
      <c r="W585" t="str">
        <f t="shared" si="98"/>
        <v>Fouls Normal</v>
      </c>
      <c r="X585" t="str">
        <f t="shared" si="99"/>
        <v>Corner Normal</v>
      </c>
      <c r="Y585" t="str">
        <f t="shared" si="95"/>
        <v>Yellow Card Rendah</v>
      </c>
      <c r="Z585" t="str">
        <f t="shared" si="96"/>
        <v>Red Card Rendah</v>
      </c>
    </row>
    <row r="586" spans="1:26" x14ac:dyDescent="0.25">
      <c r="A586" t="s">
        <v>55</v>
      </c>
      <c r="B586">
        <v>1.8</v>
      </c>
      <c r="C586">
        <v>43</v>
      </c>
      <c r="D586">
        <v>485</v>
      </c>
      <c r="E586">
        <v>375</v>
      </c>
      <c r="F586">
        <v>2</v>
      </c>
      <c r="G586" t="s">
        <v>40</v>
      </c>
      <c r="H586">
        <v>0</v>
      </c>
      <c r="I586" t="s">
        <v>36</v>
      </c>
      <c r="J586">
        <v>9</v>
      </c>
      <c r="K586">
        <v>4</v>
      </c>
      <c r="L586">
        <v>6</v>
      </c>
      <c r="M586">
        <v>3</v>
      </c>
      <c r="N586">
        <v>0</v>
      </c>
      <c r="O586">
        <v>0</v>
      </c>
      <c r="Q586" t="str">
        <f t="shared" si="90"/>
        <v>xG Cukup Sedikit</v>
      </c>
      <c r="R586" t="str">
        <f t="shared" si="91"/>
        <v>Possession Cukup Sedikit</v>
      </c>
      <c r="S586" t="str">
        <f t="shared" si="92"/>
        <v>Total Pass Cukup Sedikit</v>
      </c>
      <c r="T586" t="str">
        <f t="shared" si="93"/>
        <v>Pass Sukses Cukup Sedikit</v>
      </c>
      <c r="U586" t="str">
        <f t="shared" si="94"/>
        <v>Total Shot Sangat Sedikit</v>
      </c>
      <c r="V586" t="str">
        <f t="shared" si="97"/>
        <v>Shot on Target Normal</v>
      </c>
      <c r="W586" t="str">
        <f t="shared" si="98"/>
        <v>Fouls Rendah</v>
      </c>
      <c r="X586" t="str">
        <f t="shared" si="99"/>
        <v>Corner Rendah</v>
      </c>
      <c r="Y586" t="str">
        <f t="shared" si="95"/>
        <v>Yellow Card Rendah</v>
      </c>
      <c r="Z586" t="str">
        <f t="shared" si="96"/>
        <v>Red Card Rendah</v>
      </c>
    </row>
    <row r="587" spans="1:26" x14ac:dyDescent="0.25">
      <c r="A587" t="s">
        <v>43</v>
      </c>
      <c r="B587">
        <v>1.6</v>
      </c>
      <c r="C587">
        <v>40</v>
      </c>
      <c r="D587">
        <v>413</v>
      </c>
      <c r="E587">
        <v>321</v>
      </c>
      <c r="F587">
        <v>0</v>
      </c>
      <c r="G587" t="s">
        <v>35</v>
      </c>
      <c r="H587">
        <v>0</v>
      </c>
      <c r="I587" t="s">
        <v>35</v>
      </c>
      <c r="J587">
        <v>13</v>
      </c>
      <c r="K587">
        <v>7</v>
      </c>
      <c r="L587">
        <v>13</v>
      </c>
      <c r="M587">
        <v>2</v>
      </c>
      <c r="N587">
        <v>2</v>
      </c>
      <c r="O587">
        <v>0</v>
      </c>
      <c r="Q587" t="str">
        <f t="shared" si="90"/>
        <v>xG Cukup Sedikit</v>
      </c>
      <c r="R587" t="str">
        <f t="shared" si="91"/>
        <v>Possession Cukup Sedikit</v>
      </c>
      <c r="S587" t="str">
        <f t="shared" si="92"/>
        <v>Total Pass Cukup Sedikit</v>
      </c>
      <c r="T587" t="str">
        <f t="shared" si="93"/>
        <v>Pass Sukses Cukup Sedikit</v>
      </c>
      <c r="U587" t="str">
        <f t="shared" si="94"/>
        <v>Total Shot Cukup Sedikit</v>
      </c>
      <c r="V587" t="str">
        <f t="shared" si="97"/>
        <v>Shot on Target Tinggi</v>
      </c>
      <c r="W587" t="str">
        <f t="shared" si="98"/>
        <v>Fouls Tinggi</v>
      </c>
      <c r="X587" t="str">
        <f t="shared" si="99"/>
        <v>Corner Rendah</v>
      </c>
      <c r="Y587" t="str">
        <f t="shared" si="95"/>
        <v>Yellow Card Rendah</v>
      </c>
      <c r="Z587" t="str">
        <f t="shared" si="96"/>
        <v>Red Card Rendah</v>
      </c>
    </row>
    <row r="588" spans="1:26" x14ac:dyDescent="0.25">
      <c r="A588" t="s">
        <v>60</v>
      </c>
      <c r="B588">
        <v>0.8</v>
      </c>
      <c r="C588">
        <v>47</v>
      </c>
      <c r="D588">
        <v>419</v>
      </c>
      <c r="E588">
        <v>341</v>
      </c>
      <c r="F588">
        <v>1</v>
      </c>
      <c r="G588" t="s">
        <v>35</v>
      </c>
      <c r="H588">
        <v>1</v>
      </c>
      <c r="I588" t="s">
        <v>35</v>
      </c>
      <c r="J588">
        <v>10</v>
      </c>
      <c r="K588">
        <v>2</v>
      </c>
      <c r="L588">
        <v>9</v>
      </c>
      <c r="M588">
        <v>4</v>
      </c>
      <c r="N588">
        <v>1</v>
      </c>
      <c r="O588">
        <v>0</v>
      </c>
      <c r="Q588" t="str">
        <f t="shared" si="90"/>
        <v>xG Sangat Sedikit</v>
      </c>
      <c r="R588" t="str">
        <f t="shared" si="91"/>
        <v>Possession Cukup Sedikit</v>
      </c>
      <c r="S588" t="str">
        <f t="shared" si="92"/>
        <v>Total Pass Cukup Sedikit</v>
      </c>
      <c r="T588" t="str">
        <f t="shared" si="93"/>
        <v>Pass Sukses Cukup Sedikit</v>
      </c>
      <c r="U588" t="str">
        <f t="shared" si="94"/>
        <v>Total Shot Sangat Sedikit</v>
      </c>
      <c r="V588" t="str">
        <f t="shared" si="97"/>
        <v>Shot on Target Rendah</v>
      </c>
      <c r="W588" t="str">
        <f t="shared" si="98"/>
        <v>Fouls Normal</v>
      </c>
      <c r="X588" t="str">
        <f t="shared" si="99"/>
        <v>Corner Rendah</v>
      </c>
      <c r="Y588" t="str">
        <f t="shared" si="95"/>
        <v>Yellow Card Rendah</v>
      </c>
      <c r="Z588" t="str">
        <f t="shared" si="96"/>
        <v>Red Card Rendah</v>
      </c>
    </row>
    <row r="589" spans="1:26" x14ac:dyDescent="0.25">
      <c r="A589" t="s">
        <v>45</v>
      </c>
      <c r="B589">
        <v>1</v>
      </c>
      <c r="C589">
        <v>53</v>
      </c>
      <c r="D589">
        <v>502</v>
      </c>
      <c r="E589">
        <v>413</v>
      </c>
      <c r="F589">
        <v>2</v>
      </c>
      <c r="G589" t="s">
        <v>40</v>
      </c>
      <c r="H589">
        <v>0</v>
      </c>
      <c r="I589" t="s">
        <v>36</v>
      </c>
      <c r="J589">
        <v>11</v>
      </c>
      <c r="K589">
        <v>5</v>
      </c>
      <c r="L589">
        <v>14</v>
      </c>
      <c r="M589">
        <v>9</v>
      </c>
      <c r="N589">
        <v>2</v>
      </c>
      <c r="O589">
        <v>0</v>
      </c>
      <c r="Q589" t="str">
        <f t="shared" si="90"/>
        <v>xG Sangat Sedikit</v>
      </c>
      <c r="R589" t="str">
        <f t="shared" si="91"/>
        <v>Possession Cukup Banyak</v>
      </c>
      <c r="S589" t="str">
        <f t="shared" si="92"/>
        <v>Total Pass Cukup Sedikit</v>
      </c>
      <c r="T589" t="str">
        <f t="shared" si="93"/>
        <v>Pass Sukses Cukup Sedikit</v>
      </c>
      <c r="U589" t="str">
        <f t="shared" si="94"/>
        <v>Total Shot Cukup Sedikit</v>
      </c>
      <c r="V589" t="str">
        <f t="shared" si="97"/>
        <v>Shot on Target Tinggi</v>
      </c>
      <c r="W589" t="str">
        <f t="shared" si="98"/>
        <v>Fouls Tinggi</v>
      </c>
      <c r="X589" t="str">
        <f t="shared" si="99"/>
        <v>Corner Tinggi</v>
      </c>
      <c r="Y589" t="str">
        <f t="shared" si="95"/>
        <v>Yellow Card Rendah</v>
      </c>
      <c r="Z589" t="str">
        <f t="shared" si="96"/>
        <v>Red Card Rendah</v>
      </c>
    </row>
    <row r="590" spans="1:26" x14ac:dyDescent="0.25">
      <c r="A590" t="s">
        <v>47</v>
      </c>
      <c r="B590">
        <v>1.4</v>
      </c>
      <c r="C590">
        <v>40</v>
      </c>
      <c r="D590">
        <v>426</v>
      </c>
      <c r="E590">
        <v>335</v>
      </c>
      <c r="F590">
        <v>1</v>
      </c>
      <c r="G590" t="s">
        <v>35</v>
      </c>
      <c r="H590">
        <v>1</v>
      </c>
      <c r="I590" t="s">
        <v>40</v>
      </c>
      <c r="J590">
        <v>13</v>
      </c>
      <c r="K590">
        <v>5</v>
      </c>
      <c r="L590">
        <v>10</v>
      </c>
      <c r="M590">
        <v>4</v>
      </c>
      <c r="N590">
        <v>3</v>
      </c>
      <c r="O590">
        <v>0</v>
      </c>
      <c r="Q590" t="str">
        <f t="shared" si="90"/>
        <v>xG Sangat Sedikit</v>
      </c>
      <c r="R590" t="str">
        <f t="shared" si="91"/>
        <v>Possession Cukup Sedikit</v>
      </c>
      <c r="S590" t="str">
        <f t="shared" si="92"/>
        <v>Total Pass Cukup Sedikit</v>
      </c>
      <c r="T590" t="str">
        <f t="shared" si="93"/>
        <v>Pass Sukses Cukup Sedikit</v>
      </c>
      <c r="U590" t="str">
        <f t="shared" si="94"/>
        <v>Total Shot Cukup Sedikit</v>
      </c>
      <c r="V590" t="str">
        <f t="shared" si="97"/>
        <v>Shot on Target Tinggi</v>
      </c>
      <c r="W590" t="str">
        <f t="shared" si="98"/>
        <v>Fouls Normal</v>
      </c>
      <c r="X590" t="str">
        <f t="shared" si="99"/>
        <v>Corner Rendah</v>
      </c>
      <c r="Y590" t="str">
        <f t="shared" si="95"/>
        <v>Yellow Card Tinggi</v>
      </c>
      <c r="Z590" t="str">
        <f t="shared" si="96"/>
        <v>Red Card Rendah</v>
      </c>
    </row>
    <row r="591" spans="1:26" x14ac:dyDescent="0.25">
      <c r="A591" t="s">
        <v>49</v>
      </c>
      <c r="B591">
        <v>2</v>
      </c>
      <c r="C591">
        <v>44</v>
      </c>
      <c r="D591">
        <v>363</v>
      </c>
      <c r="E591">
        <v>262</v>
      </c>
      <c r="F591">
        <v>4</v>
      </c>
      <c r="G591" t="s">
        <v>40</v>
      </c>
      <c r="H591">
        <v>2</v>
      </c>
      <c r="I591" t="s">
        <v>40</v>
      </c>
      <c r="J591">
        <v>19</v>
      </c>
      <c r="K591">
        <v>10</v>
      </c>
      <c r="L591">
        <v>18</v>
      </c>
      <c r="M591">
        <v>6</v>
      </c>
      <c r="N591">
        <v>6</v>
      </c>
      <c r="O591">
        <v>0</v>
      </c>
      <c r="Q591" t="str">
        <f t="shared" si="90"/>
        <v>xG Cukup Sedikit</v>
      </c>
      <c r="R591" t="str">
        <f t="shared" si="91"/>
        <v>Possession Cukup Sedikit</v>
      </c>
      <c r="S591" t="str">
        <f t="shared" si="92"/>
        <v>Total Pass Cukup Sedikit</v>
      </c>
      <c r="T591" t="str">
        <f t="shared" si="93"/>
        <v>Pass Sukses Sangat Sedikit</v>
      </c>
      <c r="U591" t="str">
        <f t="shared" si="94"/>
        <v>Total Shot Cukup Sedikit</v>
      </c>
      <c r="V591" t="str">
        <f t="shared" si="97"/>
        <v>Shot on Target Tinggi</v>
      </c>
      <c r="W591" t="str">
        <f t="shared" si="98"/>
        <v>Fouls Tinggi</v>
      </c>
      <c r="X591" t="str">
        <f t="shared" si="99"/>
        <v>Corner Tinggi</v>
      </c>
      <c r="Y591" t="str">
        <f t="shared" si="95"/>
        <v>Yellow Card Tinggi</v>
      </c>
      <c r="Z591" t="str">
        <f t="shared" si="96"/>
        <v>Red Card Rendah</v>
      </c>
    </row>
    <row r="592" spans="1:26" x14ac:dyDescent="0.25">
      <c r="A592" t="s">
        <v>39</v>
      </c>
      <c r="B592">
        <v>3.4</v>
      </c>
      <c r="C592">
        <v>60</v>
      </c>
      <c r="D592">
        <v>532</v>
      </c>
      <c r="E592">
        <v>449</v>
      </c>
      <c r="F592">
        <v>2</v>
      </c>
      <c r="G592" t="s">
        <v>40</v>
      </c>
      <c r="H592">
        <v>0</v>
      </c>
      <c r="I592" t="s">
        <v>36</v>
      </c>
      <c r="J592">
        <v>37</v>
      </c>
      <c r="K592">
        <v>8</v>
      </c>
      <c r="L592">
        <v>14</v>
      </c>
      <c r="M592">
        <v>15</v>
      </c>
      <c r="N592">
        <v>3</v>
      </c>
      <c r="O592">
        <v>0</v>
      </c>
      <c r="Q592" t="str">
        <f t="shared" si="90"/>
        <v>xG Cukup Banyak</v>
      </c>
      <c r="R592" t="str">
        <f t="shared" si="91"/>
        <v>Possession Cukup Banyak</v>
      </c>
      <c r="S592" t="str">
        <f t="shared" si="92"/>
        <v>Total Pass Cukup Banyak</v>
      </c>
      <c r="T592" t="str">
        <f t="shared" si="93"/>
        <v>Pass Sukses Cukup Banyak</v>
      </c>
      <c r="U592" t="str">
        <f t="shared" si="94"/>
        <v>Total Shot Sangat Banyak</v>
      </c>
      <c r="V592" t="str">
        <f t="shared" si="97"/>
        <v>Shot on Target Tinggi</v>
      </c>
      <c r="W592" t="str">
        <f t="shared" si="98"/>
        <v>Fouls Tinggi</v>
      </c>
      <c r="X592" t="str">
        <f t="shared" si="99"/>
        <v>Corner Tinggi</v>
      </c>
      <c r="Y592" t="str">
        <f t="shared" si="95"/>
        <v>Yellow Card Tinggi</v>
      </c>
      <c r="Z592" t="str">
        <f t="shared" si="96"/>
        <v>Red Card Rendah</v>
      </c>
    </row>
    <row r="593" spans="1:26" x14ac:dyDescent="0.25">
      <c r="A593" t="s">
        <v>34</v>
      </c>
      <c r="B593">
        <v>2</v>
      </c>
      <c r="C593">
        <v>60</v>
      </c>
      <c r="D593">
        <v>639</v>
      </c>
      <c r="E593">
        <v>540</v>
      </c>
      <c r="F593">
        <v>2</v>
      </c>
      <c r="G593" t="s">
        <v>40</v>
      </c>
      <c r="H593">
        <v>0</v>
      </c>
      <c r="I593" t="s">
        <v>36</v>
      </c>
      <c r="J593">
        <v>17</v>
      </c>
      <c r="K593">
        <v>2</v>
      </c>
      <c r="L593">
        <v>8</v>
      </c>
      <c r="M593">
        <v>2</v>
      </c>
      <c r="N593">
        <v>1</v>
      </c>
      <c r="O593">
        <v>0</v>
      </c>
      <c r="Q593" t="str">
        <f t="shared" si="90"/>
        <v>xG Cukup Sedikit</v>
      </c>
      <c r="R593" t="str">
        <f t="shared" si="91"/>
        <v>Possession Cukup Banyak</v>
      </c>
      <c r="S593" t="str">
        <f t="shared" si="92"/>
        <v>Total Pass Cukup Banyak</v>
      </c>
      <c r="T593" t="str">
        <f t="shared" si="93"/>
        <v>Pass Sukses Cukup Banyak</v>
      </c>
      <c r="U593" t="str">
        <f t="shared" si="94"/>
        <v>Total Shot Cukup Sedikit</v>
      </c>
      <c r="V593" t="str">
        <f t="shared" si="97"/>
        <v>Shot on Target Rendah</v>
      </c>
      <c r="W593" t="str">
        <f t="shared" si="98"/>
        <v>Fouls Rendah</v>
      </c>
      <c r="X593" t="str">
        <f t="shared" si="99"/>
        <v>Corner Rendah</v>
      </c>
      <c r="Y593" t="str">
        <f t="shared" si="95"/>
        <v>Yellow Card Rendah</v>
      </c>
      <c r="Z593" t="str">
        <f t="shared" si="96"/>
        <v>Red Card Rendah</v>
      </c>
    </row>
    <row r="594" spans="1:26" x14ac:dyDescent="0.25">
      <c r="A594" t="s">
        <v>55</v>
      </c>
      <c r="B594">
        <v>1.3</v>
      </c>
      <c r="C594">
        <v>47</v>
      </c>
      <c r="D594">
        <v>512</v>
      </c>
      <c r="E594">
        <v>405</v>
      </c>
      <c r="F594">
        <v>2</v>
      </c>
      <c r="G594" t="s">
        <v>40</v>
      </c>
      <c r="H594">
        <v>0</v>
      </c>
      <c r="I594" t="s">
        <v>36</v>
      </c>
      <c r="J594">
        <v>12</v>
      </c>
      <c r="K594">
        <v>7</v>
      </c>
      <c r="L594">
        <v>10</v>
      </c>
      <c r="M594">
        <v>4</v>
      </c>
      <c r="N594">
        <v>0</v>
      </c>
      <c r="O594">
        <v>0</v>
      </c>
      <c r="Q594" t="str">
        <f t="shared" si="90"/>
        <v>xG Sangat Sedikit</v>
      </c>
      <c r="R594" t="str">
        <f t="shared" si="91"/>
        <v>Possession Cukup Sedikit</v>
      </c>
      <c r="S594" t="str">
        <f t="shared" si="92"/>
        <v>Total Pass Cukup Banyak</v>
      </c>
      <c r="T594" t="str">
        <f t="shared" si="93"/>
        <v>Pass Sukses Cukup Sedikit</v>
      </c>
      <c r="U594" t="str">
        <f t="shared" si="94"/>
        <v>Total Shot Cukup Sedikit</v>
      </c>
      <c r="V594" t="str">
        <f t="shared" si="97"/>
        <v>Shot on Target Tinggi</v>
      </c>
      <c r="W594" t="str">
        <f t="shared" si="98"/>
        <v>Fouls Normal</v>
      </c>
      <c r="X594" t="str">
        <f t="shared" si="99"/>
        <v>Corner Rendah</v>
      </c>
      <c r="Y594" t="str">
        <f t="shared" si="95"/>
        <v>Yellow Card Rendah</v>
      </c>
      <c r="Z594" t="str">
        <f t="shared" si="96"/>
        <v>Red Card Rendah</v>
      </c>
    </row>
    <row r="595" spans="1:26" x14ac:dyDescent="0.25">
      <c r="A595" t="s">
        <v>52</v>
      </c>
      <c r="B595">
        <v>1</v>
      </c>
      <c r="C595">
        <v>34</v>
      </c>
      <c r="D595">
        <v>284</v>
      </c>
      <c r="E595">
        <v>204</v>
      </c>
      <c r="F595">
        <v>2</v>
      </c>
      <c r="G595" t="s">
        <v>36</v>
      </c>
      <c r="H595">
        <v>0</v>
      </c>
      <c r="I595" t="s">
        <v>35</v>
      </c>
      <c r="J595">
        <v>8</v>
      </c>
      <c r="K595">
        <v>4</v>
      </c>
      <c r="L595">
        <v>18</v>
      </c>
      <c r="M595">
        <v>1</v>
      </c>
      <c r="N595">
        <v>3</v>
      </c>
      <c r="O595">
        <v>0</v>
      </c>
      <c r="Q595" t="str">
        <f t="shared" si="90"/>
        <v>xG Sangat Sedikit</v>
      </c>
      <c r="R595" t="str">
        <f t="shared" si="91"/>
        <v>Possession Sangat Sedikit</v>
      </c>
      <c r="S595" t="str">
        <f t="shared" si="92"/>
        <v>Total Pass Sangat Sedikit</v>
      </c>
      <c r="T595" t="str">
        <f t="shared" si="93"/>
        <v>Pass Sukses Sangat Sedikit</v>
      </c>
      <c r="U595" t="str">
        <f t="shared" si="94"/>
        <v>Total Shot Sangat Sedikit</v>
      </c>
      <c r="V595" t="str">
        <f t="shared" si="97"/>
        <v>Shot on Target Normal</v>
      </c>
      <c r="W595" t="str">
        <f t="shared" si="98"/>
        <v>Fouls Tinggi</v>
      </c>
      <c r="X595" t="str">
        <f t="shared" si="99"/>
        <v>Corner Rendah</v>
      </c>
      <c r="Y595" t="str">
        <f t="shared" si="95"/>
        <v>Yellow Card Tinggi</v>
      </c>
      <c r="Z595" t="str">
        <f t="shared" si="96"/>
        <v>Red Card Rendah</v>
      </c>
    </row>
    <row r="596" spans="1:26" x14ac:dyDescent="0.25">
      <c r="A596" t="s">
        <v>60</v>
      </c>
      <c r="B596">
        <v>1.1000000000000001</v>
      </c>
      <c r="C596">
        <v>64</v>
      </c>
      <c r="D596">
        <v>660</v>
      </c>
      <c r="E596">
        <v>557</v>
      </c>
      <c r="F596">
        <v>2</v>
      </c>
      <c r="G596" t="s">
        <v>35</v>
      </c>
      <c r="H596">
        <v>0</v>
      </c>
      <c r="I596" t="s">
        <v>35</v>
      </c>
      <c r="J596">
        <v>11</v>
      </c>
      <c r="K596">
        <v>6</v>
      </c>
      <c r="L596">
        <v>14</v>
      </c>
      <c r="M596">
        <v>8</v>
      </c>
      <c r="N596">
        <v>1</v>
      </c>
      <c r="O596">
        <v>0</v>
      </c>
      <c r="Q596" t="str">
        <f t="shared" si="90"/>
        <v>xG Sangat Sedikit</v>
      </c>
      <c r="R596" t="str">
        <f t="shared" si="91"/>
        <v>Possession Sangat Banyak</v>
      </c>
      <c r="S596" t="str">
        <f t="shared" si="92"/>
        <v>Total Pass Sangat Banyak</v>
      </c>
      <c r="T596" t="str">
        <f t="shared" si="93"/>
        <v>Pass Sukses Cukup Banyak</v>
      </c>
      <c r="U596" t="str">
        <f t="shared" si="94"/>
        <v>Total Shot Cukup Sedikit</v>
      </c>
      <c r="V596" t="str">
        <f t="shared" si="97"/>
        <v>Shot on Target Tinggi</v>
      </c>
      <c r="W596" t="str">
        <f t="shared" si="98"/>
        <v>Fouls Tinggi</v>
      </c>
      <c r="X596" t="str">
        <f t="shared" si="99"/>
        <v>Corner Tinggi</v>
      </c>
      <c r="Y596" t="str">
        <f t="shared" si="95"/>
        <v>Yellow Card Rendah</v>
      </c>
      <c r="Z596" t="str">
        <f t="shared" si="96"/>
        <v>Red Card Rendah</v>
      </c>
    </row>
    <row r="597" spans="1:26" x14ac:dyDescent="0.25">
      <c r="A597" t="s">
        <v>45</v>
      </c>
      <c r="B597">
        <v>1.9</v>
      </c>
      <c r="C597">
        <v>49</v>
      </c>
      <c r="D597">
        <v>469</v>
      </c>
      <c r="E597">
        <v>370</v>
      </c>
      <c r="F597">
        <v>3</v>
      </c>
      <c r="G597" t="s">
        <v>40</v>
      </c>
      <c r="H597">
        <v>1</v>
      </c>
      <c r="I597" t="s">
        <v>36</v>
      </c>
      <c r="J597">
        <v>6</v>
      </c>
      <c r="K597">
        <v>3</v>
      </c>
      <c r="L597">
        <v>12</v>
      </c>
      <c r="M597">
        <v>2</v>
      </c>
      <c r="N597">
        <v>3</v>
      </c>
      <c r="O597">
        <v>0</v>
      </c>
      <c r="Q597" t="str">
        <f t="shared" si="90"/>
        <v>xG Cukup Sedikit</v>
      </c>
      <c r="R597" t="str">
        <f t="shared" si="91"/>
        <v>Possession Cukup Sedikit</v>
      </c>
      <c r="S597" t="str">
        <f t="shared" si="92"/>
        <v>Total Pass Cukup Sedikit</v>
      </c>
      <c r="T597" t="str">
        <f t="shared" si="93"/>
        <v>Pass Sukses Cukup Sedikit</v>
      </c>
      <c r="U597" t="str">
        <f t="shared" si="94"/>
        <v>Total Shot Sangat Sedikit</v>
      </c>
      <c r="V597" t="str">
        <f t="shared" si="97"/>
        <v>Shot on Target Rendah</v>
      </c>
      <c r="W597" t="str">
        <f t="shared" si="98"/>
        <v>Fouls Tinggi</v>
      </c>
      <c r="X597" t="str">
        <f t="shared" si="99"/>
        <v>Corner Rendah</v>
      </c>
      <c r="Y597" t="str">
        <f t="shared" si="95"/>
        <v>Yellow Card Tinggi</v>
      </c>
      <c r="Z597" t="str">
        <f t="shared" si="96"/>
        <v>Red Card Rendah</v>
      </c>
    </row>
    <row r="598" spans="1:26" x14ac:dyDescent="0.25">
      <c r="A598" t="s">
        <v>47</v>
      </c>
      <c r="B598">
        <v>0.9</v>
      </c>
      <c r="C598">
        <v>55</v>
      </c>
      <c r="D598">
        <v>515</v>
      </c>
      <c r="E598">
        <v>439</v>
      </c>
      <c r="F598">
        <v>2</v>
      </c>
      <c r="G598" t="s">
        <v>35</v>
      </c>
      <c r="H598">
        <v>0</v>
      </c>
      <c r="I598" t="s">
        <v>35</v>
      </c>
      <c r="J598">
        <v>10</v>
      </c>
      <c r="K598">
        <v>4</v>
      </c>
      <c r="L598">
        <v>18</v>
      </c>
      <c r="M598">
        <v>8</v>
      </c>
      <c r="N598">
        <v>4</v>
      </c>
      <c r="O598">
        <v>0</v>
      </c>
      <c r="Q598" t="str">
        <f t="shared" si="90"/>
        <v>xG Sangat Sedikit</v>
      </c>
      <c r="R598" t="str">
        <f t="shared" si="91"/>
        <v>Possession Cukup Banyak</v>
      </c>
      <c r="S598" t="str">
        <f t="shared" si="92"/>
        <v>Total Pass Cukup Banyak</v>
      </c>
      <c r="T598" t="str">
        <f t="shared" si="93"/>
        <v>Pass Sukses Cukup Banyak</v>
      </c>
      <c r="U598" t="str">
        <f t="shared" si="94"/>
        <v>Total Shot Sangat Sedikit</v>
      </c>
      <c r="V598" t="str">
        <f t="shared" si="97"/>
        <v>Shot on Target Normal</v>
      </c>
      <c r="W598" t="str">
        <f t="shared" si="98"/>
        <v>Fouls Tinggi</v>
      </c>
      <c r="X598" t="str">
        <f t="shared" si="99"/>
        <v>Corner Tinggi</v>
      </c>
      <c r="Y598" t="str">
        <f t="shared" si="95"/>
        <v>Yellow Card Tinggi</v>
      </c>
      <c r="Z598" t="str">
        <f t="shared" si="96"/>
        <v>Red Card Rendah</v>
      </c>
    </row>
    <row r="599" spans="1:26" x14ac:dyDescent="0.25">
      <c r="A599" t="s">
        <v>58</v>
      </c>
      <c r="B599">
        <v>3</v>
      </c>
      <c r="C599">
        <v>67</v>
      </c>
      <c r="D599">
        <v>773</v>
      </c>
      <c r="E599">
        <v>700</v>
      </c>
      <c r="F599">
        <v>6</v>
      </c>
      <c r="G599" t="s">
        <v>40</v>
      </c>
      <c r="H599">
        <v>3</v>
      </c>
      <c r="I599" t="s">
        <v>40</v>
      </c>
      <c r="J599">
        <v>17</v>
      </c>
      <c r="K599">
        <v>9</v>
      </c>
      <c r="L599">
        <v>7</v>
      </c>
      <c r="M599">
        <v>7</v>
      </c>
      <c r="N599">
        <v>1</v>
      </c>
      <c r="O599">
        <v>0</v>
      </c>
      <c r="Q599" t="str">
        <f t="shared" si="90"/>
        <v>xG Cukup Banyak</v>
      </c>
      <c r="R599" t="str">
        <f t="shared" si="91"/>
        <v>Possession Sangat Banyak</v>
      </c>
      <c r="S599" t="str">
        <f t="shared" si="92"/>
        <v>Total Pass Sangat Banyak</v>
      </c>
      <c r="T599" t="str">
        <f t="shared" si="93"/>
        <v>Pass Sukses Sangat Banyak</v>
      </c>
      <c r="U599" t="str">
        <f t="shared" si="94"/>
        <v>Total Shot Cukup Sedikit</v>
      </c>
      <c r="V599" t="str">
        <f t="shared" si="97"/>
        <v>Shot on Target Tinggi</v>
      </c>
      <c r="W599" t="str">
        <f t="shared" si="98"/>
        <v>Fouls Rendah</v>
      </c>
      <c r="X599" t="str">
        <f t="shared" si="99"/>
        <v>Corner Tinggi</v>
      </c>
      <c r="Y599" t="str">
        <f t="shared" si="95"/>
        <v>Yellow Card Rendah</v>
      </c>
      <c r="Z599" t="str">
        <f t="shared" si="96"/>
        <v>Red Card Rendah</v>
      </c>
    </row>
    <row r="600" spans="1:26" x14ac:dyDescent="0.25">
      <c r="A600" t="s">
        <v>43</v>
      </c>
      <c r="B600">
        <v>0.8</v>
      </c>
      <c r="C600">
        <v>37</v>
      </c>
      <c r="D600">
        <v>374</v>
      </c>
      <c r="E600">
        <v>284</v>
      </c>
      <c r="F600">
        <v>1</v>
      </c>
      <c r="G600" t="s">
        <v>35</v>
      </c>
      <c r="H600">
        <v>1</v>
      </c>
      <c r="I600" t="s">
        <v>36</v>
      </c>
      <c r="J600">
        <v>9</v>
      </c>
      <c r="K600">
        <v>4</v>
      </c>
      <c r="L600">
        <v>14</v>
      </c>
      <c r="M600">
        <v>6</v>
      </c>
      <c r="N600">
        <v>2</v>
      </c>
      <c r="O600">
        <v>0</v>
      </c>
      <c r="Q600" t="str">
        <f t="shared" si="90"/>
        <v>xG Sangat Sedikit</v>
      </c>
      <c r="R600" t="str">
        <f t="shared" si="91"/>
        <v>Possession Cukup Sedikit</v>
      </c>
      <c r="S600" t="str">
        <f t="shared" si="92"/>
        <v>Total Pass Cukup Sedikit</v>
      </c>
      <c r="T600" t="str">
        <f t="shared" si="93"/>
        <v>Pass Sukses Cukup Sedikit</v>
      </c>
      <c r="U600" t="str">
        <f t="shared" si="94"/>
        <v>Total Shot Sangat Sedikit</v>
      </c>
      <c r="V600" t="str">
        <f t="shared" si="97"/>
        <v>Shot on Target Normal</v>
      </c>
      <c r="W600" t="str">
        <f t="shared" si="98"/>
        <v>Fouls Tinggi</v>
      </c>
      <c r="X600" t="str">
        <f t="shared" si="99"/>
        <v>Corner Tinggi</v>
      </c>
      <c r="Y600" t="str">
        <f t="shared" si="95"/>
        <v>Yellow Card Rendah</v>
      </c>
      <c r="Z600" t="str">
        <f t="shared" si="96"/>
        <v>Red Card Rendah</v>
      </c>
    </row>
    <row r="601" spans="1:26" x14ac:dyDescent="0.25">
      <c r="A601" t="s">
        <v>48</v>
      </c>
      <c r="B601">
        <v>1</v>
      </c>
      <c r="C601">
        <v>50</v>
      </c>
      <c r="D601">
        <v>386</v>
      </c>
      <c r="E601">
        <v>278</v>
      </c>
      <c r="F601">
        <v>0</v>
      </c>
      <c r="G601" t="s">
        <v>35</v>
      </c>
      <c r="H601">
        <v>0</v>
      </c>
      <c r="I601" t="s">
        <v>35</v>
      </c>
      <c r="J601">
        <v>18</v>
      </c>
      <c r="K601">
        <v>4</v>
      </c>
      <c r="L601">
        <v>12</v>
      </c>
      <c r="M601">
        <v>9</v>
      </c>
      <c r="N601">
        <v>3</v>
      </c>
      <c r="O601">
        <v>0</v>
      </c>
      <c r="Q601" t="str">
        <f t="shared" si="90"/>
        <v>xG Sangat Sedikit</v>
      </c>
      <c r="R601" t="str">
        <f t="shared" si="91"/>
        <v>Possession Cukup Sedikit</v>
      </c>
      <c r="S601" t="str">
        <f t="shared" si="92"/>
        <v>Total Pass Cukup Sedikit</v>
      </c>
      <c r="T601" t="str">
        <f t="shared" si="93"/>
        <v>Pass Sukses Sangat Sedikit</v>
      </c>
      <c r="U601" t="str">
        <f t="shared" si="94"/>
        <v>Total Shot Cukup Sedikit</v>
      </c>
      <c r="V601" t="str">
        <f t="shared" si="97"/>
        <v>Shot on Target Normal</v>
      </c>
      <c r="W601" t="str">
        <f t="shared" si="98"/>
        <v>Fouls Tinggi</v>
      </c>
      <c r="X601" t="str">
        <f t="shared" si="99"/>
        <v>Corner Tinggi</v>
      </c>
      <c r="Y601" t="str">
        <f t="shared" si="95"/>
        <v>Yellow Card Tinggi</v>
      </c>
      <c r="Z601" t="str">
        <f t="shared" si="96"/>
        <v>Red Card Rendah</v>
      </c>
    </row>
    <row r="602" spans="1:26" x14ac:dyDescent="0.25">
      <c r="A602" t="s">
        <v>44</v>
      </c>
      <c r="B602">
        <v>0.8</v>
      </c>
      <c r="C602">
        <v>31</v>
      </c>
      <c r="D602">
        <v>320</v>
      </c>
      <c r="E602">
        <v>234</v>
      </c>
      <c r="F602">
        <v>1</v>
      </c>
      <c r="G602" t="s">
        <v>40</v>
      </c>
      <c r="H602">
        <v>1</v>
      </c>
      <c r="I602" t="s">
        <v>40</v>
      </c>
      <c r="J602">
        <v>3</v>
      </c>
      <c r="K602">
        <v>1</v>
      </c>
      <c r="L602">
        <v>11</v>
      </c>
      <c r="M602">
        <v>1</v>
      </c>
      <c r="N602">
        <v>4</v>
      </c>
      <c r="O602">
        <v>0</v>
      </c>
      <c r="Q602" t="str">
        <f t="shared" si="90"/>
        <v>xG Sangat Sedikit</v>
      </c>
      <c r="R602" t="str">
        <f t="shared" si="91"/>
        <v>Possession Sangat Sedikit</v>
      </c>
      <c r="S602" t="str">
        <f t="shared" si="92"/>
        <v>Total Pass Sangat Sedikit</v>
      </c>
      <c r="T602" t="str">
        <f t="shared" si="93"/>
        <v>Pass Sukses Sangat Sedikit</v>
      </c>
      <c r="U602" t="str">
        <f t="shared" si="94"/>
        <v>Total Shot Sangat Sedikit</v>
      </c>
      <c r="V602" t="str">
        <f t="shared" si="97"/>
        <v>Shot on Target Rendah</v>
      </c>
      <c r="W602" t="str">
        <f t="shared" si="98"/>
        <v>Fouls Normal</v>
      </c>
      <c r="X602" t="str">
        <f t="shared" si="99"/>
        <v>Corner Rendah</v>
      </c>
      <c r="Y602" t="str">
        <f t="shared" si="95"/>
        <v>Yellow Card Tinggi</v>
      </c>
      <c r="Z602" t="str">
        <f t="shared" si="96"/>
        <v>Red Card Rendah</v>
      </c>
    </row>
    <row r="603" spans="1:26" x14ac:dyDescent="0.25">
      <c r="A603" t="s">
        <v>38</v>
      </c>
      <c r="B603">
        <v>0.5</v>
      </c>
      <c r="C603">
        <v>30</v>
      </c>
      <c r="D603">
        <v>337</v>
      </c>
      <c r="E603">
        <v>254</v>
      </c>
      <c r="F603">
        <v>1</v>
      </c>
      <c r="G603" t="s">
        <v>35</v>
      </c>
      <c r="H603">
        <v>0</v>
      </c>
      <c r="I603" t="s">
        <v>35</v>
      </c>
      <c r="J603">
        <v>3</v>
      </c>
      <c r="K603">
        <v>3</v>
      </c>
      <c r="L603">
        <v>11</v>
      </c>
      <c r="M603">
        <v>4</v>
      </c>
      <c r="N603">
        <v>2</v>
      </c>
      <c r="O603">
        <v>0</v>
      </c>
      <c r="Q603" t="str">
        <f t="shared" si="90"/>
        <v>xG Sangat Sedikit</v>
      </c>
      <c r="R603" t="str">
        <f t="shared" si="91"/>
        <v>Possession Sangat Sedikit</v>
      </c>
      <c r="S603" t="str">
        <f t="shared" si="92"/>
        <v>Total Pass Sangat Sedikit</v>
      </c>
      <c r="T603" t="str">
        <f t="shared" si="93"/>
        <v>Pass Sukses Sangat Sedikit</v>
      </c>
      <c r="U603" t="str">
        <f t="shared" si="94"/>
        <v>Total Shot Sangat Sedikit</v>
      </c>
      <c r="V603" t="str">
        <f t="shared" si="97"/>
        <v>Shot on Target Rendah</v>
      </c>
      <c r="W603" t="str">
        <f t="shared" si="98"/>
        <v>Fouls Normal</v>
      </c>
      <c r="X603" t="str">
        <f t="shared" si="99"/>
        <v>Corner Rendah</v>
      </c>
      <c r="Y603" t="str">
        <f t="shared" si="95"/>
        <v>Yellow Card Rendah</v>
      </c>
      <c r="Z603" t="str">
        <f t="shared" si="96"/>
        <v>Red Card Rendah</v>
      </c>
    </row>
    <row r="604" spans="1:26" x14ac:dyDescent="0.25">
      <c r="A604" t="s">
        <v>46</v>
      </c>
      <c r="B604">
        <v>2.9</v>
      </c>
      <c r="C604">
        <v>47</v>
      </c>
      <c r="D604">
        <v>457</v>
      </c>
      <c r="E604">
        <v>371</v>
      </c>
      <c r="F604">
        <v>3</v>
      </c>
      <c r="G604" t="s">
        <v>40</v>
      </c>
      <c r="H604">
        <v>2</v>
      </c>
      <c r="I604" t="s">
        <v>40</v>
      </c>
      <c r="J604">
        <v>17</v>
      </c>
      <c r="K604">
        <v>9</v>
      </c>
      <c r="L604">
        <v>5</v>
      </c>
      <c r="M604">
        <v>8</v>
      </c>
      <c r="N604">
        <v>0</v>
      </c>
      <c r="O604">
        <v>0</v>
      </c>
      <c r="Q604" t="str">
        <f t="shared" si="90"/>
        <v>xG Cukup Banyak</v>
      </c>
      <c r="R604" t="str">
        <f t="shared" si="91"/>
        <v>Possession Cukup Sedikit</v>
      </c>
      <c r="S604" t="str">
        <f t="shared" si="92"/>
        <v>Total Pass Cukup Sedikit</v>
      </c>
      <c r="T604" t="str">
        <f t="shared" si="93"/>
        <v>Pass Sukses Cukup Sedikit</v>
      </c>
      <c r="U604" t="str">
        <f t="shared" si="94"/>
        <v>Total Shot Cukup Sedikit</v>
      </c>
      <c r="V604" t="str">
        <f t="shared" si="97"/>
        <v>Shot on Target Tinggi</v>
      </c>
      <c r="W604" t="str">
        <f t="shared" si="98"/>
        <v>Fouls Rendah</v>
      </c>
      <c r="X604" t="str">
        <f t="shared" si="99"/>
        <v>Corner Tinggi</v>
      </c>
      <c r="Y604" t="str">
        <f t="shared" si="95"/>
        <v>Yellow Card Rendah</v>
      </c>
      <c r="Z604" t="str">
        <f t="shared" si="96"/>
        <v>Red Card Rendah</v>
      </c>
    </row>
    <row r="605" spans="1:26" x14ac:dyDescent="0.25">
      <c r="A605" t="s">
        <v>42</v>
      </c>
      <c r="B605">
        <v>1</v>
      </c>
      <c r="C605">
        <v>49</v>
      </c>
      <c r="D605">
        <v>451</v>
      </c>
      <c r="E605">
        <v>359</v>
      </c>
      <c r="F605">
        <v>1</v>
      </c>
      <c r="G605" t="s">
        <v>40</v>
      </c>
      <c r="H605">
        <v>0</v>
      </c>
      <c r="I605" t="s">
        <v>36</v>
      </c>
      <c r="J605">
        <v>9</v>
      </c>
      <c r="K605">
        <v>3</v>
      </c>
      <c r="L605">
        <v>10</v>
      </c>
      <c r="M605">
        <v>5</v>
      </c>
      <c r="N605">
        <v>1</v>
      </c>
      <c r="O605">
        <v>1</v>
      </c>
      <c r="Q605" t="str">
        <f t="shared" si="90"/>
        <v>xG Sangat Sedikit</v>
      </c>
      <c r="R605" t="str">
        <f t="shared" si="91"/>
        <v>Possession Cukup Sedikit</v>
      </c>
      <c r="S605" t="str">
        <f t="shared" si="92"/>
        <v>Total Pass Cukup Sedikit</v>
      </c>
      <c r="T605" t="str">
        <f t="shared" si="93"/>
        <v>Pass Sukses Cukup Sedikit</v>
      </c>
      <c r="U605" t="str">
        <f t="shared" si="94"/>
        <v>Total Shot Sangat Sedikit</v>
      </c>
      <c r="V605" t="str">
        <f t="shared" si="97"/>
        <v>Shot on Target Rendah</v>
      </c>
      <c r="W605" t="str">
        <f t="shared" si="98"/>
        <v>Fouls Normal</v>
      </c>
      <c r="X605" t="str">
        <f t="shared" si="99"/>
        <v>Corner Normal</v>
      </c>
      <c r="Y605" t="str">
        <f t="shared" si="95"/>
        <v>Yellow Card Rendah</v>
      </c>
      <c r="Z605" t="str">
        <f t="shared" si="96"/>
        <v>Red Card Tinggi</v>
      </c>
    </row>
    <row r="606" spans="1:26" x14ac:dyDescent="0.25">
      <c r="A606" t="s">
        <v>57</v>
      </c>
      <c r="B606">
        <v>1.8</v>
      </c>
      <c r="C606">
        <v>44</v>
      </c>
      <c r="D606">
        <v>466</v>
      </c>
      <c r="E606">
        <v>375</v>
      </c>
      <c r="F606">
        <v>1</v>
      </c>
      <c r="G606" t="s">
        <v>35</v>
      </c>
      <c r="H606">
        <v>1</v>
      </c>
      <c r="I606" t="s">
        <v>36</v>
      </c>
      <c r="J606">
        <v>10</v>
      </c>
      <c r="K606">
        <v>4</v>
      </c>
      <c r="L606">
        <v>8</v>
      </c>
      <c r="M606">
        <v>4</v>
      </c>
      <c r="N606">
        <v>2</v>
      </c>
      <c r="O606">
        <v>0</v>
      </c>
      <c r="Q606" t="str">
        <f t="shared" si="90"/>
        <v>xG Cukup Sedikit</v>
      </c>
      <c r="R606" t="str">
        <f t="shared" si="91"/>
        <v>Possession Cukup Sedikit</v>
      </c>
      <c r="S606" t="str">
        <f t="shared" si="92"/>
        <v>Total Pass Cukup Sedikit</v>
      </c>
      <c r="T606" t="str">
        <f t="shared" si="93"/>
        <v>Pass Sukses Cukup Sedikit</v>
      </c>
      <c r="U606" t="str">
        <f t="shared" si="94"/>
        <v>Total Shot Sangat Sedikit</v>
      </c>
      <c r="V606" t="str">
        <f t="shared" si="97"/>
        <v>Shot on Target Normal</v>
      </c>
      <c r="W606" t="str">
        <f t="shared" si="98"/>
        <v>Fouls Rendah</v>
      </c>
      <c r="X606" t="str">
        <f t="shared" si="99"/>
        <v>Corner Rendah</v>
      </c>
      <c r="Y606" t="str">
        <f t="shared" si="95"/>
        <v>Yellow Card Rendah</v>
      </c>
      <c r="Z606" t="str">
        <f t="shared" si="96"/>
        <v>Red Card Rendah</v>
      </c>
    </row>
    <row r="607" spans="1:26" x14ac:dyDescent="0.25">
      <c r="A607" t="s">
        <v>54</v>
      </c>
      <c r="B607">
        <v>1.3</v>
      </c>
      <c r="C607">
        <v>53</v>
      </c>
      <c r="D607">
        <v>395</v>
      </c>
      <c r="E607">
        <v>276</v>
      </c>
      <c r="F607">
        <v>2</v>
      </c>
      <c r="G607" t="s">
        <v>40</v>
      </c>
      <c r="H607">
        <v>0</v>
      </c>
      <c r="I607" t="s">
        <v>36</v>
      </c>
      <c r="J607">
        <v>13</v>
      </c>
      <c r="K607">
        <v>6</v>
      </c>
      <c r="L607">
        <v>11</v>
      </c>
      <c r="M607">
        <v>7</v>
      </c>
      <c r="N607">
        <v>2</v>
      </c>
      <c r="O607">
        <v>0</v>
      </c>
      <c r="Q607" t="str">
        <f t="shared" si="90"/>
        <v>xG Sangat Sedikit</v>
      </c>
      <c r="R607" t="str">
        <f t="shared" si="91"/>
        <v>Possession Cukup Banyak</v>
      </c>
      <c r="S607" t="str">
        <f t="shared" si="92"/>
        <v>Total Pass Cukup Sedikit</v>
      </c>
      <c r="T607" t="str">
        <f t="shared" si="93"/>
        <v>Pass Sukses Sangat Sedikit</v>
      </c>
      <c r="U607" t="str">
        <f t="shared" si="94"/>
        <v>Total Shot Cukup Sedikit</v>
      </c>
      <c r="V607" t="str">
        <f t="shared" si="97"/>
        <v>Shot on Target Tinggi</v>
      </c>
      <c r="W607" t="str">
        <f t="shared" si="98"/>
        <v>Fouls Normal</v>
      </c>
      <c r="X607" t="str">
        <f t="shared" si="99"/>
        <v>Corner Tinggi</v>
      </c>
      <c r="Y607" t="str">
        <f t="shared" si="95"/>
        <v>Yellow Card Rendah</v>
      </c>
      <c r="Z607" t="str">
        <f t="shared" si="96"/>
        <v>Red Card Rendah</v>
      </c>
    </row>
    <row r="608" spans="1:26" x14ac:dyDescent="0.25">
      <c r="A608" t="s">
        <v>59</v>
      </c>
      <c r="B608">
        <v>1.6</v>
      </c>
      <c r="C608">
        <v>39</v>
      </c>
      <c r="D608">
        <v>387</v>
      </c>
      <c r="E608">
        <v>280</v>
      </c>
      <c r="F608">
        <v>2</v>
      </c>
      <c r="G608" t="s">
        <v>40</v>
      </c>
      <c r="H608">
        <v>0</v>
      </c>
      <c r="I608" t="s">
        <v>35</v>
      </c>
      <c r="J608">
        <v>12</v>
      </c>
      <c r="K608">
        <v>3</v>
      </c>
      <c r="L608">
        <v>16</v>
      </c>
      <c r="M608">
        <v>4</v>
      </c>
      <c r="N608">
        <v>5</v>
      </c>
      <c r="O608">
        <v>0</v>
      </c>
      <c r="Q608" t="str">
        <f t="shared" si="90"/>
        <v>xG Cukup Sedikit</v>
      </c>
      <c r="R608" t="str">
        <f t="shared" si="91"/>
        <v>Possession Cukup Sedikit</v>
      </c>
      <c r="S608" t="str">
        <f t="shared" si="92"/>
        <v>Total Pass Cukup Sedikit</v>
      </c>
      <c r="T608" t="str">
        <f t="shared" si="93"/>
        <v>Pass Sukses Sangat Sedikit</v>
      </c>
      <c r="U608" t="str">
        <f t="shared" si="94"/>
        <v>Total Shot Cukup Sedikit</v>
      </c>
      <c r="V608" t="str">
        <f t="shared" si="97"/>
        <v>Shot on Target Rendah</v>
      </c>
      <c r="W608" t="str">
        <f t="shared" si="98"/>
        <v>Fouls Tinggi</v>
      </c>
      <c r="X608" t="str">
        <f t="shared" si="99"/>
        <v>Corner Rendah</v>
      </c>
      <c r="Y608" t="str">
        <f t="shared" si="95"/>
        <v>Yellow Card Tinggi</v>
      </c>
      <c r="Z608" t="str">
        <f t="shared" si="96"/>
        <v>Red Card Rendah</v>
      </c>
    </row>
    <row r="609" spans="1:26" x14ac:dyDescent="0.25">
      <c r="A609" t="s">
        <v>51</v>
      </c>
      <c r="B609">
        <v>1.3</v>
      </c>
      <c r="C609">
        <v>54</v>
      </c>
      <c r="D609">
        <v>490</v>
      </c>
      <c r="E609">
        <v>399</v>
      </c>
      <c r="F609">
        <v>1</v>
      </c>
      <c r="G609" t="s">
        <v>36</v>
      </c>
      <c r="H609">
        <v>0</v>
      </c>
      <c r="I609" t="s">
        <v>35</v>
      </c>
      <c r="J609">
        <v>14</v>
      </c>
      <c r="K609">
        <v>4</v>
      </c>
      <c r="L609">
        <v>16</v>
      </c>
      <c r="M609">
        <v>3</v>
      </c>
      <c r="N609">
        <v>3</v>
      </c>
      <c r="O609">
        <v>0</v>
      </c>
      <c r="Q609" t="str">
        <f t="shared" si="90"/>
        <v>xG Sangat Sedikit</v>
      </c>
      <c r="R609" t="str">
        <f t="shared" si="91"/>
        <v>Possession Cukup Banyak</v>
      </c>
      <c r="S609" t="str">
        <f t="shared" si="92"/>
        <v>Total Pass Cukup Sedikit</v>
      </c>
      <c r="T609" t="str">
        <f t="shared" si="93"/>
        <v>Pass Sukses Cukup Sedikit</v>
      </c>
      <c r="U609" t="str">
        <f t="shared" si="94"/>
        <v>Total Shot Cukup Sedikit</v>
      </c>
      <c r="V609" t="str">
        <f t="shared" si="97"/>
        <v>Shot on Target Normal</v>
      </c>
      <c r="W609" t="str">
        <f t="shared" si="98"/>
        <v>Fouls Tinggi</v>
      </c>
      <c r="X609" t="str">
        <f t="shared" si="99"/>
        <v>Corner Rendah</v>
      </c>
      <c r="Y609" t="str">
        <f t="shared" si="95"/>
        <v>Yellow Card Tinggi</v>
      </c>
      <c r="Z609" t="str">
        <f t="shared" si="96"/>
        <v>Red Card Rendah</v>
      </c>
    </row>
    <row r="610" spans="1:26" x14ac:dyDescent="0.25">
      <c r="A610" t="s">
        <v>33</v>
      </c>
      <c r="B610">
        <v>0.3</v>
      </c>
      <c r="C610">
        <v>49</v>
      </c>
      <c r="D610">
        <v>522</v>
      </c>
      <c r="E610">
        <v>432</v>
      </c>
      <c r="F610">
        <v>1</v>
      </c>
      <c r="G610" t="s">
        <v>40</v>
      </c>
      <c r="H610">
        <v>0</v>
      </c>
      <c r="I610" t="s">
        <v>36</v>
      </c>
      <c r="J610">
        <v>4</v>
      </c>
      <c r="K610">
        <v>1</v>
      </c>
      <c r="L610">
        <v>9</v>
      </c>
      <c r="M610">
        <v>0</v>
      </c>
      <c r="N610">
        <v>1</v>
      </c>
      <c r="O610">
        <v>0</v>
      </c>
      <c r="Q610" t="str">
        <f t="shared" si="90"/>
        <v>xG Sangat Sedikit</v>
      </c>
      <c r="R610" t="str">
        <f t="shared" si="91"/>
        <v>Possession Cukup Sedikit</v>
      </c>
      <c r="S610" t="str">
        <f t="shared" si="92"/>
        <v>Total Pass Cukup Banyak</v>
      </c>
      <c r="T610" t="str">
        <f t="shared" si="93"/>
        <v>Pass Sukses Cukup Sedikit</v>
      </c>
      <c r="U610" t="str">
        <f t="shared" si="94"/>
        <v>Total Shot Sangat Sedikit</v>
      </c>
      <c r="V610" t="str">
        <f t="shared" si="97"/>
        <v>Shot on Target Rendah</v>
      </c>
      <c r="W610" t="str">
        <f t="shared" si="98"/>
        <v>Fouls Normal</v>
      </c>
      <c r="X610" t="str">
        <f t="shared" si="99"/>
        <v>Corner Rendah</v>
      </c>
      <c r="Y610" t="str">
        <f t="shared" si="95"/>
        <v>Yellow Card Rendah</v>
      </c>
      <c r="Z610" t="str">
        <f t="shared" si="96"/>
        <v>Red Card Rendah</v>
      </c>
    </row>
    <row r="611" spans="1:26" x14ac:dyDescent="0.25">
      <c r="A611" t="s">
        <v>45</v>
      </c>
      <c r="B611">
        <v>0.9</v>
      </c>
      <c r="C611">
        <v>62</v>
      </c>
      <c r="D611">
        <v>575</v>
      </c>
      <c r="E611">
        <v>477</v>
      </c>
      <c r="F611">
        <v>0</v>
      </c>
      <c r="G611" t="s">
        <v>35</v>
      </c>
      <c r="H611">
        <v>0</v>
      </c>
      <c r="I611" t="s">
        <v>35</v>
      </c>
      <c r="J611">
        <v>10</v>
      </c>
      <c r="K611">
        <v>5</v>
      </c>
      <c r="L611">
        <v>13</v>
      </c>
      <c r="M611">
        <v>6</v>
      </c>
      <c r="N611">
        <v>3</v>
      </c>
      <c r="O611">
        <v>0</v>
      </c>
      <c r="Q611" t="str">
        <f t="shared" si="90"/>
        <v>xG Sangat Sedikit</v>
      </c>
      <c r="R611" t="str">
        <f t="shared" si="91"/>
        <v>Possession Cukup Banyak</v>
      </c>
      <c r="S611" t="str">
        <f t="shared" si="92"/>
        <v>Total Pass Cukup Banyak</v>
      </c>
      <c r="T611" t="str">
        <f t="shared" si="93"/>
        <v>Pass Sukses Cukup Banyak</v>
      </c>
      <c r="U611" t="str">
        <f t="shared" si="94"/>
        <v>Total Shot Sangat Sedikit</v>
      </c>
      <c r="V611" t="str">
        <f t="shared" si="97"/>
        <v>Shot on Target Tinggi</v>
      </c>
      <c r="W611" t="str">
        <f t="shared" si="98"/>
        <v>Fouls Tinggi</v>
      </c>
      <c r="X611" t="str">
        <f t="shared" si="99"/>
        <v>Corner Tinggi</v>
      </c>
      <c r="Y611" t="str">
        <f t="shared" si="95"/>
        <v>Yellow Card Tinggi</v>
      </c>
      <c r="Z611" t="str">
        <f t="shared" si="96"/>
        <v>Red Card Rendah</v>
      </c>
    </row>
    <row r="612" spans="1:26" x14ac:dyDescent="0.25">
      <c r="A612" t="s">
        <v>39</v>
      </c>
      <c r="B612">
        <v>2.5</v>
      </c>
      <c r="C612">
        <v>51</v>
      </c>
      <c r="D612">
        <v>464</v>
      </c>
      <c r="E612">
        <v>369</v>
      </c>
      <c r="F612">
        <v>2</v>
      </c>
      <c r="G612" t="s">
        <v>40</v>
      </c>
      <c r="H612">
        <v>1</v>
      </c>
      <c r="I612" t="s">
        <v>40</v>
      </c>
      <c r="J612">
        <v>19</v>
      </c>
      <c r="K612">
        <v>7</v>
      </c>
      <c r="L612">
        <v>9</v>
      </c>
      <c r="M612">
        <v>3</v>
      </c>
      <c r="N612">
        <v>3</v>
      </c>
      <c r="O612">
        <v>0</v>
      </c>
      <c r="Q612" t="str">
        <f t="shared" si="90"/>
        <v>xG Cukup Sedikit</v>
      </c>
      <c r="R612" t="str">
        <f t="shared" si="91"/>
        <v>Possession Cukup Banyak</v>
      </c>
      <c r="S612" t="str">
        <f t="shared" si="92"/>
        <v>Total Pass Cukup Sedikit</v>
      </c>
      <c r="T612" t="str">
        <f t="shared" si="93"/>
        <v>Pass Sukses Cukup Sedikit</v>
      </c>
      <c r="U612" t="str">
        <f t="shared" si="94"/>
        <v>Total Shot Cukup Sedikit</v>
      </c>
      <c r="V612" t="str">
        <f t="shared" si="97"/>
        <v>Shot on Target Tinggi</v>
      </c>
      <c r="W612" t="str">
        <f t="shared" si="98"/>
        <v>Fouls Normal</v>
      </c>
      <c r="X612" t="str">
        <f t="shared" si="99"/>
        <v>Corner Rendah</v>
      </c>
      <c r="Y612" t="str">
        <f t="shared" si="95"/>
        <v>Yellow Card Tinggi</v>
      </c>
      <c r="Z612" t="str">
        <f t="shared" si="96"/>
        <v>Red Card Rendah</v>
      </c>
    </row>
    <row r="613" spans="1:26" x14ac:dyDescent="0.25">
      <c r="A613" t="s">
        <v>59</v>
      </c>
      <c r="B613">
        <v>0.3</v>
      </c>
      <c r="C613">
        <v>52</v>
      </c>
      <c r="D613">
        <v>531</v>
      </c>
      <c r="E613">
        <v>418</v>
      </c>
      <c r="F613">
        <v>0</v>
      </c>
      <c r="G613" t="s">
        <v>35</v>
      </c>
      <c r="H613">
        <v>0</v>
      </c>
      <c r="I613" t="s">
        <v>35</v>
      </c>
      <c r="J613">
        <v>9</v>
      </c>
      <c r="K613">
        <v>1</v>
      </c>
      <c r="L613">
        <v>13</v>
      </c>
      <c r="M613">
        <v>6</v>
      </c>
      <c r="N613">
        <v>0</v>
      </c>
      <c r="O613">
        <v>0</v>
      </c>
      <c r="Q613" t="str">
        <f t="shared" si="90"/>
        <v>xG Sangat Sedikit</v>
      </c>
      <c r="R613" t="str">
        <f t="shared" si="91"/>
        <v>Possession Cukup Banyak</v>
      </c>
      <c r="S613" t="str">
        <f t="shared" si="92"/>
        <v>Total Pass Cukup Banyak</v>
      </c>
      <c r="T613" t="str">
        <f t="shared" si="93"/>
        <v>Pass Sukses Cukup Sedikit</v>
      </c>
      <c r="U613" t="str">
        <f t="shared" si="94"/>
        <v>Total Shot Sangat Sedikit</v>
      </c>
      <c r="V613" t="str">
        <f t="shared" si="97"/>
        <v>Shot on Target Rendah</v>
      </c>
      <c r="W613" t="str">
        <f t="shared" si="98"/>
        <v>Fouls Tinggi</v>
      </c>
      <c r="X613" t="str">
        <f t="shared" si="99"/>
        <v>Corner Tinggi</v>
      </c>
      <c r="Y613" t="str">
        <f t="shared" si="95"/>
        <v>Yellow Card Rendah</v>
      </c>
      <c r="Z613" t="str">
        <f t="shared" si="96"/>
        <v>Red Card Rendah</v>
      </c>
    </row>
    <row r="614" spans="1:26" x14ac:dyDescent="0.25">
      <c r="A614" t="s">
        <v>47</v>
      </c>
      <c r="B614">
        <v>0.9</v>
      </c>
      <c r="C614">
        <v>43</v>
      </c>
      <c r="D614">
        <v>430</v>
      </c>
      <c r="E614">
        <v>327</v>
      </c>
      <c r="F614">
        <v>2</v>
      </c>
      <c r="G614" t="s">
        <v>40</v>
      </c>
      <c r="H614">
        <v>1</v>
      </c>
      <c r="I614" t="s">
        <v>36</v>
      </c>
      <c r="J614">
        <v>9</v>
      </c>
      <c r="K614">
        <v>4</v>
      </c>
      <c r="L614">
        <v>14</v>
      </c>
      <c r="M614">
        <v>2</v>
      </c>
      <c r="N614">
        <v>3</v>
      </c>
      <c r="O614">
        <v>0</v>
      </c>
      <c r="Q614" t="str">
        <f t="shared" si="90"/>
        <v>xG Sangat Sedikit</v>
      </c>
      <c r="R614" t="str">
        <f t="shared" si="91"/>
        <v>Possession Cukup Sedikit</v>
      </c>
      <c r="S614" t="str">
        <f t="shared" si="92"/>
        <v>Total Pass Cukup Sedikit</v>
      </c>
      <c r="T614" t="str">
        <f t="shared" si="93"/>
        <v>Pass Sukses Cukup Sedikit</v>
      </c>
      <c r="U614" t="str">
        <f t="shared" si="94"/>
        <v>Total Shot Sangat Sedikit</v>
      </c>
      <c r="V614" t="str">
        <f t="shared" si="97"/>
        <v>Shot on Target Normal</v>
      </c>
      <c r="W614" t="str">
        <f t="shared" si="98"/>
        <v>Fouls Tinggi</v>
      </c>
      <c r="X614" t="str">
        <f t="shared" si="99"/>
        <v>Corner Rendah</v>
      </c>
      <c r="Y614" t="str">
        <f t="shared" si="95"/>
        <v>Yellow Card Tinggi</v>
      </c>
      <c r="Z614" t="str">
        <f t="shared" si="96"/>
        <v>Red Card Rendah</v>
      </c>
    </row>
    <row r="615" spans="1:26" x14ac:dyDescent="0.25">
      <c r="A615" t="s">
        <v>34</v>
      </c>
      <c r="B615">
        <v>1.6</v>
      </c>
      <c r="C615">
        <v>51</v>
      </c>
      <c r="D615">
        <v>482</v>
      </c>
      <c r="E615">
        <v>380</v>
      </c>
      <c r="F615">
        <v>2</v>
      </c>
      <c r="G615" t="s">
        <v>40</v>
      </c>
      <c r="H615">
        <v>0</v>
      </c>
      <c r="I615" t="s">
        <v>35</v>
      </c>
      <c r="J615">
        <v>15</v>
      </c>
      <c r="K615">
        <v>4</v>
      </c>
      <c r="L615">
        <v>15</v>
      </c>
      <c r="M615">
        <v>7</v>
      </c>
      <c r="N615">
        <v>4</v>
      </c>
      <c r="O615">
        <v>0</v>
      </c>
      <c r="Q615" t="str">
        <f t="shared" si="90"/>
        <v>xG Cukup Sedikit</v>
      </c>
      <c r="R615" t="str">
        <f t="shared" si="91"/>
        <v>Possession Cukup Banyak</v>
      </c>
      <c r="S615" t="str">
        <f t="shared" si="92"/>
        <v>Total Pass Cukup Sedikit</v>
      </c>
      <c r="T615" t="str">
        <f t="shared" si="93"/>
        <v>Pass Sukses Cukup Sedikit</v>
      </c>
      <c r="U615" t="str">
        <f t="shared" si="94"/>
        <v>Total Shot Cukup Sedikit</v>
      </c>
      <c r="V615" t="str">
        <f t="shared" si="97"/>
        <v>Shot on Target Normal</v>
      </c>
      <c r="W615" t="str">
        <f t="shared" si="98"/>
        <v>Fouls Tinggi</v>
      </c>
      <c r="X615" t="str">
        <f t="shared" si="99"/>
        <v>Corner Tinggi</v>
      </c>
      <c r="Y615" t="str">
        <f t="shared" si="95"/>
        <v>Yellow Card Tinggi</v>
      </c>
      <c r="Z615" t="str">
        <f t="shared" si="96"/>
        <v>Red Card Rendah</v>
      </c>
    </row>
    <row r="616" spans="1:26" x14ac:dyDescent="0.25">
      <c r="A616" t="s">
        <v>52</v>
      </c>
      <c r="B616">
        <v>0.4</v>
      </c>
      <c r="C616">
        <v>68</v>
      </c>
      <c r="D616">
        <v>598</v>
      </c>
      <c r="E616">
        <v>511</v>
      </c>
      <c r="F616">
        <v>0</v>
      </c>
      <c r="G616" t="s">
        <v>35</v>
      </c>
      <c r="H616">
        <v>0</v>
      </c>
      <c r="I616" t="s">
        <v>35</v>
      </c>
      <c r="J616">
        <v>10</v>
      </c>
      <c r="K616">
        <v>3</v>
      </c>
      <c r="L616">
        <v>13</v>
      </c>
      <c r="M616">
        <v>8</v>
      </c>
      <c r="N616">
        <v>3</v>
      </c>
      <c r="O616">
        <v>0</v>
      </c>
      <c r="Q616" t="str">
        <f t="shared" si="90"/>
        <v>xG Sangat Sedikit</v>
      </c>
      <c r="R616" t="str">
        <f t="shared" si="91"/>
        <v>Possession Sangat Banyak</v>
      </c>
      <c r="S616" t="str">
        <f t="shared" si="92"/>
        <v>Total Pass Cukup Banyak</v>
      </c>
      <c r="T616" t="str">
        <f t="shared" si="93"/>
        <v>Pass Sukses Cukup Banyak</v>
      </c>
      <c r="U616" t="str">
        <f t="shared" si="94"/>
        <v>Total Shot Sangat Sedikit</v>
      </c>
      <c r="V616" t="str">
        <f t="shared" si="97"/>
        <v>Shot on Target Rendah</v>
      </c>
      <c r="W616" t="str">
        <f t="shared" si="98"/>
        <v>Fouls Tinggi</v>
      </c>
      <c r="X616" t="str">
        <f t="shared" si="99"/>
        <v>Corner Tinggi</v>
      </c>
      <c r="Y616" t="str">
        <f t="shared" si="95"/>
        <v>Yellow Card Tinggi</v>
      </c>
      <c r="Z616" t="str">
        <f t="shared" si="96"/>
        <v>Red Card Rendah</v>
      </c>
    </row>
    <row r="617" spans="1:26" x14ac:dyDescent="0.25">
      <c r="A617" t="s">
        <v>60</v>
      </c>
      <c r="B617">
        <v>0.8</v>
      </c>
      <c r="C617">
        <v>46</v>
      </c>
      <c r="D617">
        <v>456</v>
      </c>
      <c r="E617">
        <v>369</v>
      </c>
      <c r="F617">
        <v>2</v>
      </c>
      <c r="G617" t="s">
        <v>40</v>
      </c>
      <c r="H617">
        <v>1</v>
      </c>
      <c r="I617" t="s">
        <v>40</v>
      </c>
      <c r="J617">
        <v>13</v>
      </c>
      <c r="K617">
        <v>2</v>
      </c>
      <c r="L617">
        <v>11</v>
      </c>
      <c r="M617">
        <v>3</v>
      </c>
      <c r="N617">
        <v>1</v>
      </c>
      <c r="O617">
        <v>0</v>
      </c>
      <c r="Q617" t="str">
        <f t="shared" si="90"/>
        <v>xG Sangat Sedikit</v>
      </c>
      <c r="R617" t="str">
        <f t="shared" si="91"/>
        <v>Possession Cukup Sedikit</v>
      </c>
      <c r="S617" t="str">
        <f t="shared" si="92"/>
        <v>Total Pass Cukup Sedikit</v>
      </c>
      <c r="T617" t="str">
        <f t="shared" si="93"/>
        <v>Pass Sukses Cukup Sedikit</v>
      </c>
      <c r="U617" t="str">
        <f t="shared" si="94"/>
        <v>Total Shot Cukup Sedikit</v>
      </c>
      <c r="V617" t="str">
        <f t="shared" si="97"/>
        <v>Shot on Target Rendah</v>
      </c>
      <c r="W617" t="str">
        <f t="shared" si="98"/>
        <v>Fouls Normal</v>
      </c>
      <c r="X617" t="str">
        <f t="shared" si="99"/>
        <v>Corner Rendah</v>
      </c>
      <c r="Y617" t="str">
        <f t="shared" si="95"/>
        <v>Yellow Card Rendah</v>
      </c>
      <c r="Z617" t="str">
        <f t="shared" si="96"/>
        <v>Red Card Rendah</v>
      </c>
    </row>
    <row r="618" spans="1:26" x14ac:dyDescent="0.25">
      <c r="A618" t="s">
        <v>55</v>
      </c>
      <c r="B618">
        <v>2.6</v>
      </c>
      <c r="C618">
        <v>34</v>
      </c>
      <c r="D618">
        <v>315</v>
      </c>
      <c r="E618">
        <v>204</v>
      </c>
      <c r="F618">
        <v>2</v>
      </c>
      <c r="G618" t="s">
        <v>40</v>
      </c>
      <c r="H618">
        <v>0</v>
      </c>
      <c r="I618" t="s">
        <v>36</v>
      </c>
      <c r="J618">
        <v>11</v>
      </c>
      <c r="K618">
        <v>3</v>
      </c>
      <c r="L618">
        <v>13</v>
      </c>
      <c r="M618">
        <v>0</v>
      </c>
      <c r="N618">
        <v>1</v>
      </c>
      <c r="O618">
        <v>0</v>
      </c>
      <c r="Q618" t="str">
        <f t="shared" si="90"/>
        <v>xG Cukup Sedikit</v>
      </c>
      <c r="R618" t="str">
        <f t="shared" si="91"/>
        <v>Possession Sangat Sedikit</v>
      </c>
      <c r="S618" t="str">
        <f t="shared" si="92"/>
        <v>Total Pass Sangat Sedikit</v>
      </c>
      <c r="T618" t="str">
        <f t="shared" si="93"/>
        <v>Pass Sukses Sangat Sedikit</v>
      </c>
      <c r="U618" t="str">
        <f t="shared" si="94"/>
        <v>Total Shot Cukup Sedikit</v>
      </c>
      <c r="V618" t="str">
        <f t="shared" si="97"/>
        <v>Shot on Target Rendah</v>
      </c>
      <c r="W618" t="str">
        <f t="shared" si="98"/>
        <v>Fouls Tinggi</v>
      </c>
      <c r="X618" t="str">
        <f t="shared" si="99"/>
        <v>Corner Rendah</v>
      </c>
      <c r="Y618" t="str">
        <f t="shared" si="95"/>
        <v>Yellow Card Rendah</v>
      </c>
      <c r="Z618" t="str">
        <f t="shared" si="96"/>
        <v>Red Card Rendah</v>
      </c>
    </row>
    <row r="619" spans="1:26" x14ac:dyDescent="0.25">
      <c r="A619" t="s">
        <v>58</v>
      </c>
      <c r="B619">
        <v>0.8</v>
      </c>
      <c r="C619">
        <v>54</v>
      </c>
      <c r="D619">
        <v>505</v>
      </c>
      <c r="E619">
        <v>442</v>
      </c>
      <c r="F619">
        <v>1</v>
      </c>
      <c r="G619" t="s">
        <v>35</v>
      </c>
      <c r="H619">
        <v>0</v>
      </c>
      <c r="I619" t="s">
        <v>35</v>
      </c>
      <c r="J619">
        <v>7</v>
      </c>
      <c r="K619">
        <v>4</v>
      </c>
      <c r="L619">
        <v>7</v>
      </c>
      <c r="M619">
        <v>2</v>
      </c>
      <c r="N619">
        <v>0</v>
      </c>
      <c r="O619">
        <v>0</v>
      </c>
      <c r="Q619" t="str">
        <f t="shared" si="90"/>
        <v>xG Sangat Sedikit</v>
      </c>
      <c r="R619" t="str">
        <f t="shared" si="91"/>
        <v>Possession Cukup Banyak</v>
      </c>
      <c r="S619" t="str">
        <f t="shared" si="92"/>
        <v>Total Pass Cukup Sedikit</v>
      </c>
      <c r="T619" t="str">
        <f t="shared" si="93"/>
        <v>Pass Sukses Cukup Banyak</v>
      </c>
      <c r="U619" t="str">
        <f t="shared" si="94"/>
        <v>Total Shot Sangat Sedikit</v>
      </c>
      <c r="V619" t="str">
        <f t="shared" si="97"/>
        <v>Shot on Target Normal</v>
      </c>
      <c r="W619" t="str">
        <f t="shared" si="98"/>
        <v>Fouls Rendah</v>
      </c>
      <c r="X619" t="str">
        <f t="shared" si="99"/>
        <v>Corner Rendah</v>
      </c>
      <c r="Y619" t="str">
        <f t="shared" si="95"/>
        <v>Yellow Card Rendah</v>
      </c>
      <c r="Z619" t="str">
        <f t="shared" si="96"/>
        <v>Red Card Rendah</v>
      </c>
    </row>
    <row r="620" spans="1:26" x14ac:dyDescent="0.25">
      <c r="A620" t="s">
        <v>51</v>
      </c>
      <c r="B620">
        <v>1.2</v>
      </c>
      <c r="C620">
        <v>32</v>
      </c>
      <c r="D620">
        <v>307</v>
      </c>
      <c r="E620">
        <v>222</v>
      </c>
      <c r="F620">
        <v>1</v>
      </c>
      <c r="G620" t="s">
        <v>35</v>
      </c>
      <c r="H620">
        <v>1</v>
      </c>
      <c r="I620" t="s">
        <v>40</v>
      </c>
      <c r="J620">
        <v>14</v>
      </c>
      <c r="K620">
        <v>5</v>
      </c>
      <c r="L620">
        <v>10</v>
      </c>
      <c r="M620">
        <v>3</v>
      </c>
      <c r="N620">
        <v>1</v>
      </c>
      <c r="O620">
        <v>0</v>
      </c>
      <c r="Q620" t="str">
        <f t="shared" si="90"/>
        <v>xG Sangat Sedikit</v>
      </c>
      <c r="R620" t="str">
        <f t="shared" si="91"/>
        <v>Possession Sangat Sedikit</v>
      </c>
      <c r="S620" t="str">
        <f t="shared" si="92"/>
        <v>Total Pass Sangat Sedikit</v>
      </c>
      <c r="T620" t="str">
        <f t="shared" si="93"/>
        <v>Pass Sukses Sangat Sedikit</v>
      </c>
      <c r="U620" t="str">
        <f t="shared" si="94"/>
        <v>Total Shot Cukup Sedikit</v>
      </c>
      <c r="V620" t="str">
        <f t="shared" si="97"/>
        <v>Shot on Target Tinggi</v>
      </c>
      <c r="W620" t="str">
        <f t="shared" si="98"/>
        <v>Fouls Normal</v>
      </c>
      <c r="X620" t="str">
        <f t="shared" si="99"/>
        <v>Corner Rendah</v>
      </c>
      <c r="Y620" t="str">
        <f t="shared" si="95"/>
        <v>Yellow Card Rendah</v>
      </c>
      <c r="Z620" t="str">
        <f t="shared" si="96"/>
        <v>Red Card Rendah</v>
      </c>
    </row>
    <row r="621" spans="1:26" x14ac:dyDescent="0.25">
      <c r="A621" t="s">
        <v>39</v>
      </c>
      <c r="B621">
        <v>0.6</v>
      </c>
      <c r="C621">
        <v>63</v>
      </c>
      <c r="D621">
        <v>581</v>
      </c>
      <c r="E621">
        <v>469</v>
      </c>
      <c r="F621">
        <v>2</v>
      </c>
      <c r="G621" t="s">
        <v>36</v>
      </c>
      <c r="H621">
        <v>1</v>
      </c>
      <c r="I621" t="s">
        <v>36</v>
      </c>
      <c r="J621">
        <v>6</v>
      </c>
      <c r="K621">
        <v>4</v>
      </c>
      <c r="L621">
        <v>20</v>
      </c>
      <c r="M621">
        <v>3</v>
      </c>
      <c r="N621">
        <v>2</v>
      </c>
      <c r="O621">
        <v>1</v>
      </c>
      <c r="Q621" t="str">
        <f t="shared" si="90"/>
        <v>xG Sangat Sedikit</v>
      </c>
      <c r="R621" t="str">
        <f t="shared" si="91"/>
        <v>Possession Cukup Banyak</v>
      </c>
      <c r="S621" t="str">
        <f t="shared" si="92"/>
        <v>Total Pass Cukup Banyak</v>
      </c>
      <c r="T621" t="str">
        <f t="shared" si="93"/>
        <v>Pass Sukses Cukup Banyak</v>
      </c>
      <c r="U621" t="str">
        <f t="shared" si="94"/>
        <v>Total Shot Sangat Sedikit</v>
      </c>
      <c r="V621" t="str">
        <f t="shared" si="97"/>
        <v>Shot on Target Normal</v>
      </c>
      <c r="W621" t="str">
        <f t="shared" si="98"/>
        <v>Fouls Tinggi</v>
      </c>
      <c r="X621" t="str">
        <f t="shared" si="99"/>
        <v>Corner Rendah</v>
      </c>
      <c r="Y621" t="str">
        <f t="shared" si="95"/>
        <v>Yellow Card Rendah</v>
      </c>
      <c r="Z621" t="str">
        <f t="shared" si="96"/>
        <v>Red Card Tinggi</v>
      </c>
    </row>
    <row r="622" spans="1:26" x14ac:dyDescent="0.25">
      <c r="A622" t="s">
        <v>57</v>
      </c>
      <c r="B622">
        <v>0.5</v>
      </c>
      <c r="C622">
        <v>69</v>
      </c>
      <c r="D622">
        <v>776</v>
      </c>
      <c r="E622">
        <v>685</v>
      </c>
      <c r="F622">
        <v>0</v>
      </c>
      <c r="G622" t="s">
        <v>35</v>
      </c>
      <c r="H622">
        <v>0</v>
      </c>
      <c r="I622" t="s">
        <v>35</v>
      </c>
      <c r="J622">
        <v>8</v>
      </c>
      <c r="K622">
        <v>0</v>
      </c>
      <c r="L622">
        <v>15</v>
      </c>
      <c r="M622">
        <v>9</v>
      </c>
      <c r="N622">
        <v>2</v>
      </c>
      <c r="O622">
        <v>0</v>
      </c>
      <c r="Q622" t="str">
        <f t="shared" si="90"/>
        <v>xG Sangat Sedikit</v>
      </c>
      <c r="R622" t="str">
        <f t="shared" si="91"/>
        <v>Possession Sangat Banyak</v>
      </c>
      <c r="S622" t="str">
        <f t="shared" si="92"/>
        <v>Total Pass Sangat Banyak</v>
      </c>
      <c r="T622" t="str">
        <f t="shared" si="93"/>
        <v>Pass Sukses Sangat Banyak</v>
      </c>
      <c r="U622" t="str">
        <f t="shared" si="94"/>
        <v>Total Shot Sangat Sedikit</v>
      </c>
      <c r="V622" t="str">
        <f t="shared" si="97"/>
        <v>Shot on Target Rendah</v>
      </c>
      <c r="W622" t="str">
        <f t="shared" si="98"/>
        <v>Fouls Tinggi</v>
      </c>
      <c r="X622" t="str">
        <f t="shared" si="99"/>
        <v>Corner Tinggi</v>
      </c>
      <c r="Y622" t="str">
        <f t="shared" si="95"/>
        <v>Yellow Card Rendah</v>
      </c>
      <c r="Z622" t="str">
        <f t="shared" si="96"/>
        <v>Red Card Rendah</v>
      </c>
    </row>
    <row r="623" spans="1:26" x14ac:dyDescent="0.25">
      <c r="A623" t="s">
        <v>42</v>
      </c>
      <c r="B623">
        <v>1.4</v>
      </c>
      <c r="C623">
        <v>60</v>
      </c>
      <c r="D623">
        <v>542</v>
      </c>
      <c r="E623">
        <v>450</v>
      </c>
      <c r="F623">
        <v>2</v>
      </c>
      <c r="G623" t="s">
        <v>40</v>
      </c>
      <c r="H623">
        <v>0</v>
      </c>
      <c r="I623" t="s">
        <v>36</v>
      </c>
      <c r="J623">
        <v>11</v>
      </c>
      <c r="K623">
        <v>5</v>
      </c>
      <c r="L623">
        <v>10</v>
      </c>
      <c r="M623">
        <v>7</v>
      </c>
      <c r="N623">
        <v>1</v>
      </c>
      <c r="O623">
        <v>0</v>
      </c>
      <c r="Q623" t="str">
        <f t="shared" si="90"/>
        <v>xG Sangat Sedikit</v>
      </c>
      <c r="R623" t="str">
        <f t="shared" si="91"/>
        <v>Possession Cukup Banyak</v>
      </c>
      <c r="S623" t="str">
        <f t="shared" si="92"/>
        <v>Total Pass Cukup Banyak</v>
      </c>
      <c r="T623" t="str">
        <f t="shared" si="93"/>
        <v>Pass Sukses Cukup Banyak</v>
      </c>
      <c r="U623" t="str">
        <f t="shared" si="94"/>
        <v>Total Shot Cukup Sedikit</v>
      </c>
      <c r="V623" t="str">
        <f t="shared" si="97"/>
        <v>Shot on Target Tinggi</v>
      </c>
      <c r="W623" t="str">
        <f t="shared" si="98"/>
        <v>Fouls Normal</v>
      </c>
      <c r="X623" t="str">
        <f t="shared" si="99"/>
        <v>Corner Tinggi</v>
      </c>
      <c r="Y623" t="str">
        <f t="shared" si="95"/>
        <v>Yellow Card Rendah</v>
      </c>
      <c r="Z623" t="str">
        <f t="shared" si="96"/>
        <v>Red Card Rendah</v>
      </c>
    </row>
    <row r="624" spans="1:26" x14ac:dyDescent="0.25">
      <c r="A624" t="s">
        <v>38</v>
      </c>
      <c r="B624">
        <v>0.4</v>
      </c>
      <c r="C624">
        <v>25</v>
      </c>
      <c r="D624">
        <v>242</v>
      </c>
      <c r="E624">
        <v>173</v>
      </c>
      <c r="F624">
        <v>1</v>
      </c>
      <c r="G624" t="s">
        <v>36</v>
      </c>
      <c r="H624">
        <v>0</v>
      </c>
      <c r="I624" t="s">
        <v>36</v>
      </c>
      <c r="J624">
        <v>4</v>
      </c>
      <c r="K624">
        <v>3</v>
      </c>
      <c r="L624">
        <v>11</v>
      </c>
      <c r="M624">
        <v>1</v>
      </c>
      <c r="N624">
        <v>3</v>
      </c>
      <c r="O624">
        <v>1</v>
      </c>
      <c r="Q624" t="str">
        <f t="shared" si="90"/>
        <v>xG Sangat Sedikit</v>
      </c>
      <c r="R624" t="str">
        <f t="shared" si="91"/>
        <v>Possession Sangat Sedikit</v>
      </c>
      <c r="S624" t="str">
        <f t="shared" si="92"/>
        <v>Total Pass Sangat Sedikit</v>
      </c>
      <c r="T624" t="str">
        <f t="shared" si="93"/>
        <v>Pass Sukses Sangat Sedikit</v>
      </c>
      <c r="U624" t="str">
        <f t="shared" si="94"/>
        <v>Total Shot Sangat Sedikit</v>
      </c>
      <c r="V624" t="str">
        <f t="shared" si="97"/>
        <v>Shot on Target Rendah</v>
      </c>
      <c r="W624" t="str">
        <f t="shared" si="98"/>
        <v>Fouls Normal</v>
      </c>
      <c r="X624" t="str">
        <f t="shared" si="99"/>
        <v>Corner Rendah</v>
      </c>
      <c r="Y624" t="str">
        <f t="shared" si="95"/>
        <v>Yellow Card Tinggi</v>
      </c>
      <c r="Z624" t="str">
        <f t="shared" si="96"/>
        <v>Red Card Tinggi</v>
      </c>
    </row>
    <row r="625" spans="1:26" x14ac:dyDescent="0.25">
      <c r="A625" t="s">
        <v>48</v>
      </c>
      <c r="B625">
        <v>0.4</v>
      </c>
      <c r="C625">
        <v>45</v>
      </c>
      <c r="D625">
        <v>441</v>
      </c>
      <c r="E625">
        <v>358</v>
      </c>
      <c r="F625">
        <v>1</v>
      </c>
      <c r="G625" t="s">
        <v>35</v>
      </c>
      <c r="H625">
        <v>1</v>
      </c>
      <c r="I625" t="s">
        <v>36</v>
      </c>
      <c r="J625">
        <v>8</v>
      </c>
      <c r="K625">
        <v>2</v>
      </c>
      <c r="L625">
        <v>8</v>
      </c>
      <c r="M625">
        <v>4</v>
      </c>
      <c r="N625">
        <v>0</v>
      </c>
      <c r="O625">
        <v>0</v>
      </c>
      <c r="Q625" t="str">
        <f t="shared" si="90"/>
        <v>xG Sangat Sedikit</v>
      </c>
      <c r="R625" t="str">
        <f t="shared" si="91"/>
        <v>Possession Cukup Sedikit</v>
      </c>
      <c r="S625" t="str">
        <f t="shared" si="92"/>
        <v>Total Pass Cukup Sedikit</v>
      </c>
      <c r="T625" t="str">
        <f t="shared" si="93"/>
        <v>Pass Sukses Cukup Sedikit</v>
      </c>
      <c r="U625" t="str">
        <f t="shared" si="94"/>
        <v>Total Shot Sangat Sedikit</v>
      </c>
      <c r="V625" t="str">
        <f t="shared" si="97"/>
        <v>Shot on Target Rendah</v>
      </c>
      <c r="W625" t="str">
        <f t="shared" si="98"/>
        <v>Fouls Rendah</v>
      </c>
      <c r="X625" t="str">
        <f t="shared" si="99"/>
        <v>Corner Rendah</v>
      </c>
      <c r="Y625" t="str">
        <f t="shared" si="95"/>
        <v>Yellow Card Rendah</v>
      </c>
      <c r="Z625" t="str">
        <f t="shared" si="96"/>
        <v>Red Card Rendah</v>
      </c>
    </row>
    <row r="626" spans="1:26" x14ac:dyDescent="0.25">
      <c r="A626" t="s">
        <v>46</v>
      </c>
      <c r="B626">
        <v>0.5</v>
      </c>
      <c r="C626">
        <v>39</v>
      </c>
      <c r="D626">
        <v>395</v>
      </c>
      <c r="E626">
        <v>319</v>
      </c>
      <c r="F626">
        <v>0</v>
      </c>
      <c r="G626" t="s">
        <v>35</v>
      </c>
      <c r="H626">
        <v>0</v>
      </c>
      <c r="I626" t="s">
        <v>35</v>
      </c>
      <c r="J626">
        <v>3</v>
      </c>
      <c r="K626">
        <v>1</v>
      </c>
      <c r="L626">
        <v>13</v>
      </c>
      <c r="M626">
        <v>4</v>
      </c>
      <c r="N626">
        <v>1</v>
      </c>
      <c r="O626">
        <v>0</v>
      </c>
      <c r="Q626" t="str">
        <f t="shared" si="90"/>
        <v>xG Sangat Sedikit</v>
      </c>
      <c r="R626" t="str">
        <f t="shared" si="91"/>
        <v>Possession Cukup Sedikit</v>
      </c>
      <c r="S626" t="str">
        <f t="shared" si="92"/>
        <v>Total Pass Cukup Sedikit</v>
      </c>
      <c r="T626" t="str">
        <f t="shared" si="93"/>
        <v>Pass Sukses Cukup Sedikit</v>
      </c>
      <c r="U626" t="str">
        <f t="shared" si="94"/>
        <v>Total Shot Sangat Sedikit</v>
      </c>
      <c r="V626" t="str">
        <f t="shared" si="97"/>
        <v>Shot on Target Rendah</v>
      </c>
      <c r="W626" t="str">
        <f t="shared" si="98"/>
        <v>Fouls Tinggi</v>
      </c>
      <c r="X626" t="str">
        <f t="shared" si="99"/>
        <v>Corner Rendah</v>
      </c>
      <c r="Y626" t="str">
        <f t="shared" si="95"/>
        <v>Yellow Card Rendah</v>
      </c>
      <c r="Z626" t="str">
        <f t="shared" si="96"/>
        <v>Red Card Rendah</v>
      </c>
    </row>
    <row r="627" spans="1:26" x14ac:dyDescent="0.25">
      <c r="A627" t="s">
        <v>49</v>
      </c>
      <c r="B627">
        <v>1.2</v>
      </c>
      <c r="C627">
        <v>56</v>
      </c>
      <c r="D627">
        <v>531</v>
      </c>
      <c r="E627">
        <v>426</v>
      </c>
      <c r="F627">
        <v>3</v>
      </c>
      <c r="G627" t="s">
        <v>40</v>
      </c>
      <c r="H627">
        <v>2</v>
      </c>
      <c r="I627" t="s">
        <v>40</v>
      </c>
      <c r="J627">
        <v>14</v>
      </c>
      <c r="K627">
        <v>7</v>
      </c>
      <c r="L627">
        <v>15</v>
      </c>
      <c r="M627">
        <v>6</v>
      </c>
      <c r="N627">
        <v>3</v>
      </c>
      <c r="O627">
        <v>0</v>
      </c>
      <c r="Q627" t="str">
        <f t="shared" si="90"/>
        <v>xG Sangat Sedikit</v>
      </c>
      <c r="R627" t="str">
        <f t="shared" si="91"/>
        <v>Possession Cukup Banyak</v>
      </c>
      <c r="S627" t="str">
        <f t="shared" si="92"/>
        <v>Total Pass Cukup Banyak</v>
      </c>
      <c r="T627" t="str">
        <f t="shared" si="93"/>
        <v>Pass Sukses Cukup Sedikit</v>
      </c>
      <c r="U627" t="str">
        <f t="shared" si="94"/>
        <v>Total Shot Cukup Sedikit</v>
      </c>
      <c r="V627" t="str">
        <f t="shared" si="97"/>
        <v>Shot on Target Tinggi</v>
      </c>
      <c r="W627" t="str">
        <f t="shared" si="98"/>
        <v>Fouls Tinggi</v>
      </c>
      <c r="X627" t="str">
        <f t="shared" si="99"/>
        <v>Corner Tinggi</v>
      </c>
      <c r="Y627" t="str">
        <f t="shared" si="95"/>
        <v>Yellow Card Tinggi</v>
      </c>
      <c r="Z627" t="str">
        <f t="shared" si="96"/>
        <v>Red Card Rendah</v>
      </c>
    </row>
    <row r="628" spans="1:26" x14ac:dyDescent="0.25">
      <c r="A628" t="s">
        <v>54</v>
      </c>
      <c r="B628">
        <v>1.6</v>
      </c>
      <c r="C628">
        <v>42</v>
      </c>
      <c r="D628">
        <v>399</v>
      </c>
      <c r="E628">
        <v>302</v>
      </c>
      <c r="F628">
        <v>1</v>
      </c>
      <c r="G628" t="s">
        <v>40</v>
      </c>
      <c r="H628">
        <v>1</v>
      </c>
      <c r="I628" t="s">
        <v>40</v>
      </c>
      <c r="J628">
        <v>14</v>
      </c>
      <c r="K628">
        <v>5</v>
      </c>
      <c r="L628">
        <v>13</v>
      </c>
      <c r="M628">
        <v>2</v>
      </c>
      <c r="N628">
        <v>1</v>
      </c>
      <c r="O628">
        <v>0</v>
      </c>
      <c r="Q628" t="str">
        <f t="shared" si="90"/>
        <v>xG Cukup Sedikit</v>
      </c>
      <c r="R628" t="str">
        <f t="shared" si="91"/>
        <v>Possession Cukup Sedikit</v>
      </c>
      <c r="S628" t="str">
        <f t="shared" si="92"/>
        <v>Total Pass Cukup Sedikit</v>
      </c>
      <c r="T628" t="str">
        <f t="shared" si="93"/>
        <v>Pass Sukses Cukup Sedikit</v>
      </c>
      <c r="U628" t="str">
        <f t="shared" si="94"/>
        <v>Total Shot Cukup Sedikit</v>
      </c>
      <c r="V628" t="str">
        <f t="shared" si="97"/>
        <v>Shot on Target Tinggi</v>
      </c>
      <c r="W628" t="str">
        <f t="shared" si="98"/>
        <v>Fouls Tinggi</v>
      </c>
      <c r="X628" t="str">
        <f t="shared" si="99"/>
        <v>Corner Rendah</v>
      </c>
      <c r="Y628" t="str">
        <f t="shared" si="95"/>
        <v>Yellow Card Rendah</v>
      </c>
      <c r="Z628" t="str">
        <f t="shared" si="96"/>
        <v>Red Card Rendah</v>
      </c>
    </row>
    <row r="629" spans="1:26" x14ac:dyDescent="0.25">
      <c r="A629" t="s">
        <v>44</v>
      </c>
      <c r="B629">
        <v>0.9</v>
      </c>
      <c r="C629">
        <v>42</v>
      </c>
      <c r="D629">
        <v>411</v>
      </c>
      <c r="E629">
        <v>286</v>
      </c>
      <c r="F629">
        <v>2</v>
      </c>
      <c r="G629" t="s">
        <v>40</v>
      </c>
      <c r="H629">
        <v>1</v>
      </c>
      <c r="I629" t="s">
        <v>40</v>
      </c>
      <c r="J629">
        <v>11</v>
      </c>
      <c r="K629">
        <v>6</v>
      </c>
      <c r="L629">
        <v>12</v>
      </c>
      <c r="M629">
        <v>2</v>
      </c>
      <c r="N629">
        <v>1</v>
      </c>
      <c r="O629">
        <v>0</v>
      </c>
      <c r="Q629" t="str">
        <f t="shared" si="90"/>
        <v>xG Sangat Sedikit</v>
      </c>
      <c r="R629" t="str">
        <f t="shared" si="91"/>
        <v>Possession Cukup Sedikit</v>
      </c>
      <c r="S629" t="str">
        <f t="shared" si="92"/>
        <v>Total Pass Cukup Sedikit</v>
      </c>
      <c r="T629" t="str">
        <f t="shared" si="93"/>
        <v>Pass Sukses Cukup Sedikit</v>
      </c>
      <c r="U629" t="str">
        <f t="shared" si="94"/>
        <v>Total Shot Cukup Sedikit</v>
      </c>
      <c r="V629" t="str">
        <f t="shared" si="97"/>
        <v>Shot on Target Tinggi</v>
      </c>
      <c r="W629" t="str">
        <f t="shared" si="98"/>
        <v>Fouls Tinggi</v>
      </c>
      <c r="X629" t="str">
        <f t="shared" si="99"/>
        <v>Corner Rendah</v>
      </c>
      <c r="Y629" t="str">
        <f t="shared" si="95"/>
        <v>Yellow Card Rendah</v>
      </c>
      <c r="Z629" t="str">
        <f t="shared" si="96"/>
        <v>Red Card Rendah</v>
      </c>
    </row>
    <row r="630" spans="1:26" x14ac:dyDescent="0.25">
      <c r="A630" t="s">
        <v>43</v>
      </c>
      <c r="B630">
        <v>1.5</v>
      </c>
      <c r="C630">
        <v>50</v>
      </c>
      <c r="D630">
        <v>489</v>
      </c>
      <c r="E630">
        <v>406</v>
      </c>
      <c r="F630">
        <v>1</v>
      </c>
      <c r="G630" t="s">
        <v>35</v>
      </c>
      <c r="H630">
        <v>0</v>
      </c>
      <c r="I630" t="s">
        <v>35</v>
      </c>
      <c r="J630">
        <v>16</v>
      </c>
      <c r="K630">
        <v>4</v>
      </c>
      <c r="L630">
        <v>13</v>
      </c>
      <c r="M630">
        <v>3</v>
      </c>
      <c r="N630">
        <v>2</v>
      </c>
      <c r="O630">
        <v>0</v>
      </c>
      <c r="Q630" t="str">
        <f t="shared" si="90"/>
        <v>xG Cukup Sedikit</v>
      </c>
      <c r="R630" t="str">
        <f t="shared" si="91"/>
        <v>Possession Cukup Sedikit</v>
      </c>
      <c r="S630" t="str">
        <f t="shared" si="92"/>
        <v>Total Pass Cukup Sedikit</v>
      </c>
      <c r="T630" t="str">
        <f t="shared" si="93"/>
        <v>Pass Sukses Cukup Sedikit</v>
      </c>
      <c r="U630" t="str">
        <f t="shared" si="94"/>
        <v>Total Shot Cukup Sedikit</v>
      </c>
      <c r="V630" t="str">
        <f t="shared" si="97"/>
        <v>Shot on Target Normal</v>
      </c>
      <c r="W630" t="str">
        <f t="shared" si="98"/>
        <v>Fouls Tinggi</v>
      </c>
      <c r="X630" t="str">
        <f t="shared" si="99"/>
        <v>Corner Rendah</v>
      </c>
      <c r="Y630" t="str">
        <f t="shared" si="95"/>
        <v>Yellow Card Rendah</v>
      </c>
      <c r="Z630" t="str">
        <f t="shared" si="96"/>
        <v>Red Card Rendah</v>
      </c>
    </row>
    <row r="631" spans="1:26" x14ac:dyDescent="0.25">
      <c r="A631" t="s">
        <v>33</v>
      </c>
      <c r="B631">
        <v>1.5</v>
      </c>
      <c r="C631">
        <v>45</v>
      </c>
      <c r="D631">
        <v>461</v>
      </c>
      <c r="E631">
        <v>367</v>
      </c>
      <c r="F631">
        <v>0</v>
      </c>
      <c r="G631" t="s">
        <v>35</v>
      </c>
      <c r="H631">
        <v>0</v>
      </c>
      <c r="I631" t="s">
        <v>35</v>
      </c>
      <c r="J631">
        <v>16</v>
      </c>
      <c r="K631">
        <v>6</v>
      </c>
      <c r="L631">
        <v>9</v>
      </c>
      <c r="M631">
        <v>5</v>
      </c>
      <c r="N631">
        <v>2</v>
      </c>
      <c r="O631">
        <v>0</v>
      </c>
      <c r="Q631" t="str">
        <f t="shared" si="90"/>
        <v>xG Cukup Sedikit</v>
      </c>
      <c r="R631" t="str">
        <f t="shared" si="91"/>
        <v>Possession Cukup Sedikit</v>
      </c>
      <c r="S631" t="str">
        <f t="shared" si="92"/>
        <v>Total Pass Cukup Sedikit</v>
      </c>
      <c r="T631" t="str">
        <f t="shared" si="93"/>
        <v>Pass Sukses Cukup Sedikit</v>
      </c>
      <c r="U631" t="str">
        <f t="shared" si="94"/>
        <v>Total Shot Cukup Sedikit</v>
      </c>
      <c r="V631" t="str">
        <f t="shared" si="97"/>
        <v>Shot on Target Tinggi</v>
      </c>
      <c r="W631" t="str">
        <f t="shared" si="98"/>
        <v>Fouls Normal</v>
      </c>
      <c r="X631" t="str">
        <f t="shared" si="99"/>
        <v>Corner Normal</v>
      </c>
      <c r="Y631" t="str">
        <f t="shared" si="95"/>
        <v>Yellow Card Rendah</v>
      </c>
      <c r="Z631" t="str">
        <f t="shared" si="96"/>
        <v>Red Card Rendah</v>
      </c>
    </row>
    <row r="632" spans="1:26" x14ac:dyDescent="0.25">
      <c r="A632" t="s">
        <v>39</v>
      </c>
      <c r="B632">
        <v>2.5</v>
      </c>
      <c r="C632">
        <v>48</v>
      </c>
      <c r="D632">
        <v>448</v>
      </c>
      <c r="E632">
        <v>360</v>
      </c>
      <c r="F632">
        <v>2</v>
      </c>
      <c r="G632" t="s">
        <v>36</v>
      </c>
      <c r="H632">
        <v>1</v>
      </c>
      <c r="I632" t="s">
        <v>35</v>
      </c>
      <c r="J632">
        <v>17</v>
      </c>
      <c r="K632">
        <v>3</v>
      </c>
      <c r="L632">
        <v>6</v>
      </c>
      <c r="M632">
        <v>8</v>
      </c>
      <c r="N632">
        <v>0</v>
      </c>
      <c r="O632">
        <v>0</v>
      </c>
      <c r="Q632" t="str">
        <f t="shared" si="90"/>
        <v>xG Cukup Sedikit</v>
      </c>
      <c r="R632" t="str">
        <f t="shared" si="91"/>
        <v>Possession Cukup Sedikit</v>
      </c>
      <c r="S632" t="str">
        <f t="shared" si="92"/>
        <v>Total Pass Cukup Sedikit</v>
      </c>
      <c r="T632" t="str">
        <f t="shared" si="93"/>
        <v>Pass Sukses Cukup Sedikit</v>
      </c>
      <c r="U632" t="str">
        <f t="shared" si="94"/>
        <v>Total Shot Cukup Sedikit</v>
      </c>
      <c r="V632" t="str">
        <f t="shared" si="97"/>
        <v>Shot on Target Rendah</v>
      </c>
      <c r="W632" t="str">
        <f t="shared" si="98"/>
        <v>Fouls Rendah</v>
      </c>
      <c r="X632" t="str">
        <f t="shared" si="99"/>
        <v>Corner Tinggi</v>
      </c>
      <c r="Y632" t="str">
        <f t="shared" si="95"/>
        <v>Yellow Card Rendah</v>
      </c>
      <c r="Z632" t="str">
        <f t="shared" si="96"/>
        <v>Red Card Rendah</v>
      </c>
    </row>
    <row r="633" spans="1:26" x14ac:dyDescent="0.25">
      <c r="A633" t="s">
        <v>54</v>
      </c>
      <c r="B633">
        <v>1.5</v>
      </c>
      <c r="C633">
        <v>52</v>
      </c>
      <c r="D633">
        <v>460</v>
      </c>
      <c r="E633">
        <v>379</v>
      </c>
      <c r="F633">
        <v>4</v>
      </c>
      <c r="G633" t="s">
        <v>40</v>
      </c>
      <c r="H633">
        <v>3</v>
      </c>
      <c r="I633" t="s">
        <v>40</v>
      </c>
      <c r="J633">
        <v>14</v>
      </c>
      <c r="K633">
        <v>6</v>
      </c>
      <c r="L633">
        <v>10</v>
      </c>
      <c r="M633">
        <v>6</v>
      </c>
      <c r="N633">
        <v>0</v>
      </c>
      <c r="O633">
        <v>0</v>
      </c>
      <c r="Q633" t="str">
        <f t="shared" si="90"/>
        <v>xG Cukup Sedikit</v>
      </c>
      <c r="R633" t="str">
        <f t="shared" si="91"/>
        <v>Possession Cukup Banyak</v>
      </c>
      <c r="S633" t="str">
        <f t="shared" si="92"/>
        <v>Total Pass Cukup Sedikit</v>
      </c>
      <c r="T633" t="str">
        <f t="shared" si="93"/>
        <v>Pass Sukses Cukup Sedikit</v>
      </c>
      <c r="U633" t="str">
        <f t="shared" si="94"/>
        <v>Total Shot Cukup Sedikit</v>
      </c>
      <c r="V633" t="str">
        <f t="shared" si="97"/>
        <v>Shot on Target Tinggi</v>
      </c>
      <c r="W633" t="str">
        <f t="shared" si="98"/>
        <v>Fouls Normal</v>
      </c>
      <c r="X633" t="str">
        <f t="shared" si="99"/>
        <v>Corner Tinggi</v>
      </c>
      <c r="Y633" t="str">
        <f t="shared" si="95"/>
        <v>Yellow Card Rendah</v>
      </c>
      <c r="Z633" t="str">
        <f t="shared" si="96"/>
        <v>Red Card Rendah</v>
      </c>
    </row>
    <row r="634" spans="1:26" x14ac:dyDescent="0.25">
      <c r="A634" t="s">
        <v>33</v>
      </c>
      <c r="B634">
        <v>0.4</v>
      </c>
      <c r="C634">
        <v>62</v>
      </c>
      <c r="D634">
        <v>575</v>
      </c>
      <c r="E634">
        <v>479</v>
      </c>
      <c r="F634">
        <v>2</v>
      </c>
      <c r="G634" t="s">
        <v>36</v>
      </c>
      <c r="H634">
        <v>0</v>
      </c>
      <c r="I634" t="s">
        <v>35</v>
      </c>
      <c r="J634">
        <v>9</v>
      </c>
      <c r="K634">
        <v>3</v>
      </c>
      <c r="L634">
        <v>9</v>
      </c>
      <c r="M634">
        <v>9</v>
      </c>
      <c r="N634">
        <v>1</v>
      </c>
      <c r="O634">
        <v>0</v>
      </c>
      <c r="Q634" t="str">
        <f t="shared" si="90"/>
        <v>xG Sangat Sedikit</v>
      </c>
      <c r="R634" t="str">
        <f t="shared" si="91"/>
        <v>Possession Cukup Banyak</v>
      </c>
      <c r="S634" t="str">
        <f t="shared" si="92"/>
        <v>Total Pass Cukup Banyak</v>
      </c>
      <c r="T634" t="str">
        <f t="shared" si="93"/>
        <v>Pass Sukses Cukup Banyak</v>
      </c>
      <c r="U634" t="str">
        <f t="shared" si="94"/>
        <v>Total Shot Sangat Sedikit</v>
      </c>
      <c r="V634" t="str">
        <f t="shared" si="97"/>
        <v>Shot on Target Rendah</v>
      </c>
      <c r="W634" t="str">
        <f t="shared" si="98"/>
        <v>Fouls Normal</v>
      </c>
      <c r="X634" t="str">
        <f t="shared" si="99"/>
        <v>Corner Tinggi</v>
      </c>
      <c r="Y634" t="str">
        <f t="shared" si="95"/>
        <v>Yellow Card Rendah</v>
      </c>
      <c r="Z634" t="str">
        <f t="shared" si="96"/>
        <v>Red Card Rendah</v>
      </c>
    </row>
    <row r="635" spans="1:26" x14ac:dyDescent="0.25">
      <c r="A635" t="s">
        <v>51</v>
      </c>
      <c r="B635">
        <v>1.1000000000000001</v>
      </c>
      <c r="C635">
        <v>32</v>
      </c>
      <c r="D635">
        <v>334</v>
      </c>
      <c r="E635">
        <v>257</v>
      </c>
      <c r="F635">
        <v>1</v>
      </c>
      <c r="G635" t="s">
        <v>40</v>
      </c>
      <c r="H635">
        <v>1</v>
      </c>
      <c r="I635" t="s">
        <v>40</v>
      </c>
      <c r="J635">
        <v>5</v>
      </c>
      <c r="K635">
        <v>2</v>
      </c>
      <c r="L635">
        <v>15</v>
      </c>
      <c r="M635">
        <v>0</v>
      </c>
      <c r="N635">
        <v>3</v>
      </c>
      <c r="O635">
        <v>0</v>
      </c>
      <c r="Q635" t="str">
        <f t="shared" si="90"/>
        <v>xG Sangat Sedikit</v>
      </c>
      <c r="R635" t="str">
        <f t="shared" si="91"/>
        <v>Possession Sangat Sedikit</v>
      </c>
      <c r="S635" t="str">
        <f t="shared" si="92"/>
        <v>Total Pass Sangat Sedikit</v>
      </c>
      <c r="T635" t="str">
        <f t="shared" si="93"/>
        <v>Pass Sukses Sangat Sedikit</v>
      </c>
      <c r="U635" t="str">
        <f t="shared" si="94"/>
        <v>Total Shot Sangat Sedikit</v>
      </c>
      <c r="V635" t="str">
        <f t="shared" si="97"/>
        <v>Shot on Target Rendah</v>
      </c>
      <c r="W635" t="str">
        <f t="shared" si="98"/>
        <v>Fouls Tinggi</v>
      </c>
      <c r="X635" t="str">
        <f t="shared" si="99"/>
        <v>Corner Rendah</v>
      </c>
      <c r="Y635" t="str">
        <f t="shared" si="95"/>
        <v>Yellow Card Tinggi</v>
      </c>
      <c r="Z635" t="str">
        <f t="shared" si="96"/>
        <v>Red Card Rendah</v>
      </c>
    </row>
    <row r="636" spans="1:26" x14ac:dyDescent="0.25">
      <c r="A636" t="s">
        <v>43</v>
      </c>
      <c r="B636">
        <v>2</v>
      </c>
      <c r="C636">
        <v>54</v>
      </c>
      <c r="D636">
        <v>490</v>
      </c>
      <c r="E636">
        <v>381</v>
      </c>
      <c r="F636">
        <v>1</v>
      </c>
      <c r="G636" t="s">
        <v>40</v>
      </c>
      <c r="H636">
        <v>1</v>
      </c>
      <c r="I636" t="s">
        <v>40</v>
      </c>
      <c r="J636">
        <v>13</v>
      </c>
      <c r="K636">
        <v>5</v>
      </c>
      <c r="L636">
        <v>9</v>
      </c>
      <c r="M636">
        <v>7</v>
      </c>
      <c r="N636">
        <v>3</v>
      </c>
      <c r="O636">
        <v>0</v>
      </c>
      <c r="Q636" t="str">
        <f t="shared" si="90"/>
        <v>xG Cukup Sedikit</v>
      </c>
      <c r="R636" t="str">
        <f t="shared" si="91"/>
        <v>Possession Cukup Banyak</v>
      </c>
      <c r="S636" t="str">
        <f t="shared" si="92"/>
        <v>Total Pass Cukup Sedikit</v>
      </c>
      <c r="T636" t="str">
        <f t="shared" si="93"/>
        <v>Pass Sukses Cukup Sedikit</v>
      </c>
      <c r="U636" t="str">
        <f t="shared" si="94"/>
        <v>Total Shot Cukup Sedikit</v>
      </c>
      <c r="V636" t="str">
        <f t="shared" si="97"/>
        <v>Shot on Target Tinggi</v>
      </c>
      <c r="W636" t="str">
        <f t="shared" si="98"/>
        <v>Fouls Normal</v>
      </c>
      <c r="X636" t="str">
        <f t="shared" si="99"/>
        <v>Corner Tinggi</v>
      </c>
      <c r="Y636" t="str">
        <f t="shared" si="95"/>
        <v>Yellow Card Tinggi</v>
      </c>
      <c r="Z636" t="str">
        <f t="shared" si="96"/>
        <v>Red Card Rendah</v>
      </c>
    </row>
    <row r="637" spans="1:26" x14ac:dyDescent="0.25">
      <c r="A637" t="s">
        <v>55</v>
      </c>
      <c r="B637">
        <v>1.3</v>
      </c>
      <c r="C637">
        <v>38</v>
      </c>
      <c r="D637">
        <v>363</v>
      </c>
      <c r="E637">
        <v>267</v>
      </c>
      <c r="F637">
        <v>2</v>
      </c>
      <c r="G637" t="s">
        <v>40</v>
      </c>
      <c r="H637">
        <v>1</v>
      </c>
      <c r="I637" t="s">
        <v>40</v>
      </c>
      <c r="J637">
        <v>10</v>
      </c>
      <c r="K637">
        <v>5</v>
      </c>
      <c r="L637">
        <v>7</v>
      </c>
      <c r="M637">
        <v>7</v>
      </c>
      <c r="N637">
        <v>3</v>
      </c>
      <c r="O637">
        <v>0</v>
      </c>
      <c r="Q637" t="str">
        <f t="shared" si="90"/>
        <v>xG Sangat Sedikit</v>
      </c>
      <c r="R637" t="str">
        <f t="shared" si="91"/>
        <v>Possession Cukup Sedikit</v>
      </c>
      <c r="S637" t="str">
        <f t="shared" si="92"/>
        <v>Total Pass Cukup Sedikit</v>
      </c>
      <c r="T637" t="str">
        <f t="shared" si="93"/>
        <v>Pass Sukses Sangat Sedikit</v>
      </c>
      <c r="U637" t="str">
        <f t="shared" si="94"/>
        <v>Total Shot Sangat Sedikit</v>
      </c>
      <c r="V637" t="str">
        <f t="shared" si="97"/>
        <v>Shot on Target Tinggi</v>
      </c>
      <c r="W637" t="str">
        <f t="shared" si="98"/>
        <v>Fouls Rendah</v>
      </c>
      <c r="X637" t="str">
        <f t="shared" si="99"/>
        <v>Corner Tinggi</v>
      </c>
      <c r="Y637" t="str">
        <f t="shared" si="95"/>
        <v>Yellow Card Tinggi</v>
      </c>
      <c r="Z637" t="str">
        <f t="shared" si="96"/>
        <v>Red Card Rendah</v>
      </c>
    </row>
    <row r="638" spans="1:26" x14ac:dyDescent="0.25">
      <c r="A638" t="s">
        <v>60</v>
      </c>
      <c r="B638">
        <v>1.7</v>
      </c>
      <c r="C638">
        <v>58</v>
      </c>
      <c r="D638">
        <v>549</v>
      </c>
      <c r="E638">
        <v>473</v>
      </c>
      <c r="F638">
        <v>4</v>
      </c>
      <c r="G638" t="s">
        <v>40</v>
      </c>
      <c r="H638">
        <v>2</v>
      </c>
      <c r="I638" t="s">
        <v>40</v>
      </c>
      <c r="J638">
        <v>10</v>
      </c>
      <c r="K638">
        <v>6</v>
      </c>
      <c r="L638">
        <v>14</v>
      </c>
      <c r="M638">
        <v>4</v>
      </c>
      <c r="N638">
        <v>1</v>
      </c>
      <c r="O638">
        <v>0</v>
      </c>
      <c r="Q638" t="str">
        <f t="shared" si="90"/>
        <v>xG Cukup Sedikit</v>
      </c>
      <c r="R638" t="str">
        <f t="shared" si="91"/>
        <v>Possession Cukup Banyak</v>
      </c>
      <c r="S638" t="str">
        <f t="shared" si="92"/>
        <v>Total Pass Cukup Banyak</v>
      </c>
      <c r="T638" t="str">
        <f t="shared" si="93"/>
        <v>Pass Sukses Cukup Banyak</v>
      </c>
      <c r="U638" t="str">
        <f t="shared" si="94"/>
        <v>Total Shot Sangat Sedikit</v>
      </c>
      <c r="V638" t="str">
        <f t="shared" si="97"/>
        <v>Shot on Target Tinggi</v>
      </c>
      <c r="W638" t="str">
        <f t="shared" si="98"/>
        <v>Fouls Tinggi</v>
      </c>
      <c r="X638" t="str">
        <f t="shared" si="99"/>
        <v>Corner Rendah</v>
      </c>
      <c r="Y638" t="str">
        <f t="shared" si="95"/>
        <v>Yellow Card Rendah</v>
      </c>
      <c r="Z638" t="str">
        <f t="shared" si="96"/>
        <v>Red Card Rendah</v>
      </c>
    </row>
    <row r="639" spans="1:26" x14ac:dyDescent="0.25">
      <c r="A639" t="s">
        <v>45</v>
      </c>
      <c r="B639">
        <v>3.9</v>
      </c>
      <c r="C639">
        <v>50</v>
      </c>
      <c r="D639">
        <v>467</v>
      </c>
      <c r="E639">
        <v>374</v>
      </c>
      <c r="F639">
        <v>4</v>
      </c>
      <c r="G639" t="s">
        <v>40</v>
      </c>
      <c r="H639">
        <v>1</v>
      </c>
      <c r="I639" t="s">
        <v>40</v>
      </c>
      <c r="J639">
        <v>18</v>
      </c>
      <c r="K639">
        <v>12</v>
      </c>
      <c r="L639">
        <v>12</v>
      </c>
      <c r="M639">
        <v>6</v>
      </c>
      <c r="N639">
        <v>0</v>
      </c>
      <c r="O639">
        <v>0</v>
      </c>
      <c r="Q639" t="str">
        <f t="shared" si="90"/>
        <v>xG Cukup Banyak</v>
      </c>
      <c r="R639" t="str">
        <f t="shared" si="91"/>
        <v>Possession Cukup Sedikit</v>
      </c>
      <c r="S639" t="str">
        <f t="shared" si="92"/>
        <v>Total Pass Cukup Sedikit</v>
      </c>
      <c r="T639" t="str">
        <f t="shared" si="93"/>
        <v>Pass Sukses Cukup Sedikit</v>
      </c>
      <c r="U639" t="str">
        <f t="shared" si="94"/>
        <v>Total Shot Cukup Sedikit</v>
      </c>
      <c r="V639" t="str">
        <f t="shared" si="97"/>
        <v>Shot on Target Tinggi</v>
      </c>
      <c r="W639" t="str">
        <f t="shared" si="98"/>
        <v>Fouls Tinggi</v>
      </c>
      <c r="X639" t="str">
        <f t="shared" si="99"/>
        <v>Corner Tinggi</v>
      </c>
      <c r="Y639" t="str">
        <f t="shared" si="95"/>
        <v>Yellow Card Rendah</v>
      </c>
      <c r="Z639" t="str">
        <f t="shared" si="96"/>
        <v>Red Card Rendah</v>
      </c>
    </row>
    <row r="640" spans="1:26" x14ac:dyDescent="0.25">
      <c r="A640" t="s">
        <v>57</v>
      </c>
      <c r="B640">
        <v>2.2999999999999998</v>
      </c>
      <c r="C640">
        <v>48</v>
      </c>
      <c r="D640">
        <v>475</v>
      </c>
      <c r="E640">
        <v>409</v>
      </c>
      <c r="F640">
        <v>1</v>
      </c>
      <c r="G640" t="s">
        <v>35</v>
      </c>
      <c r="H640">
        <v>1</v>
      </c>
      <c r="I640" t="s">
        <v>40</v>
      </c>
      <c r="J640">
        <v>15</v>
      </c>
      <c r="K640">
        <v>7</v>
      </c>
      <c r="L640">
        <v>16</v>
      </c>
      <c r="M640">
        <v>3</v>
      </c>
      <c r="N640">
        <v>3</v>
      </c>
      <c r="O640">
        <v>0</v>
      </c>
      <c r="Q640" t="str">
        <f t="shared" si="90"/>
        <v>xG Cukup Sedikit</v>
      </c>
      <c r="R640" t="str">
        <f t="shared" si="91"/>
        <v>Possession Cukup Sedikit</v>
      </c>
      <c r="S640" t="str">
        <f t="shared" si="92"/>
        <v>Total Pass Cukup Sedikit</v>
      </c>
      <c r="T640" t="str">
        <f t="shared" si="93"/>
        <v>Pass Sukses Cukup Sedikit</v>
      </c>
      <c r="U640" t="str">
        <f t="shared" si="94"/>
        <v>Total Shot Cukup Sedikit</v>
      </c>
      <c r="V640" t="str">
        <f t="shared" si="97"/>
        <v>Shot on Target Tinggi</v>
      </c>
      <c r="W640" t="str">
        <f t="shared" si="98"/>
        <v>Fouls Tinggi</v>
      </c>
      <c r="X640" t="str">
        <f t="shared" si="99"/>
        <v>Corner Rendah</v>
      </c>
      <c r="Y640" t="str">
        <f t="shared" si="95"/>
        <v>Yellow Card Tinggi</v>
      </c>
      <c r="Z640" t="str">
        <f t="shared" si="96"/>
        <v>Red Card Rendah</v>
      </c>
    </row>
    <row r="641" spans="1:26" x14ac:dyDescent="0.25">
      <c r="A641" t="s">
        <v>48</v>
      </c>
      <c r="B641">
        <v>1.7</v>
      </c>
      <c r="C641">
        <v>43</v>
      </c>
      <c r="D641">
        <v>386</v>
      </c>
      <c r="E641">
        <v>279</v>
      </c>
      <c r="F641">
        <v>3</v>
      </c>
      <c r="G641" t="s">
        <v>35</v>
      </c>
      <c r="H641">
        <v>1</v>
      </c>
      <c r="I641" t="s">
        <v>35</v>
      </c>
      <c r="J641">
        <v>17</v>
      </c>
      <c r="K641">
        <v>5</v>
      </c>
      <c r="L641">
        <v>13</v>
      </c>
      <c r="M641">
        <v>6</v>
      </c>
      <c r="N641">
        <v>4</v>
      </c>
      <c r="O641">
        <v>0</v>
      </c>
      <c r="Q641" t="str">
        <f t="shared" si="90"/>
        <v>xG Cukup Sedikit</v>
      </c>
      <c r="R641" t="str">
        <f t="shared" si="91"/>
        <v>Possession Cukup Sedikit</v>
      </c>
      <c r="S641" t="str">
        <f t="shared" si="92"/>
        <v>Total Pass Cukup Sedikit</v>
      </c>
      <c r="T641" t="str">
        <f t="shared" si="93"/>
        <v>Pass Sukses Sangat Sedikit</v>
      </c>
      <c r="U641" t="str">
        <f t="shared" si="94"/>
        <v>Total Shot Cukup Sedikit</v>
      </c>
      <c r="V641" t="str">
        <f t="shared" si="97"/>
        <v>Shot on Target Tinggi</v>
      </c>
      <c r="W641" t="str">
        <f t="shared" si="98"/>
        <v>Fouls Tinggi</v>
      </c>
      <c r="X641" t="str">
        <f t="shared" si="99"/>
        <v>Corner Tinggi</v>
      </c>
      <c r="Y641" t="str">
        <f t="shared" si="95"/>
        <v>Yellow Card Tinggi</v>
      </c>
      <c r="Z641" t="str">
        <f t="shared" si="96"/>
        <v>Red Card Rendah</v>
      </c>
    </row>
    <row r="642" spans="1:26" x14ac:dyDescent="0.25">
      <c r="A642" t="s">
        <v>39</v>
      </c>
      <c r="B642">
        <v>0.7</v>
      </c>
      <c r="C642">
        <v>34</v>
      </c>
      <c r="D642">
        <v>356</v>
      </c>
      <c r="E642">
        <v>282</v>
      </c>
      <c r="F642">
        <v>2</v>
      </c>
      <c r="G642" t="s">
        <v>40</v>
      </c>
      <c r="H642">
        <v>2</v>
      </c>
      <c r="I642" t="s">
        <v>40</v>
      </c>
      <c r="J642">
        <v>8</v>
      </c>
      <c r="K642">
        <v>4</v>
      </c>
      <c r="L642">
        <v>10</v>
      </c>
      <c r="M642">
        <v>5</v>
      </c>
      <c r="N642">
        <v>0</v>
      </c>
      <c r="O642">
        <v>0</v>
      </c>
      <c r="Q642" t="str">
        <f t="shared" si="90"/>
        <v>xG Sangat Sedikit</v>
      </c>
      <c r="R642" t="str">
        <f t="shared" si="91"/>
        <v>Possession Sangat Sedikit</v>
      </c>
      <c r="S642" t="str">
        <f t="shared" si="92"/>
        <v>Total Pass Sangat Sedikit</v>
      </c>
      <c r="T642" t="str">
        <f t="shared" si="93"/>
        <v>Pass Sukses Sangat Sedikit</v>
      </c>
      <c r="U642" t="str">
        <f t="shared" si="94"/>
        <v>Total Shot Sangat Sedikit</v>
      </c>
      <c r="V642" t="str">
        <f t="shared" si="97"/>
        <v>Shot on Target Normal</v>
      </c>
      <c r="W642" t="str">
        <f t="shared" si="98"/>
        <v>Fouls Normal</v>
      </c>
      <c r="X642" t="str">
        <f t="shared" si="99"/>
        <v>Corner Normal</v>
      </c>
      <c r="Y642" t="str">
        <f t="shared" si="95"/>
        <v>Yellow Card Rendah</v>
      </c>
      <c r="Z642" t="str">
        <f t="shared" si="96"/>
        <v>Red Card Rendah</v>
      </c>
    </row>
    <row r="643" spans="1:26" x14ac:dyDescent="0.25">
      <c r="A643" t="s">
        <v>49</v>
      </c>
      <c r="B643">
        <v>1.5</v>
      </c>
      <c r="C643">
        <v>56</v>
      </c>
      <c r="D643">
        <v>515</v>
      </c>
      <c r="E643">
        <v>402</v>
      </c>
      <c r="F643">
        <v>1</v>
      </c>
      <c r="G643" t="s">
        <v>35</v>
      </c>
      <c r="H643">
        <v>0</v>
      </c>
      <c r="I643" t="s">
        <v>35</v>
      </c>
      <c r="J643">
        <v>19</v>
      </c>
      <c r="K643">
        <v>5</v>
      </c>
      <c r="L643">
        <v>14</v>
      </c>
      <c r="M643">
        <v>9</v>
      </c>
      <c r="N643">
        <v>1</v>
      </c>
      <c r="O643">
        <v>0</v>
      </c>
      <c r="Q643" t="str">
        <f t="shared" ref="Q643:Q706" si="100">_xlfn.LET(
 _xlpm.x,B643,
 _xlpm.min,MIN($B$2:$B$761),
 _xlpm.max,MAX($B$2:$B$761),
 _xlpm.persen,(_xlpm.x-_xlpm.min)/(_xlpm.max-_xlpm.min)*100,
 IF(_xlpm.persen&lt;=25,"xG Sangat Sedikit",
   IF(_xlpm.persen&lt;=50,"xG Cukup Sedikit",
     IF(_xlpm.persen&lt;=75,"xG Cukup Banyak",
       "xG Sangat Banyak"))))</f>
        <v>xG Cukup Sedikit</v>
      </c>
      <c r="R643" t="str">
        <f t="shared" ref="R643:R706" si="101">_xlfn.LET(
 _xlpm.x,C643,
 _xlpm.min,MIN($C$2:$C$761),
 _xlpm.max,MAX($C$2:$C$761),
 _xlpm.persen,(_xlpm.x-_xlpm.min)/(_xlpm.max-_xlpm.min)*100,
 IF(_xlpm.persen&lt;=25,"Possession Sangat Sedikit",
   IF(_xlpm.persen&lt;=50,"Possession Cukup Sedikit",
     IF(_xlpm.persen&lt;=75,"Possession Cukup Banyak",
       "Possession Sangat Banyak"))))</f>
        <v>Possession Cukup Banyak</v>
      </c>
      <c r="S643" t="str">
        <f t="shared" ref="S643:S706" si="102">_xlfn.LET(
 _xlpm.x,D643,
 _xlpm.min,MIN($D$2:$D$761),
 _xlpm.max,MAX($D$2:$D$761),
 _xlpm.persen,(_xlpm.x-_xlpm.min)/(_xlpm.max-_xlpm.min)*100,
 IF(_xlpm.persen&lt;=25,"Total Pass Sangat Sedikit",
   IF(_xlpm.persen&lt;=50,"Total Pass Cukup Sedikit",
     IF(_xlpm.persen&lt;=75,"Total Pass Cukup Banyak",
       "Total Pass Sangat Banyak"))))</f>
        <v>Total Pass Cukup Banyak</v>
      </c>
      <c r="T643" t="str">
        <f t="shared" ref="T643:T706" si="103">_xlfn.LET(
 _xlpm.x,E643,
 _xlpm.min,MIN($E$2:$E$761),
 _xlpm.max,MAX($E$2:$E$761),
 _xlpm.persen,(_xlpm.x-_xlpm.min)/(_xlpm.max-_xlpm.min)*100,
 IF(_xlpm.persen&lt;=25,"Pass Sukses Sangat Sedikit",
   IF(_xlpm.persen&lt;=50,"Pass Sukses Cukup Sedikit",
     IF(_xlpm.persen&lt;=75,"Pass Sukses Cukup Banyak",
       "Pass Sukses Sangat Banyak"))))</f>
        <v>Pass Sukses Cukup Sedikit</v>
      </c>
      <c r="U643" t="str">
        <f t="shared" ref="U643:U706" si="104">_xlfn.LET(
 _xlpm.x,J643,
 _xlpm.min,MIN($J$2:$J$761),
 _xlpm.max,MAX($J$2:$J$761),
 _xlpm.persen,(_xlpm.x-_xlpm.min)/(_xlpm.max-_xlpm.min)*100,
 IF(_xlpm.persen&lt;=25,"Total Shot Sangat Sedikit",
   IF(_xlpm.persen&lt;=50,"Total Shot Cukup Sedikit",
     IF(_xlpm.persen&lt;=75,"Total Shot Cukup Banyak",
       "Total Shot Sangat Banyak"))))</f>
        <v>Total Shot Cukup Sedikit</v>
      </c>
      <c r="V643" t="str">
        <f t="shared" si="97"/>
        <v>Shot on Target Tinggi</v>
      </c>
      <c r="W643" t="str">
        <f t="shared" si="98"/>
        <v>Fouls Tinggi</v>
      </c>
      <c r="X643" t="str">
        <f t="shared" si="99"/>
        <v>Corner Tinggi</v>
      </c>
      <c r="Y643" t="str">
        <f t="shared" ref="Y643:Y706" si="105">IF(N643&lt;$Y$1,"Yellow Card Rendah","Yellow Card Tinggi")</f>
        <v>Yellow Card Rendah</v>
      </c>
      <c r="Z643" t="str">
        <f t="shared" ref="Z643:Z706" si="106">IF(O643&lt;$Z$1,"Red Card Rendah","Red Card Tinggi")</f>
        <v>Red Card Rendah</v>
      </c>
    </row>
    <row r="644" spans="1:26" x14ac:dyDescent="0.25">
      <c r="A644" t="s">
        <v>52</v>
      </c>
      <c r="B644">
        <v>0.4</v>
      </c>
      <c r="C644">
        <v>64</v>
      </c>
      <c r="D644">
        <v>509</v>
      </c>
      <c r="E644">
        <v>424</v>
      </c>
      <c r="F644">
        <v>1</v>
      </c>
      <c r="G644" t="s">
        <v>35</v>
      </c>
      <c r="H644">
        <v>0</v>
      </c>
      <c r="I644" t="s">
        <v>35</v>
      </c>
      <c r="J644">
        <v>6</v>
      </c>
      <c r="K644">
        <v>2</v>
      </c>
      <c r="L644">
        <v>10</v>
      </c>
      <c r="M644">
        <v>8</v>
      </c>
      <c r="N644">
        <v>1</v>
      </c>
      <c r="O644">
        <v>0</v>
      </c>
      <c r="Q644" t="str">
        <f t="shared" si="100"/>
        <v>xG Sangat Sedikit</v>
      </c>
      <c r="R644" t="str">
        <f t="shared" si="101"/>
        <v>Possession Sangat Banyak</v>
      </c>
      <c r="S644" t="str">
        <f t="shared" si="102"/>
        <v>Total Pass Cukup Banyak</v>
      </c>
      <c r="T644" t="str">
        <f t="shared" si="103"/>
        <v>Pass Sukses Cukup Sedikit</v>
      </c>
      <c r="U644" t="str">
        <f t="shared" si="104"/>
        <v>Total Shot Sangat Sedikit</v>
      </c>
      <c r="V644" t="str">
        <f t="shared" ref="V644:V707" si="107">IF(K644&gt;$V$1,"Shot on Target Tinggi",IF(K644&gt;($V$1/5*4),"Shot on Target Normal","Shot on Target Rendah"))</f>
        <v>Shot on Target Rendah</v>
      </c>
      <c r="W644" t="str">
        <f t="shared" ref="W644:W707" si="108">IF(L644&gt;$W$1,"Fouls Tinggi",IF(L644&gt;($W$1/5*4),"Fouls Normal","Fouls Rendah"))</f>
        <v>Fouls Normal</v>
      </c>
      <c r="X644" t="str">
        <f t="shared" ref="X644:X707" si="109">IF(M644&gt;$X$1,"Corner Tinggi",IF(M644&gt;($X$1/5*4),"Corner Normal","Corner Rendah"))</f>
        <v>Corner Tinggi</v>
      </c>
      <c r="Y644" t="str">
        <f t="shared" si="105"/>
        <v>Yellow Card Rendah</v>
      </c>
      <c r="Z644" t="str">
        <f t="shared" si="106"/>
        <v>Red Card Rendah</v>
      </c>
    </row>
    <row r="645" spans="1:26" x14ac:dyDescent="0.25">
      <c r="A645" t="s">
        <v>34</v>
      </c>
      <c r="B645">
        <v>1.7</v>
      </c>
      <c r="C645">
        <v>40</v>
      </c>
      <c r="D645">
        <v>410</v>
      </c>
      <c r="E645">
        <v>343</v>
      </c>
      <c r="F645">
        <v>2</v>
      </c>
      <c r="G645" t="s">
        <v>40</v>
      </c>
      <c r="H645">
        <v>1</v>
      </c>
      <c r="I645" t="s">
        <v>36</v>
      </c>
      <c r="J645">
        <v>11</v>
      </c>
      <c r="K645">
        <v>5</v>
      </c>
      <c r="L645">
        <v>15</v>
      </c>
      <c r="M645">
        <v>5</v>
      </c>
      <c r="N645">
        <v>3</v>
      </c>
      <c r="O645">
        <v>0</v>
      </c>
      <c r="Q645" t="str">
        <f t="shared" si="100"/>
        <v>xG Cukup Sedikit</v>
      </c>
      <c r="R645" t="str">
        <f t="shared" si="101"/>
        <v>Possession Cukup Sedikit</v>
      </c>
      <c r="S645" t="str">
        <f t="shared" si="102"/>
        <v>Total Pass Cukup Sedikit</v>
      </c>
      <c r="T645" t="str">
        <f t="shared" si="103"/>
        <v>Pass Sukses Cukup Sedikit</v>
      </c>
      <c r="U645" t="str">
        <f t="shared" si="104"/>
        <v>Total Shot Cukup Sedikit</v>
      </c>
      <c r="V645" t="str">
        <f t="shared" si="107"/>
        <v>Shot on Target Tinggi</v>
      </c>
      <c r="W645" t="str">
        <f t="shared" si="108"/>
        <v>Fouls Tinggi</v>
      </c>
      <c r="X645" t="str">
        <f t="shared" si="109"/>
        <v>Corner Normal</v>
      </c>
      <c r="Y645" t="str">
        <f t="shared" si="105"/>
        <v>Yellow Card Tinggi</v>
      </c>
      <c r="Z645" t="str">
        <f t="shared" si="106"/>
        <v>Red Card Rendah</v>
      </c>
    </row>
    <row r="646" spans="1:26" x14ac:dyDescent="0.25">
      <c r="A646" t="s">
        <v>47</v>
      </c>
      <c r="B646">
        <v>0.7</v>
      </c>
      <c r="C646">
        <v>40</v>
      </c>
      <c r="D646">
        <v>441</v>
      </c>
      <c r="E646">
        <v>370</v>
      </c>
      <c r="F646">
        <v>0</v>
      </c>
      <c r="G646" t="s">
        <v>35</v>
      </c>
      <c r="H646">
        <v>0</v>
      </c>
      <c r="I646" t="s">
        <v>35</v>
      </c>
      <c r="J646">
        <v>7</v>
      </c>
      <c r="K646">
        <v>2</v>
      </c>
      <c r="L646">
        <v>9</v>
      </c>
      <c r="M646">
        <v>2</v>
      </c>
      <c r="N646">
        <v>2</v>
      </c>
      <c r="O646">
        <v>0</v>
      </c>
      <c r="Q646" t="str">
        <f t="shared" si="100"/>
        <v>xG Sangat Sedikit</v>
      </c>
      <c r="R646" t="str">
        <f t="shared" si="101"/>
        <v>Possession Cukup Sedikit</v>
      </c>
      <c r="S646" t="str">
        <f t="shared" si="102"/>
        <v>Total Pass Cukup Sedikit</v>
      </c>
      <c r="T646" t="str">
        <f t="shared" si="103"/>
        <v>Pass Sukses Cukup Sedikit</v>
      </c>
      <c r="U646" t="str">
        <f t="shared" si="104"/>
        <v>Total Shot Sangat Sedikit</v>
      </c>
      <c r="V646" t="str">
        <f t="shared" si="107"/>
        <v>Shot on Target Rendah</v>
      </c>
      <c r="W646" t="str">
        <f t="shared" si="108"/>
        <v>Fouls Normal</v>
      </c>
      <c r="X646" t="str">
        <f t="shared" si="109"/>
        <v>Corner Rendah</v>
      </c>
      <c r="Y646" t="str">
        <f t="shared" si="105"/>
        <v>Yellow Card Rendah</v>
      </c>
      <c r="Z646" t="str">
        <f t="shared" si="106"/>
        <v>Red Card Rendah</v>
      </c>
    </row>
    <row r="647" spans="1:26" x14ac:dyDescent="0.25">
      <c r="A647" t="s">
        <v>44</v>
      </c>
      <c r="B647">
        <v>1.5</v>
      </c>
      <c r="C647">
        <v>48</v>
      </c>
      <c r="D647">
        <v>474</v>
      </c>
      <c r="E647">
        <v>378</v>
      </c>
      <c r="F647">
        <v>1</v>
      </c>
      <c r="G647" t="s">
        <v>36</v>
      </c>
      <c r="H647">
        <v>0</v>
      </c>
      <c r="I647" t="s">
        <v>35</v>
      </c>
      <c r="J647">
        <v>14</v>
      </c>
      <c r="K647">
        <v>4</v>
      </c>
      <c r="L647">
        <v>6</v>
      </c>
      <c r="M647">
        <v>5</v>
      </c>
      <c r="N647">
        <v>1</v>
      </c>
      <c r="O647">
        <v>0</v>
      </c>
      <c r="Q647" t="str">
        <f t="shared" si="100"/>
        <v>xG Cukup Sedikit</v>
      </c>
      <c r="R647" t="str">
        <f t="shared" si="101"/>
        <v>Possession Cukup Sedikit</v>
      </c>
      <c r="S647" t="str">
        <f t="shared" si="102"/>
        <v>Total Pass Cukup Sedikit</v>
      </c>
      <c r="T647" t="str">
        <f t="shared" si="103"/>
        <v>Pass Sukses Cukup Sedikit</v>
      </c>
      <c r="U647" t="str">
        <f t="shared" si="104"/>
        <v>Total Shot Cukup Sedikit</v>
      </c>
      <c r="V647" t="str">
        <f t="shared" si="107"/>
        <v>Shot on Target Normal</v>
      </c>
      <c r="W647" t="str">
        <f t="shared" si="108"/>
        <v>Fouls Rendah</v>
      </c>
      <c r="X647" t="str">
        <f t="shared" si="109"/>
        <v>Corner Normal</v>
      </c>
      <c r="Y647" t="str">
        <f t="shared" si="105"/>
        <v>Yellow Card Rendah</v>
      </c>
      <c r="Z647" t="str">
        <f t="shared" si="106"/>
        <v>Red Card Rendah</v>
      </c>
    </row>
    <row r="648" spans="1:26" x14ac:dyDescent="0.25">
      <c r="A648" t="s">
        <v>38</v>
      </c>
      <c r="B648">
        <v>1.4</v>
      </c>
      <c r="C648">
        <v>55</v>
      </c>
      <c r="D648">
        <v>486</v>
      </c>
      <c r="E648">
        <v>404</v>
      </c>
      <c r="F648">
        <v>2</v>
      </c>
      <c r="G648" t="s">
        <v>35</v>
      </c>
      <c r="H648">
        <v>2</v>
      </c>
      <c r="I648" t="s">
        <v>36</v>
      </c>
      <c r="J648">
        <v>12</v>
      </c>
      <c r="K648">
        <v>3</v>
      </c>
      <c r="L648">
        <v>16</v>
      </c>
      <c r="M648">
        <v>6</v>
      </c>
      <c r="N648">
        <v>4</v>
      </c>
      <c r="O648">
        <v>0</v>
      </c>
      <c r="Q648" t="str">
        <f t="shared" si="100"/>
        <v>xG Sangat Sedikit</v>
      </c>
      <c r="R648" t="str">
        <f t="shared" si="101"/>
        <v>Possession Cukup Banyak</v>
      </c>
      <c r="S648" t="str">
        <f t="shared" si="102"/>
        <v>Total Pass Cukup Sedikit</v>
      </c>
      <c r="T648" t="str">
        <f t="shared" si="103"/>
        <v>Pass Sukses Cukup Sedikit</v>
      </c>
      <c r="U648" t="str">
        <f t="shared" si="104"/>
        <v>Total Shot Cukup Sedikit</v>
      </c>
      <c r="V648" t="str">
        <f t="shared" si="107"/>
        <v>Shot on Target Rendah</v>
      </c>
      <c r="W648" t="str">
        <f t="shared" si="108"/>
        <v>Fouls Tinggi</v>
      </c>
      <c r="X648" t="str">
        <f t="shared" si="109"/>
        <v>Corner Tinggi</v>
      </c>
      <c r="Y648" t="str">
        <f t="shared" si="105"/>
        <v>Yellow Card Tinggi</v>
      </c>
      <c r="Z648" t="str">
        <f t="shared" si="106"/>
        <v>Red Card Rendah</v>
      </c>
    </row>
    <row r="649" spans="1:26" x14ac:dyDescent="0.25">
      <c r="A649" t="s">
        <v>42</v>
      </c>
      <c r="B649">
        <v>1</v>
      </c>
      <c r="C649">
        <v>64</v>
      </c>
      <c r="D649">
        <v>544</v>
      </c>
      <c r="E649">
        <v>455</v>
      </c>
      <c r="F649">
        <v>0</v>
      </c>
      <c r="G649" t="s">
        <v>36</v>
      </c>
      <c r="H649">
        <v>0</v>
      </c>
      <c r="I649" t="s">
        <v>36</v>
      </c>
      <c r="J649">
        <v>13</v>
      </c>
      <c r="K649">
        <v>1</v>
      </c>
      <c r="L649">
        <v>17</v>
      </c>
      <c r="M649">
        <v>11</v>
      </c>
      <c r="N649">
        <v>1</v>
      </c>
      <c r="O649">
        <v>0</v>
      </c>
      <c r="Q649" t="str">
        <f t="shared" si="100"/>
        <v>xG Sangat Sedikit</v>
      </c>
      <c r="R649" t="str">
        <f t="shared" si="101"/>
        <v>Possession Sangat Banyak</v>
      </c>
      <c r="S649" t="str">
        <f t="shared" si="102"/>
        <v>Total Pass Cukup Banyak</v>
      </c>
      <c r="T649" t="str">
        <f t="shared" si="103"/>
        <v>Pass Sukses Cukup Banyak</v>
      </c>
      <c r="U649" t="str">
        <f t="shared" si="104"/>
        <v>Total Shot Cukup Sedikit</v>
      </c>
      <c r="V649" t="str">
        <f t="shared" si="107"/>
        <v>Shot on Target Rendah</v>
      </c>
      <c r="W649" t="str">
        <f t="shared" si="108"/>
        <v>Fouls Tinggi</v>
      </c>
      <c r="X649" t="str">
        <f t="shared" si="109"/>
        <v>Corner Tinggi</v>
      </c>
      <c r="Y649" t="str">
        <f t="shared" si="105"/>
        <v>Yellow Card Rendah</v>
      </c>
      <c r="Z649" t="str">
        <f t="shared" si="106"/>
        <v>Red Card Rendah</v>
      </c>
    </row>
    <row r="650" spans="1:26" x14ac:dyDescent="0.25">
      <c r="A650" t="s">
        <v>58</v>
      </c>
      <c r="B650">
        <v>2.1</v>
      </c>
      <c r="C650">
        <v>45</v>
      </c>
      <c r="D650">
        <v>460</v>
      </c>
      <c r="E650">
        <v>392</v>
      </c>
      <c r="F650">
        <v>1</v>
      </c>
      <c r="G650" t="s">
        <v>40</v>
      </c>
      <c r="H650">
        <v>1</v>
      </c>
      <c r="I650" t="s">
        <v>40</v>
      </c>
      <c r="J650">
        <v>12</v>
      </c>
      <c r="K650">
        <v>5</v>
      </c>
      <c r="L650">
        <v>15</v>
      </c>
      <c r="M650">
        <v>3</v>
      </c>
      <c r="N650">
        <v>0</v>
      </c>
      <c r="O650">
        <v>0</v>
      </c>
      <c r="Q650" t="str">
        <f t="shared" si="100"/>
        <v>xG Cukup Sedikit</v>
      </c>
      <c r="R650" t="str">
        <f t="shared" si="101"/>
        <v>Possession Cukup Sedikit</v>
      </c>
      <c r="S650" t="str">
        <f t="shared" si="102"/>
        <v>Total Pass Cukup Sedikit</v>
      </c>
      <c r="T650" t="str">
        <f t="shared" si="103"/>
        <v>Pass Sukses Cukup Sedikit</v>
      </c>
      <c r="U650" t="str">
        <f t="shared" si="104"/>
        <v>Total Shot Cukup Sedikit</v>
      </c>
      <c r="V650" t="str">
        <f t="shared" si="107"/>
        <v>Shot on Target Tinggi</v>
      </c>
      <c r="W650" t="str">
        <f t="shared" si="108"/>
        <v>Fouls Tinggi</v>
      </c>
      <c r="X650" t="str">
        <f t="shared" si="109"/>
        <v>Corner Rendah</v>
      </c>
      <c r="Y650" t="str">
        <f t="shared" si="105"/>
        <v>Yellow Card Rendah</v>
      </c>
      <c r="Z650" t="str">
        <f t="shared" si="106"/>
        <v>Red Card Rendah</v>
      </c>
    </row>
    <row r="651" spans="1:26" x14ac:dyDescent="0.25">
      <c r="A651" t="s">
        <v>46</v>
      </c>
      <c r="B651">
        <v>0.2</v>
      </c>
      <c r="C651">
        <v>39</v>
      </c>
      <c r="D651">
        <v>402</v>
      </c>
      <c r="E651">
        <v>327</v>
      </c>
      <c r="F651">
        <v>0</v>
      </c>
      <c r="G651" t="s">
        <v>35</v>
      </c>
      <c r="H651">
        <v>0</v>
      </c>
      <c r="I651" t="s">
        <v>35</v>
      </c>
      <c r="J651">
        <v>3</v>
      </c>
      <c r="K651">
        <v>0</v>
      </c>
      <c r="L651">
        <v>11</v>
      </c>
      <c r="M651">
        <v>2</v>
      </c>
      <c r="N651">
        <v>1</v>
      </c>
      <c r="O651">
        <v>0</v>
      </c>
      <c r="Q651" t="str">
        <f t="shared" si="100"/>
        <v>xG Sangat Sedikit</v>
      </c>
      <c r="R651" t="str">
        <f t="shared" si="101"/>
        <v>Possession Cukup Sedikit</v>
      </c>
      <c r="S651" t="str">
        <f t="shared" si="102"/>
        <v>Total Pass Cukup Sedikit</v>
      </c>
      <c r="T651" t="str">
        <f t="shared" si="103"/>
        <v>Pass Sukses Cukup Sedikit</v>
      </c>
      <c r="U651" t="str">
        <f t="shared" si="104"/>
        <v>Total Shot Sangat Sedikit</v>
      </c>
      <c r="V651" t="str">
        <f t="shared" si="107"/>
        <v>Shot on Target Rendah</v>
      </c>
      <c r="W651" t="str">
        <f t="shared" si="108"/>
        <v>Fouls Normal</v>
      </c>
      <c r="X651" t="str">
        <f t="shared" si="109"/>
        <v>Corner Rendah</v>
      </c>
      <c r="Y651" t="str">
        <f t="shared" si="105"/>
        <v>Yellow Card Rendah</v>
      </c>
      <c r="Z651" t="str">
        <f t="shared" si="106"/>
        <v>Red Card Rendah</v>
      </c>
    </row>
    <row r="652" spans="1:26" x14ac:dyDescent="0.25">
      <c r="A652" t="s">
        <v>59</v>
      </c>
      <c r="B652">
        <v>0.4</v>
      </c>
      <c r="C652">
        <v>42</v>
      </c>
      <c r="D652">
        <v>504</v>
      </c>
      <c r="E652">
        <v>411</v>
      </c>
      <c r="F652">
        <v>0</v>
      </c>
      <c r="G652" t="s">
        <v>35</v>
      </c>
      <c r="H652">
        <v>0</v>
      </c>
      <c r="I652" t="s">
        <v>35</v>
      </c>
      <c r="J652">
        <v>10</v>
      </c>
      <c r="K652">
        <v>2</v>
      </c>
      <c r="L652">
        <v>6</v>
      </c>
      <c r="M652">
        <v>3</v>
      </c>
      <c r="N652">
        <v>0</v>
      </c>
      <c r="O652">
        <v>0</v>
      </c>
      <c r="Q652" t="str">
        <f t="shared" si="100"/>
        <v>xG Sangat Sedikit</v>
      </c>
      <c r="R652" t="str">
        <f t="shared" si="101"/>
        <v>Possession Cukup Sedikit</v>
      </c>
      <c r="S652" t="str">
        <f t="shared" si="102"/>
        <v>Total Pass Cukup Sedikit</v>
      </c>
      <c r="T652" t="str">
        <f t="shared" si="103"/>
        <v>Pass Sukses Cukup Sedikit</v>
      </c>
      <c r="U652" t="str">
        <f t="shared" si="104"/>
        <v>Total Shot Sangat Sedikit</v>
      </c>
      <c r="V652" t="str">
        <f t="shared" si="107"/>
        <v>Shot on Target Rendah</v>
      </c>
      <c r="W652" t="str">
        <f t="shared" si="108"/>
        <v>Fouls Rendah</v>
      </c>
      <c r="X652" t="str">
        <f t="shared" si="109"/>
        <v>Corner Rendah</v>
      </c>
      <c r="Y652" t="str">
        <f t="shared" si="105"/>
        <v>Yellow Card Rendah</v>
      </c>
      <c r="Z652" t="str">
        <f t="shared" si="106"/>
        <v>Red Card Rendah</v>
      </c>
    </row>
    <row r="653" spans="1:26" x14ac:dyDescent="0.25">
      <c r="A653" t="s">
        <v>58</v>
      </c>
      <c r="B653">
        <v>0.9</v>
      </c>
      <c r="C653">
        <v>69</v>
      </c>
      <c r="D653">
        <v>652</v>
      </c>
      <c r="E653">
        <v>571</v>
      </c>
      <c r="F653">
        <v>0</v>
      </c>
      <c r="G653" t="s">
        <v>35</v>
      </c>
      <c r="H653">
        <v>0</v>
      </c>
      <c r="I653" t="s">
        <v>36</v>
      </c>
      <c r="J653">
        <v>14</v>
      </c>
      <c r="K653">
        <v>3</v>
      </c>
      <c r="L653">
        <v>7</v>
      </c>
      <c r="M653">
        <v>2</v>
      </c>
      <c r="N653">
        <v>2</v>
      </c>
      <c r="O653">
        <v>0</v>
      </c>
      <c r="Q653" t="str">
        <f t="shared" si="100"/>
        <v>xG Sangat Sedikit</v>
      </c>
      <c r="R653" t="str">
        <f t="shared" si="101"/>
        <v>Possession Sangat Banyak</v>
      </c>
      <c r="S653" t="str">
        <f t="shared" si="102"/>
        <v>Total Pass Cukup Banyak</v>
      </c>
      <c r="T653" t="str">
        <f t="shared" si="103"/>
        <v>Pass Sukses Cukup Banyak</v>
      </c>
      <c r="U653" t="str">
        <f t="shared" si="104"/>
        <v>Total Shot Cukup Sedikit</v>
      </c>
      <c r="V653" t="str">
        <f t="shared" si="107"/>
        <v>Shot on Target Rendah</v>
      </c>
      <c r="W653" t="str">
        <f t="shared" si="108"/>
        <v>Fouls Rendah</v>
      </c>
      <c r="X653" t="str">
        <f t="shared" si="109"/>
        <v>Corner Rendah</v>
      </c>
      <c r="Y653" t="str">
        <f t="shared" si="105"/>
        <v>Yellow Card Rendah</v>
      </c>
      <c r="Z653" t="str">
        <f t="shared" si="106"/>
        <v>Red Card Rendah</v>
      </c>
    </row>
    <row r="654" spans="1:26" x14ac:dyDescent="0.25">
      <c r="A654" t="s">
        <v>34</v>
      </c>
      <c r="B654">
        <v>0.9</v>
      </c>
      <c r="C654">
        <v>47</v>
      </c>
      <c r="D654">
        <v>479</v>
      </c>
      <c r="E654">
        <v>391</v>
      </c>
      <c r="F654">
        <v>1</v>
      </c>
      <c r="G654" t="s">
        <v>35</v>
      </c>
      <c r="H654">
        <v>1</v>
      </c>
      <c r="I654" t="s">
        <v>36</v>
      </c>
      <c r="J654">
        <v>6</v>
      </c>
      <c r="K654">
        <v>1</v>
      </c>
      <c r="L654">
        <v>12</v>
      </c>
      <c r="M654">
        <v>7</v>
      </c>
      <c r="N654">
        <v>2</v>
      </c>
      <c r="O654">
        <v>0</v>
      </c>
      <c r="Q654" t="str">
        <f t="shared" si="100"/>
        <v>xG Sangat Sedikit</v>
      </c>
      <c r="R654" t="str">
        <f t="shared" si="101"/>
        <v>Possession Cukup Sedikit</v>
      </c>
      <c r="S654" t="str">
        <f t="shared" si="102"/>
        <v>Total Pass Cukup Sedikit</v>
      </c>
      <c r="T654" t="str">
        <f t="shared" si="103"/>
        <v>Pass Sukses Cukup Sedikit</v>
      </c>
      <c r="U654" t="str">
        <f t="shared" si="104"/>
        <v>Total Shot Sangat Sedikit</v>
      </c>
      <c r="V654" t="str">
        <f t="shared" si="107"/>
        <v>Shot on Target Rendah</v>
      </c>
      <c r="W654" t="str">
        <f t="shared" si="108"/>
        <v>Fouls Tinggi</v>
      </c>
      <c r="X654" t="str">
        <f t="shared" si="109"/>
        <v>Corner Tinggi</v>
      </c>
      <c r="Y654" t="str">
        <f t="shared" si="105"/>
        <v>Yellow Card Rendah</v>
      </c>
      <c r="Z654" t="str">
        <f t="shared" si="106"/>
        <v>Red Card Rendah</v>
      </c>
    </row>
    <row r="655" spans="1:26" x14ac:dyDescent="0.25">
      <c r="A655" t="s">
        <v>38</v>
      </c>
      <c r="B655">
        <v>1.5</v>
      </c>
      <c r="C655">
        <v>45</v>
      </c>
      <c r="D655">
        <v>380</v>
      </c>
      <c r="E655">
        <v>269</v>
      </c>
      <c r="F655">
        <v>0</v>
      </c>
      <c r="G655" t="s">
        <v>35</v>
      </c>
      <c r="H655">
        <v>0</v>
      </c>
      <c r="I655" t="s">
        <v>36</v>
      </c>
      <c r="J655">
        <v>15</v>
      </c>
      <c r="K655">
        <v>8</v>
      </c>
      <c r="L655">
        <v>7</v>
      </c>
      <c r="M655">
        <v>4</v>
      </c>
      <c r="N655">
        <v>3</v>
      </c>
      <c r="O655">
        <v>0</v>
      </c>
      <c r="Q655" t="str">
        <f t="shared" si="100"/>
        <v>xG Cukup Sedikit</v>
      </c>
      <c r="R655" t="str">
        <f t="shared" si="101"/>
        <v>Possession Cukup Sedikit</v>
      </c>
      <c r="S655" t="str">
        <f t="shared" si="102"/>
        <v>Total Pass Cukup Sedikit</v>
      </c>
      <c r="T655" t="str">
        <f t="shared" si="103"/>
        <v>Pass Sukses Sangat Sedikit</v>
      </c>
      <c r="U655" t="str">
        <f t="shared" si="104"/>
        <v>Total Shot Cukup Sedikit</v>
      </c>
      <c r="V655" t="str">
        <f t="shared" si="107"/>
        <v>Shot on Target Tinggi</v>
      </c>
      <c r="W655" t="str">
        <f t="shared" si="108"/>
        <v>Fouls Rendah</v>
      </c>
      <c r="X655" t="str">
        <f t="shared" si="109"/>
        <v>Corner Rendah</v>
      </c>
      <c r="Y655" t="str">
        <f t="shared" si="105"/>
        <v>Yellow Card Tinggi</v>
      </c>
      <c r="Z655" t="str">
        <f t="shared" si="106"/>
        <v>Red Card Rendah</v>
      </c>
    </row>
    <row r="656" spans="1:26" x14ac:dyDescent="0.25">
      <c r="A656" t="s">
        <v>47</v>
      </c>
      <c r="B656">
        <v>0.4</v>
      </c>
      <c r="C656">
        <v>29</v>
      </c>
      <c r="D656">
        <v>286</v>
      </c>
      <c r="E656">
        <v>216</v>
      </c>
      <c r="F656">
        <v>1</v>
      </c>
      <c r="G656" t="s">
        <v>35</v>
      </c>
      <c r="H656">
        <v>1</v>
      </c>
      <c r="I656" t="s">
        <v>40</v>
      </c>
      <c r="J656">
        <v>6</v>
      </c>
      <c r="K656">
        <v>4</v>
      </c>
      <c r="L656">
        <v>9</v>
      </c>
      <c r="M656">
        <v>4</v>
      </c>
      <c r="N656">
        <v>1</v>
      </c>
      <c r="O656">
        <v>0</v>
      </c>
      <c r="Q656" t="str">
        <f t="shared" si="100"/>
        <v>xG Sangat Sedikit</v>
      </c>
      <c r="R656" t="str">
        <f t="shared" si="101"/>
        <v>Possession Sangat Sedikit</v>
      </c>
      <c r="S656" t="str">
        <f t="shared" si="102"/>
        <v>Total Pass Sangat Sedikit</v>
      </c>
      <c r="T656" t="str">
        <f t="shared" si="103"/>
        <v>Pass Sukses Sangat Sedikit</v>
      </c>
      <c r="U656" t="str">
        <f t="shared" si="104"/>
        <v>Total Shot Sangat Sedikit</v>
      </c>
      <c r="V656" t="str">
        <f t="shared" si="107"/>
        <v>Shot on Target Normal</v>
      </c>
      <c r="W656" t="str">
        <f t="shared" si="108"/>
        <v>Fouls Normal</v>
      </c>
      <c r="X656" t="str">
        <f t="shared" si="109"/>
        <v>Corner Rendah</v>
      </c>
      <c r="Y656" t="str">
        <f t="shared" si="105"/>
        <v>Yellow Card Rendah</v>
      </c>
      <c r="Z656" t="str">
        <f t="shared" si="106"/>
        <v>Red Card Rendah</v>
      </c>
    </row>
    <row r="657" spans="1:26" x14ac:dyDescent="0.25">
      <c r="A657" t="s">
        <v>52</v>
      </c>
      <c r="B657">
        <v>1.3</v>
      </c>
      <c r="C657">
        <v>41</v>
      </c>
      <c r="D657">
        <v>346</v>
      </c>
      <c r="E657">
        <v>254</v>
      </c>
      <c r="F657">
        <v>1</v>
      </c>
      <c r="G657" t="s">
        <v>40</v>
      </c>
      <c r="H657">
        <v>0</v>
      </c>
      <c r="I657" t="s">
        <v>36</v>
      </c>
      <c r="J657">
        <v>12</v>
      </c>
      <c r="K657">
        <v>4</v>
      </c>
      <c r="L657">
        <v>5</v>
      </c>
      <c r="M657">
        <v>5</v>
      </c>
      <c r="N657">
        <v>2</v>
      </c>
      <c r="O657">
        <v>0</v>
      </c>
      <c r="Q657" t="str">
        <f t="shared" si="100"/>
        <v>xG Sangat Sedikit</v>
      </c>
      <c r="R657" t="str">
        <f t="shared" si="101"/>
        <v>Possession Cukup Sedikit</v>
      </c>
      <c r="S657" t="str">
        <f t="shared" si="102"/>
        <v>Total Pass Sangat Sedikit</v>
      </c>
      <c r="T657" t="str">
        <f t="shared" si="103"/>
        <v>Pass Sukses Sangat Sedikit</v>
      </c>
      <c r="U657" t="str">
        <f t="shared" si="104"/>
        <v>Total Shot Cukup Sedikit</v>
      </c>
      <c r="V657" t="str">
        <f t="shared" si="107"/>
        <v>Shot on Target Normal</v>
      </c>
      <c r="W657" t="str">
        <f t="shared" si="108"/>
        <v>Fouls Rendah</v>
      </c>
      <c r="X657" t="str">
        <f t="shared" si="109"/>
        <v>Corner Normal</v>
      </c>
      <c r="Y657" t="str">
        <f t="shared" si="105"/>
        <v>Yellow Card Rendah</v>
      </c>
      <c r="Z657" t="str">
        <f t="shared" si="106"/>
        <v>Red Card Rendah</v>
      </c>
    </row>
    <row r="658" spans="1:26" x14ac:dyDescent="0.25">
      <c r="A658" t="s">
        <v>44</v>
      </c>
      <c r="B658">
        <v>1.2</v>
      </c>
      <c r="C658">
        <v>34</v>
      </c>
      <c r="D658">
        <v>337</v>
      </c>
      <c r="E658">
        <v>252</v>
      </c>
      <c r="F658">
        <v>1</v>
      </c>
      <c r="G658" t="s">
        <v>36</v>
      </c>
      <c r="H658">
        <v>1</v>
      </c>
      <c r="I658" t="s">
        <v>36</v>
      </c>
      <c r="J658">
        <v>12</v>
      </c>
      <c r="K658">
        <v>4</v>
      </c>
      <c r="L658">
        <v>16</v>
      </c>
      <c r="M658">
        <v>5</v>
      </c>
      <c r="N658">
        <v>2</v>
      </c>
      <c r="O658">
        <v>0</v>
      </c>
      <c r="Q658" t="str">
        <f t="shared" si="100"/>
        <v>xG Sangat Sedikit</v>
      </c>
      <c r="R658" t="str">
        <f t="shared" si="101"/>
        <v>Possession Sangat Sedikit</v>
      </c>
      <c r="S658" t="str">
        <f t="shared" si="102"/>
        <v>Total Pass Sangat Sedikit</v>
      </c>
      <c r="T658" t="str">
        <f t="shared" si="103"/>
        <v>Pass Sukses Sangat Sedikit</v>
      </c>
      <c r="U658" t="str">
        <f t="shared" si="104"/>
        <v>Total Shot Cukup Sedikit</v>
      </c>
      <c r="V658" t="str">
        <f t="shared" si="107"/>
        <v>Shot on Target Normal</v>
      </c>
      <c r="W658" t="str">
        <f t="shared" si="108"/>
        <v>Fouls Tinggi</v>
      </c>
      <c r="X658" t="str">
        <f t="shared" si="109"/>
        <v>Corner Normal</v>
      </c>
      <c r="Y658" t="str">
        <f t="shared" si="105"/>
        <v>Yellow Card Rendah</v>
      </c>
      <c r="Z658" t="str">
        <f t="shared" si="106"/>
        <v>Red Card Rendah</v>
      </c>
    </row>
    <row r="659" spans="1:26" x14ac:dyDescent="0.25">
      <c r="A659" t="s">
        <v>59</v>
      </c>
      <c r="B659">
        <v>0.1</v>
      </c>
      <c r="C659">
        <v>44</v>
      </c>
      <c r="D659">
        <v>462</v>
      </c>
      <c r="E659">
        <v>364</v>
      </c>
      <c r="F659">
        <v>0</v>
      </c>
      <c r="G659" t="s">
        <v>35</v>
      </c>
      <c r="H659">
        <v>0</v>
      </c>
      <c r="I659" t="s">
        <v>36</v>
      </c>
      <c r="J659">
        <v>3</v>
      </c>
      <c r="K659">
        <v>3</v>
      </c>
      <c r="L659">
        <v>13</v>
      </c>
      <c r="M659">
        <v>2</v>
      </c>
      <c r="N659">
        <v>0</v>
      </c>
      <c r="O659">
        <v>0</v>
      </c>
      <c r="Q659" t="str">
        <f t="shared" si="100"/>
        <v>xG Sangat Sedikit</v>
      </c>
      <c r="R659" t="str">
        <f t="shared" si="101"/>
        <v>Possession Cukup Sedikit</v>
      </c>
      <c r="S659" t="str">
        <f t="shared" si="102"/>
        <v>Total Pass Cukup Sedikit</v>
      </c>
      <c r="T659" t="str">
        <f t="shared" si="103"/>
        <v>Pass Sukses Cukup Sedikit</v>
      </c>
      <c r="U659" t="str">
        <f t="shared" si="104"/>
        <v>Total Shot Sangat Sedikit</v>
      </c>
      <c r="V659" t="str">
        <f t="shared" si="107"/>
        <v>Shot on Target Rendah</v>
      </c>
      <c r="W659" t="str">
        <f t="shared" si="108"/>
        <v>Fouls Tinggi</v>
      </c>
      <c r="X659" t="str">
        <f t="shared" si="109"/>
        <v>Corner Rendah</v>
      </c>
      <c r="Y659" t="str">
        <f t="shared" si="105"/>
        <v>Yellow Card Rendah</v>
      </c>
      <c r="Z659" t="str">
        <f t="shared" si="106"/>
        <v>Red Card Rendah</v>
      </c>
    </row>
    <row r="660" spans="1:26" x14ac:dyDescent="0.25">
      <c r="A660" t="s">
        <v>49</v>
      </c>
      <c r="B660">
        <v>2.2000000000000002</v>
      </c>
      <c r="C660">
        <v>39</v>
      </c>
      <c r="D660">
        <v>370</v>
      </c>
      <c r="E660">
        <v>274</v>
      </c>
      <c r="F660">
        <v>2</v>
      </c>
      <c r="G660" t="s">
        <v>36</v>
      </c>
      <c r="H660">
        <v>1</v>
      </c>
      <c r="I660" t="s">
        <v>40</v>
      </c>
      <c r="J660">
        <v>17</v>
      </c>
      <c r="K660">
        <v>8</v>
      </c>
      <c r="L660">
        <v>16</v>
      </c>
      <c r="M660">
        <v>6</v>
      </c>
      <c r="N660">
        <v>3</v>
      </c>
      <c r="O660">
        <v>0</v>
      </c>
      <c r="Q660" t="str">
        <f t="shared" si="100"/>
        <v>xG Cukup Sedikit</v>
      </c>
      <c r="R660" t="str">
        <f t="shared" si="101"/>
        <v>Possession Cukup Sedikit</v>
      </c>
      <c r="S660" t="str">
        <f t="shared" si="102"/>
        <v>Total Pass Cukup Sedikit</v>
      </c>
      <c r="T660" t="str">
        <f t="shared" si="103"/>
        <v>Pass Sukses Sangat Sedikit</v>
      </c>
      <c r="U660" t="str">
        <f t="shared" si="104"/>
        <v>Total Shot Cukup Sedikit</v>
      </c>
      <c r="V660" t="str">
        <f t="shared" si="107"/>
        <v>Shot on Target Tinggi</v>
      </c>
      <c r="W660" t="str">
        <f t="shared" si="108"/>
        <v>Fouls Tinggi</v>
      </c>
      <c r="X660" t="str">
        <f t="shared" si="109"/>
        <v>Corner Tinggi</v>
      </c>
      <c r="Y660" t="str">
        <f t="shared" si="105"/>
        <v>Yellow Card Tinggi</v>
      </c>
      <c r="Z660" t="str">
        <f t="shared" si="106"/>
        <v>Red Card Rendah</v>
      </c>
    </row>
    <row r="661" spans="1:26" x14ac:dyDescent="0.25">
      <c r="A661" t="s">
        <v>42</v>
      </c>
      <c r="B661">
        <v>1.6</v>
      </c>
      <c r="C661">
        <v>68</v>
      </c>
      <c r="D661">
        <v>644</v>
      </c>
      <c r="E661">
        <v>553</v>
      </c>
      <c r="F661">
        <v>1</v>
      </c>
      <c r="G661" t="s">
        <v>36</v>
      </c>
      <c r="H661">
        <v>0</v>
      </c>
      <c r="I661" t="s">
        <v>35</v>
      </c>
      <c r="J661">
        <v>17</v>
      </c>
      <c r="K661">
        <v>6</v>
      </c>
      <c r="L661">
        <v>11</v>
      </c>
      <c r="M661">
        <v>9</v>
      </c>
      <c r="N661">
        <v>1</v>
      </c>
      <c r="O661">
        <v>0</v>
      </c>
      <c r="Q661" t="str">
        <f t="shared" si="100"/>
        <v>xG Cukup Sedikit</v>
      </c>
      <c r="R661" t="str">
        <f t="shared" si="101"/>
        <v>Possession Sangat Banyak</v>
      </c>
      <c r="S661" t="str">
        <f t="shared" si="102"/>
        <v>Total Pass Cukup Banyak</v>
      </c>
      <c r="T661" t="str">
        <f t="shared" si="103"/>
        <v>Pass Sukses Cukup Banyak</v>
      </c>
      <c r="U661" t="str">
        <f t="shared" si="104"/>
        <v>Total Shot Cukup Sedikit</v>
      </c>
      <c r="V661" t="str">
        <f t="shared" si="107"/>
        <v>Shot on Target Tinggi</v>
      </c>
      <c r="W661" t="str">
        <f t="shared" si="108"/>
        <v>Fouls Normal</v>
      </c>
      <c r="X661" t="str">
        <f t="shared" si="109"/>
        <v>Corner Tinggi</v>
      </c>
      <c r="Y661" t="str">
        <f t="shared" si="105"/>
        <v>Yellow Card Rendah</v>
      </c>
      <c r="Z661" t="str">
        <f t="shared" si="106"/>
        <v>Red Card Rendah</v>
      </c>
    </row>
    <row r="662" spans="1:26" x14ac:dyDescent="0.25">
      <c r="A662" t="s">
        <v>46</v>
      </c>
      <c r="B662">
        <v>1.4</v>
      </c>
      <c r="C662">
        <v>49</v>
      </c>
      <c r="D662">
        <v>484</v>
      </c>
      <c r="E662">
        <v>384</v>
      </c>
      <c r="F662">
        <v>1</v>
      </c>
      <c r="G662" t="s">
        <v>40</v>
      </c>
      <c r="H662">
        <v>0</v>
      </c>
      <c r="I662" t="s">
        <v>36</v>
      </c>
      <c r="J662">
        <v>9</v>
      </c>
      <c r="K662">
        <v>3</v>
      </c>
      <c r="L662">
        <v>15</v>
      </c>
      <c r="M662">
        <v>4</v>
      </c>
      <c r="N662">
        <v>1</v>
      </c>
      <c r="O662">
        <v>0</v>
      </c>
      <c r="Q662" t="str">
        <f t="shared" si="100"/>
        <v>xG Sangat Sedikit</v>
      </c>
      <c r="R662" t="str">
        <f t="shared" si="101"/>
        <v>Possession Cukup Sedikit</v>
      </c>
      <c r="S662" t="str">
        <f t="shared" si="102"/>
        <v>Total Pass Cukup Sedikit</v>
      </c>
      <c r="T662" t="str">
        <f t="shared" si="103"/>
        <v>Pass Sukses Cukup Sedikit</v>
      </c>
      <c r="U662" t="str">
        <f t="shared" si="104"/>
        <v>Total Shot Sangat Sedikit</v>
      </c>
      <c r="V662" t="str">
        <f t="shared" si="107"/>
        <v>Shot on Target Rendah</v>
      </c>
      <c r="W662" t="str">
        <f t="shared" si="108"/>
        <v>Fouls Tinggi</v>
      </c>
      <c r="X662" t="str">
        <f t="shared" si="109"/>
        <v>Corner Rendah</v>
      </c>
      <c r="Y662" t="str">
        <f t="shared" si="105"/>
        <v>Yellow Card Rendah</v>
      </c>
      <c r="Z662" t="str">
        <f t="shared" si="106"/>
        <v>Red Card Rendah</v>
      </c>
    </row>
    <row r="663" spans="1:26" x14ac:dyDescent="0.25">
      <c r="A663" t="s">
        <v>51</v>
      </c>
      <c r="B663">
        <v>0.8</v>
      </c>
      <c r="C663">
        <v>46</v>
      </c>
      <c r="D663">
        <v>474</v>
      </c>
      <c r="E663">
        <v>377</v>
      </c>
      <c r="F663">
        <v>1</v>
      </c>
      <c r="G663" t="s">
        <v>36</v>
      </c>
      <c r="H663">
        <v>0</v>
      </c>
      <c r="I663" t="s">
        <v>36</v>
      </c>
      <c r="J663">
        <v>10</v>
      </c>
      <c r="K663">
        <v>5</v>
      </c>
      <c r="L663">
        <v>8</v>
      </c>
      <c r="M663">
        <v>5</v>
      </c>
      <c r="N663">
        <v>2</v>
      </c>
      <c r="O663">
        <v>0</v>
      </c>
      <c r="Q663" t="str">
        <f t="shared" si="100"/>
        <v>xG Sangat Sedikit</v>
      </c>
      <c r="R663" t="str">
        <f t="shared" si="101"/>
        <v>Possession Cukup Sedikit</v>
      </c>
      <c r="S663" t="str">
        <f t="shared" si="102"/>
        <v>Total Pass Cukup Sedikit</v>
      </c>
      <c r="T663" t="str">
        <f t="shared" si="103"/>
        <v>Pass Sukses Cukup Sedikit</v>
      </c>
      <c r="U663" t="str">
        <f t="shared" si="104"/>
        <v>Total Shot Sangat Sedikit</v>
      </c>
      <c r="V663" t="str">
        <f t="shared" si="107"/>
        <v>Shot on Target Tinggi</v>
      </c>
      <c r="W663" t="str">
        <f t="shared" si="108"/>
        <v>Fouls Rendah</v>
      </c>
      <c r="X663" t="str">
        <f t="shared" si="109"/>
        <v>Corner Normal</v>
      </c>
      <c r="Y663" t="str">
        <f t="shared" si="105"/>
        <v>Yellow Card Rendah</v>
      </c>
      <c r="Z663" t="str">
        <f t="shared" si="106"/>
        <v>Red Card Rendah</v>
      </c>
    </row>
    <row r="664" spans="1:26" x14ac:dyDescent="0.25">
      <c r="A664" t="s">
        <v>48</v>
      </c>
      <c r="B664">
        <v>1.5</v>
      </c>
      <c r="C664">
        <v>45</v>
      </c>
      <c r="D664">
        <v>392</v>
      </c>
      <c r="E664">
        <v>298</v>
      </c>
      <c r="F664">
        <v>4</v>
      </c>
      <c r="G664" t="s">
        <v>40</v>
      </c>
      <c r="H664">
        <v>3</v>
      </c>
      <c r="I664" t="s">
        <v>40</v>
      </c>
      <c r="J664">
        <v>11</v>
      </c>
      <c r="K664">
        <v>6</v>
      </c>
      <c r="L664">
        <v>13</v>
      </c>
      <c r="M664">
        <v>3</v>
      </c>
      <c r="N664">
        <v>1</v>
      </c>
      <c r="O664">
        <v>0</v>
      </c>
      <c r="Q664" t="str">
        <f t="shared" si="100"/>
        <v>xG Cukup Sedikit</v>
      </c>
      <c r="R664" t="str">
        <f t="shared" si="101"/>
        <v>Possession Cukup Sedikit</v>
      </c>
      <c r="S664" t="str">
        <f t="shared" si="102"/>
        <v>Total Pass Cukup Sedikit</v>
      </c>
      <c r="T664" t="str">
        <f t="shared" si="103"/>
        <v>Pass Sukses Cukup Sedikit</v>
      </c>
      <c r="U664" t="str">
        <f t="shared" si="104"/>
        <v>Total Shot Cukup Sedikit</v>
      </c>
      <c r="V664" t="str">
        <f t="shared" si="107"/>
        <v>Shot on Target Tinggi</v>
      </c>
      <c r="W664" t="str">
        <f t="shared" si="108"/>
        <v>Fouls Tinggi</v>
      </c>
      <c r="X664" t="str">
        <f t="shared" si="109"/>
        <v>Corner Rendah</v>
      </c>
      <c r="Y664" t="str">
        <f t="shared" si="105"/>
        <v>Yellow Card Rendah</v>
      </c>
      <c r="Z664" t="str">
        <f t="shared" si="106"/>
        <v>Red Card Rendah</v>
      </c>
    </row>
    <row r="665" spans="1:26" x14ac:dyDescent="0.25">
      <c r="A665" t="s">
        <v>45</v>
      </c>
      <c r="B665">
        <v>2</v>
      </c>
      <c r="C665">
        <v>40</v>
      </c>
      <c r="D665">
        <v>363</v>
      </c>
      <c r="E665">
        <v>272</v>
      </c>
      <c r="F665">
        <v>2</v>
      </c>
      <c r="G665" t="s">
        <v>36</v>
      </c>
      <c r="H665">
        <v>1</v>
      </c>
      <c r="I665" t="s">
        <v>35</v>
      </c>
      <c r="J665">
        <v>15</v>
      </c>
      <c r="K665">
        <v>3</v>
      </c>
      <c r="L665">
        <v>10</v>
      </c>
      <c r="M665">
        <v>5</v>
      </c>
      <c r="N665">
        <v>5</v>
      </c>
      <c r="O665">
        <v>0</v>
      </c>
      <c r="Q665" t="str">
        <f t="shared" si="100"/>
        <v>xG Cukup Sedikit</v>
      </c>
      <c r="R665" t="str">
        <f t="shared" si="101"/>
        <v>Possession Cukup Sedikit</v>
      </c>
      <c r="S665" t="str">
        <f t="shared" si="102"/>
        <v>Total Pass Cukup Sedikit</v>
      </c>
      <c r="T665" t="str">
        <f t="shared" si="103"/>
        <v>Pass Sukses Sangat Sedikit</v>
      </c>
      <c r="U665" t="str">
        <f t="shared" si="104"/>
        <v>Total Shot Cukup Sedikit</v>
      </c>
      <c r="V665" t="str">
        <f t="shared" si="107"/>
        <v>Shot on Target Rendah</v>
      </c>
      <c r="W665" t="str">
        <f t="shared" si="108"/>
        <v>Fouls Normal</v>
      </c>
      <c r="X665" t="str">
        <f t="shared" si="109"/>
        <v>Corner Normal</v>
      </c>
      <c r="Y665" t="str">
        <f t="shared" si="105"/>
        <v>Yellow Card Tinggi</v>
      </c>
      <c r="Z665" t="str">
        <f t="shared" si="106"/>
        <v>Red Card Rendah</v>
      </c>
    </row>
    <row r="666" spans="1:26" x14ac:dyDescent="0.25">
      <c r="A666" t="s">
        <v>43</v>
      </c>
      <c r="B666">
        <v>0.4</v>
      </c>
      <c r="C666">
        <v>40</v>
      </c>
      <c r="D666">
        <v>437</v>
      </c>
      <c r="E666">
        <v>368</v>
      </c>
      <c r="F666">
        <v>2</v>
      </c>
      <c r="G666" t="s">
        <v>40</v>
      </c>
      <c r="H666">
        <v>1</v>
      </c>
      <c r="I666" t="s">
        <v>40</v>
      </c>
      <c r="J666">
        <v>5</v>
      </c>
      <c r="K666">
        <v>3</v>
      </c>
      <c r="L666">
        <v>13</v>
      </c>
      <c r="M666">
        <v>1</v>
      </c>
      <c r="N666">
        <v>0</v>
      </c>
      <c r="O666">
        <v>0</v>
      </c>
      <c r="Q666" t="str">
        <f t="shared" si="100"/>
        <v>xG Sangat Sedikit</v>
      </c>
      <c r="R666" t="str">
        <f t="shared" si="101"/>
        <v>Possession Cukup Sedikit</v>
      </c>
      <c r="S666" t="str">
        <f t="shared" si="102"/>
        <v>Total Pass Cukup Sedikit</v>
      </c>
      <c r="T666" t="str">
        <f t="shared" si="103"/>
        <v>Pass Sukses Cukup Sedikit</v>
      </c>
      <c r="U666" t="str">
        <f t="shared" si="104"/>
        <v>Total Shot Sangat Sedikit</v>
      </c>
      <c r="V666" t="str">
        <f t="shared" si="107"/>
        <v>Shot on Target Rendah</v>
      </c>
      <c r="W666" t="str">
        <f t="shared" si="108"/>
        <v>Fouls Tinggi</v>
      </c>
      <c r="X666" t="str">
        <f t="shared" si="109"/>
        <v>Corner Rendah</v>
      </c>
      <c r="Y666" t="str">
        <f t="shared" si="105"/>
        <v>Yellow Card Rendah</v>
      </c>
      <c r="Z666" t="str">
        <f t="shared" si="106"/>
        <v>Red Card Rendah</v>
      </c>
    </row>
    <row r="667" spans="1:26" x14ac:dyDescent="0.25">
      <c r="A667" t="s">
        <v>54</v>
      </c>
      <c r="B667">
        <v>0.8</v>
      </c>
      <c r="C667">
        <v>42</v>
      </c>
      <c r="D667">
        <v>386</v>
      </c>
      <c r="E667">
        <v>261</v>
      </c>
      <c r="F667">
        <v>2</v>
      </c>
      <c r="G667" t="s">
        <v>40</v>
      </c>
      <c r="H667">
        <v>1</v>
      </c>
      <c r="I667" t="s">
        <v>36</v>
      </c>
      <c r="J667">
        <v>10</v>
      </c>
      <c r="K667">
        <v>4</v>
      </c>
      <c r="L667">
        <v>7</v>
      </c>
      <c r="M667">
        <v>3</v>
      </c>
      <c r="N667">
        <v>0</v>
      </c>
      <c r="O667">
        <v>0</v>
      </c>
      <c r="Q667" t="str">
        <f t="shared" si="100"/>
        <v>xG Sangat Sedikit</v>
      </c>
      <c r="R667" t="str">
        <f t="shared" si="101"/>
        <v>Possession Cukup Sedikit</v>
      </c>
      <c r="S667" t="str">
        <f t="shared" si="102"/>
        <v>Total Pass Cukup Sedikit</v>
      </c>
      <c r="T667" t="str">
        <f t="shared" si="103"/>
        <v>Pass Sukses Sangat Sedikit</v>
      </c>
      <c r="U667" t="str">
        <f t="shared" si="104"/>
        <v>Total Shot Sangat Sedikit</v>
      </c>
      <c r="V667" t="str">
        <f t="shared" si="107"/>
        <v>Shot on Target Normal</v>
      </c>
      <c r="W667" t="str">
        <f t="shared" si="108"/>
        <v>Fouls Rendah</v>
      </c>
      <c r="X667" t="str">
        <f t="shared" si="109"/>
        <v>Corner Rendah</v>
      </c>
      <c r="Y667" t="str">
        <f t="shared" si="105"/>
        <v>Yellow Card Rendah</v>
      </c>
      <c r="Z667" t="str">
        <f t="shared" si="106"/>
        <v>Red Card Rendah</v>
      </c>
    </row>
    <row r="668" spans="1:26" x14ac:dyDescent="0.25">
      <c r="A668" t="s">
        <v>57</v>
      </c>
      <c r="B668">
        <v>0.4</v>
      </c>
      <c r="C668">
        <v>58</v>
      </c>
      <c r="D668">
        <v>548</v>
      </c>
      <c r="E668">
        <v>466</v>
      </c>
      <c r="F668">
        <v>0</v>
      </c>
      <c r="G668" t="s">
        <v>35</v>
      </c>
      <c r="H668">
        <v>0</v>
      </c>
      <c r="I668" t="s">
        <v>35</v>
      </c>
      <c r="J668">
        <v>8</v>
      </c>
      <c r="K668">
        <v>2</v>
      </c>
      <c r="L668">
        <v>13</v>
      </c>
      <c r="M668">
        <v>4</v>
      </c>
      <c r="N668">
        <v>3</v>
      </c>
      <c r="O668">
        <v>0</v>
      </c>
      <c r="Q668" t="str">
        <f t="shared" si="100"/>
        <v>xG Sangat Sedikit</v>
      </c>
      <c r="R668" t="str">
        <f t="shared" si="101"/>
        <v>Possession Cukup Banyak</v>
      </c>
      <c r="S668" t="str">
        <f t="shared" si="102"/>
        <v>Total Pass Cukup Banyak</v>
      </c>
      <c r="T668" t="str">
        <f t="shared" si="103"/>
        <v>Pass Sukses Cukup Banyak</v>
      </c>
      <c r="U668" t="str">
        <f t="shared" si="104"/>
        <v>Total Shot Sangat Sedikit</v>
      </c>
      <c r="V668" t="str">
        <f t="shared" si="107"/>
        <v>Shot on Target Rendah</v>
      </c>
      <c r="W668" t="str">
        <f t="shared" si="108"/>
        <v>Fouls Tinggi</v>
      </c>
      <c r="X668" t="str">
        <f t="shared" si="109"/>
        <v>Corner Rendah</v>
      </c>
      <c r="Y668" t="str">
        <f t="shared" si="105"/>
        <v>Yellow Card Tinggi</v>
      </c>
      <c r="Z668" t="str">
        <f t="shared" si="106"/>
        <v>Red Card Rendah</v>
      </c>
    </row>
    <row r="669" spans="1:26" x14ac:dyDescent="0.25">
      <c r="A669" t="s">
        <v>60</v>
      </c>
      <c r="B669">
        <v>0.9</v>
      </c>
      <c r="C669">
        <v>43</v>
      </c>
      <c r="D669">
        <v>451</v>
      </c>
      <c r="E669">
        <v>376</v>
      </c>
      <c r="F669">
        <v>0</v>
      </c>
      <c r="G669" t="s">
        <v>35</v>
      </c>
      <c r="H669">
        <v>0</v>
      </c>
      <c r="I669" t="s">
        <v>36</v>
      </c>
      <c r="J669">
        <v>12</v>
      </c>
      <c r="K669">
        <v>4</v>
      </c>
      <c r="L669">
        <v>10</v>
      </c>
      <c r="M669">
        <v>5</v>
      </c>
      <c r="N669">
        <v>0</v>
      </c>
      <c r="O669">
        <v>0</v>
      </c>
      <c r="Q669" t="str">
        <f t="shared" si="100"/>
        <v>xG Sangat Sedikit</v>
      </c>
      <c r="R669" t="str">
        <f t="shared" si="101"/>
        <v>Possession Cukup Sedikit</v>
      </c>
      <c r="S669" t="str">
        <f t="shared" si="102"/>
        <v>Total Pass Cukup Sedikit</v>
      </c>
      <c r="T669" t="str">
        <f t="shared" si="103"/>
        <v>Pass Sukses Cukup Sedikit</v>
      </c>
      <c r="U669" t="str">
        <f t="shared" si="104"/>
        <v>Total Shot Cukup Sedikit</v>
      </c>
      <c r="V669" t="str">
        <f t="shared" si="107"/>
        <v>Shot on Target Normal</v>
      </c>
      <c r="W669" t="str">
        <f t="shared" si="108"/>
        <v>Fouls Normal</v>
      </c>
      <c r="X669" t="str">
        <f t="shared" si="109"/>
        <v>Corner Normal</v>
      </c>
      <c r="Y669" t="str">
        <f t="shared" si="105"/>
        <v>Yellow Card Rendah</v>
      </c>
      <c r="Z669" t="str">
        <f t="shared" si="106"/>
        <v>Red Card Rendah</v>
      </c>
    </row>
    <row r="670" spans="1:26" x14ac:dyDescent="0.25">
      <c r="A670" t="s">
        <v>33</v>
      </c>
      <c r="B670">
        <v>0.9</v>
      </c>
      <c r="C670">
        <v>47</v>
      </c>
      <c r="D670">
        <v>503</v>
      </c>
      <c r="E670">
        <v>383</v>
      </c>
      <c r="F670">
        <v>3</v>
      </c>
      <c r="G670" t="s">
        <v>40</v>
      </c>
      <c r="H670">
        <v>1</v>
      </c>
      <c r="I670" t="s">
        <v>40</v>
      </c>
      <c r="J670">
        <v>18</v>
      </c>
      <c r="K670">
        <v>5</v>
      </c>
      <c r="L670">
        <v>6</v>
      </c>
      <c r="M670">
        <v>4</v>
      </c>
      <c r="N670">
        <v>0</v>
      </c>
      <c r="O670">
        <v>0</v>
      </c>
      <c r="Q670" t="str">
        <f t="shared" si="100"/>
        <v>xG Sangat Sedikit</v>
      </c>
      <c r="R670" t="str">
        <f t="shared" si="101"/>
        <v>Possession Cukup Sedikit</v>
      </c>
      <c r="S670" t="str">
        <f t="shared" si="102"/>
        <v>Total Pass Cukup Sedikit</v>
      </c>
      <c r="T670" t="str">
        <f t="shared" si="103"/>
        <v>Pass Sukses Cukup Sedikit</v>
      </c>
      <c r="U670" t="str">
        <f t="shared" si="104"/>
        <v>Total Shot Cukup Sedikit</v>
      </c>
      <c r="V670" t="str">
        <f t="shared" si="107"/>
        <v>Shot on Target Tinggi</v>
      </c>
      <c r="W670" t="str">
        <f t="shared" si="108"/>
        <v>Fouls Rendah</v>
      </c>
      <c r="X670" t="str">
        <f t="shared" si="109"/>
        <v>Corner Rendah</v>
      </c>
      <c r="Y670" t="str">
        <f t="shared" si="105"/>
        <v>Yellow Card Rendah</v>
      </c>
      <c r="Z670" t="str">
        <f t="shared" si="106"/>
        <v>Red Card Rendah</v>
      </c>
    </row>
    <row r="671" spans="1:26" x14ac:dyDescent="0.25">
      <c r="A671" t="s">
        <v>34</v>
      </c>
      <c r="B671">
        <v>1</v>
      </c>
      <c r="C671">
        <v>49</v>
      </c>
      <c r="D671">
        <v>500</v>
      </c>
      <c r="E671">
        <v>424</v>
      </c>
      <c r="F671">
        <v>1</v>
      </c>
      <c r="G671" t="s">
        <v>35</v>
      </c>
      <c r="H671">
        <v>0</v>
      </c>
      <c r="I671" t="s">
        <v>35</v>
      </c>
      <c r="J671">
        <v>9</v>
      </c>
      <c r="K671">
        <v>3</v>
      </c>
      <c r="L671">
        <v>10</v>
      </c>
      <c r="M671">
        <v>4</v>
      </c>
      <c r="N671">
        <v>2</v>
      </c>
      <c r="O671">
        <v>0</v>
      </c>
      <c r="Q671" t="str">
        <f t="shared" si="100"/>
        <v>xG Sangat Sedikit</v>
      </c>
      <c r="R671" t="str">
        <f t="shared" si="101"/>
        <v>Possession Cukup Sedikit</v>
      </c>
      <c r="S671" t="str">
        <f t="shared" si="102"/>
        <v>Total Pass Cukup Sedikit</v>
      </c>
      <c r="T671" t="str">
        <f t="shared" si="103"/>
        <v>Pass Sukses Cukup Sedikit</v>
      </c>
      <c r="U671" t="str">
        <f t="shared" si="104"/>
        <v>Total Shot Sangat Sedikit</v>
      </c>
      <c r="V671" t="str">
        <f t="shared" si="107"/>
        <v>Shot on Target Rendah</v>
      </c>
      <c r="W671" t="str">
        <f t="shared" si="108"/>
        <v>Fouls Normal</v>
      </c>
      <c r="X671" t="str">
        <f t="shared" si="109"/>
        <v>Corner Rendah</v>
      </c>
      <c r="Y671" t="str">
        <f t="shared" si="105"/>
        <v>Yellow Card Rendah</v>
      </c>
      <c r="Z671" t="str">
        <f t="shared" si="106"/>
        <v>Red Card Rendah</v>
      </c>
    </row>
    <row r="672" spans="1:26" x14ac:dyDescent="0.25">
      <c r="A672" t="s">
        <v>51</v>
      </c>
      <c r="B672">
        <v>1.3</v>
      </c>
      <c r="C672">
        <v>58</v>
      </c>
      <c r="D672">
        <v>614</v>
      </c>
      <c r="E672">
        <v>518</v>
      </c>
      <c r="F672">
        <v>0</v>
      </c>
      <c r="G672" t="s">
        <v>35</v>
      </c>
      <c r="H672">
        <v>0</v>
      </c>
      <c r="I672" t="s">
        <v>35</v>
      </c>
      <c r="J672">
        <v>10</v>
      </c>
      <c r="K672">
        <v>1</v>
      </c>
      <c r="L672">
        <v>12</v>
      </c>
      <c r="M672">
        <v>2</v>
      </c>
      <c r="N672">
        <v>2</v>
      </c>
      <c r="O672">
        <v>0</v>
      </c>
      <c r="Q672" t="str">
        <f t="shared" si="100"/>
        <v>xG Sangat Sedikit</v>
      </c>
      <c r="R672" t="str">
        <f t="shared" si="101"/>
        <v>Possession Cukup Banyak</v>
      </c>
      <c r="S672" t="str">
        <f t="shared" si="102"/>
        <v>Total Pass Cukup Banyak</v>
      </c>
      <c r="T672" t="str">
        <f t="shared" si="103"/>
        <v>Pass Sukses Cukup Banyak</v>
      </c>
      <c r="U672" t="str">
        <f t="shared" si="104"/>
        <v>Total Shot Sangat Sedikit</v>
      </c>
      <c r="V672" t="str">
        <f t="shared" si="107"/>
        <v>Shot on Target Rendah</v>
      </c>
      <c r="W672" t="str">
        <f t="shared" si="108"/>
        <v>Fouls Tinggi</v>
      </c>
      <c r="X672" t="str">
        <f t="shared" si="109"/>
        <v>Corner Rendah</v>
      </c>
      <c r="Y672" t="str">
        <f t="shared" si="105"/>
        <v>Yellow Card Rendah</v>
      </c>
      <c r="Z672" t="str">
        <f t="shared" si="106"/>
        <v>Red Card Rendah</v>
      </c>
    </row>
    <row r="673" spans="1:26" x14ac:dyDescent="0.25">
      <c r="A673" t="s">
        <v>33</v>
      </c>
      <c r="B673">
        <v>1.6</v>
      </c>
      <c r="C673">
        <v>68</v>
      </c>
      <c r="D673">
        <v>707</v>
      </c>
      <c r="E673">
        <v>587</v>
      </c>
      <c r="F673">
        <v>0</v>
      </c>
      <c r="G673" t="s">
        <v>35</v>
      </c>
      <c r="H673">
        <v>0</v>
      </c>
      <c r="I673" t="s">
        <v>35</v>
      </c>
      <c r="J673">
        <v>23</v>
      </c>
      <c r="K673">
        <v>6</v>
      </c>
      <c r="L673">
        <v>12</v>
      </c>
      <c r="M673">
        <v>10</v>
      </c>
      <c r="N673">
        <v>3</v>
      </c>
      <c r="O673">
        <v>0</v>
      </c>
      <c r="Q673" t="str">
        <f t="shared" si="100"/>
        <v>xG Cukup Sedikit</v>
      </c>
      <c r="R673" t="str">
        <f t="shared" si="101"/>
        <v>Possession Sangat Banyak</v>
      </c>
      <c r="S673" t="str">
        <f t="shared" si="102"/>
        <v>Total Pass Sangat Banyak</v>
      </c>
      <c r="T673" t="str">
        <f t="shared" si="103"/>
        <v>Pass Sukses Cukup Banyak</v>
      </c>
      <c r="U673" t="str">
        <f t="shared" si="104"/>
        <v>Total Shot Cukup Banyak</v>
      </c>
      <c r="V673" t="str">
        <f t="shared" si="107"/>
        <v>Shot on Target Tinggi</v>
      </c>
      <c r="W673" t="str">
        <f t="shared" si="108"/>
        <v>Fouls Tinggi</v>
      </c>
      <c r="X673" t="str">
        <f t="shared" si="109"/>
        <v>Corner Tinggi</v>
      </c>
      <c r="Y673" t="str">
        <f t="shared" si="105"/>
        <v>Yellow Card Tinggi</v>
      </c>
      <c r="Z673" t="str">
        <f t="shared" si="106"/>
        <v>Red Card Rendah</v>
      </c>
    </row>
    <row r="674" spans="1:26" x14ac:dyDescent="0.25">
      <c r="A674" t="s">
        <v>38</v>
      </c>
      <c r="B674">
        <v>1.2</v>
      </c>
      <c r="C674">
        <v>37</v>
      </c>
      <c r="D674">
        <v>336</v>
      </c>
      <c r="E674">
        <v>226</v>
      </c>
      <c r="F674">
        <v>2</v>
      </c>
      <c r="G674" t="s">
        <v>40</v>
      </c>
      <c r="H674">
        <v>1</v>
      </c>
      <c r="I674" t="s">
        <v>40</v>
      </c>
      <c r="J674">
        <v>10</v>
      </c>
      <c r="K674">
        <v>2</v>
      </c>
      <c r="L674">
        <v>15</v>
      </c>
      <c r="M674">
        <v>3</v>
      </c>
      <c r="N674">
        <v>2</v>
      </c>
      <c r="O674">
        <v>0</v>
      </c>
      <c r="Q674" t="str">
        <f t="shared" si="100"/>
        <v>xG Sangat Sedikit</v>
      </c>
      <c r="R674" t="str">
        <f t="shared" si="101"/>
        <v>Possession Cukup Sedikit</v>
      </c>
      <c r="S674" t="str">
        <f t="shared" si="102"/>
        <v>Total Pass Sangat Sedikit</v>
      </c>
      <c r="T674" t="str">
        <f t="shared" si="103"/>
        <v>Pass Sukses Sangat Sedikit</v>
      </c>
      <c r="U674" t="str">
        <f t="shared" si="104"/>
        <v>Total Shot Sangat Sedikit</v>
      </c>
      <c r="V674" t="str">
        <f t="shared" si="107"/>
        <v>Shot on Target Rendah</v>
      </c>
      <c r="W674" t="str">
        <f t="shared" si="108"/>
        <v>Fouls Tinggi</v>
      </c>
      <c r="X674" t="str">
        <f t="shared" si="109"/>
        <v>Corner Rendah</v>
      </c>
      <c r="Y674" t="str">
        <f t="shared" si="105"/>
        <v>Yellow Card Rendah</v>
      </c>
      <c r="Z674" t="str">
        <f t="shared" si="106"/>
        <v>Red Card Rendah</v>
      </c>
    </row>
    <row r="675" spans="1:26" x14ac:dyDescent="0.25">
      <c r="A675" t="s">
        <v>52</v>
      </c>
      <c r="B675">
        <v>1.2</v>
      </c>
      <c r="C675">
        <v>44</v>
      </c>
      <c r="D675">
        <v>405</v>
      </c>
      <c r="E675">
        <v>333</v>
      </c>
      <c r="F675">
        <v>3</v>
      </c>
      <c r="G675" t="s">
        <v>40</v>
      </c>
      <c r="H675">
        <v>0</v>
      </c>
      <c r="I675" t="s">
        <v>36</v>
      </c>
      <c r="J675">
        <v>8</v>
      </c>
      <c r="K675">
        <v>5</v>
      </c>
      <c r="L675">
        <v>11</v>
      </c>
      <c r="M675">
        <v>0</v>
      </c>
      <c r="N675">
        <v>3</v>
      </c>
      <c r="O675">
        <v>0</v>
      </c>
      <c r="Q675" t="str">
        <f t="shared" si="100"/>
        <v>xG Sangat Sedikit</v>
      </c>
      <c r="R675" t="str">
        <f t="shared" si="101"/>
        <v>Possession Cukup Sedikit</v>
      </c>
      <c r="S675" t="str">
        <f t="shared" si="102"/>
        <v>Total Pass Cukup Sedikit</v>
      </c>
      <c r="T675" t="str">
        <f t="shared" si="103"/>
        <v>Pass Sukses Cukup Sedikit</v>
      </c>
      <c r="U675" t="str">
        <f t="shared" si="104"/>
        <v>Total Shot Sangat Sedikit</v>
      </c>
      <c r="V675" t="str">
        <f t="shared" si="107"/>
        <v>Shot on Target Tinggi</v>
      </c>
      <c r="W675" t="str">
        <f t="shared" si="108"/>
        <v>Fouls Normal</v>
      </c>
      <c r="X675" t="str">
        <f t="shared" si="109"/>
        <v>Corner Rendah</v>
      </c>
      <c r="Y675" t="str">
        <f t="shared" si="105"/>
        <v>Yellow Card Tinggi</v>
      </c>
      <c r="Z675" t="str">
        <f t="shared" si="106"/>
        <v>Red Card Rendah</v>
      </c>
    </row>
    <row r="676" spans="1:26" x14ac:dyDescent="0.25">
      <c r="A676" t="s">
        <v>59</v>
      </c>
      <c r="B676">
        <v>0.1</v>
      </c>
      <c r="C676">
        <v>28</v>
      </c>
      <c r="D676">
        <v>320</v>
      </c>
      <c r="E676">
        <v>253</v>
      </c>
      <c r="F676">
        <v>0</v>
      </c>
      <c r="G676" t="s">
        <v>35</v>
      </c>
      <c r="H676">
        <v>0</v>
      </c>
      <c r="I676" t="s">
        <v>35</v>
      </c>
      <c r="J676">
        <v>2</v>
      </c>
      <c r="K676">
        <v>0</v>
      </c>
      <c r="L676">
        <v>8</v>
      </c>
      <c r="M676">
        <v>0</v>
      </c>
      <c r="N676">
        <v>4</v>
      </c>
      <c r="O676">
        <v>0</v>
      </c>
      <c r="Q676" t="str">
        <f t="shared" si="100"/>
        <v>xG Sangat Sedikit</v>
      </c>
      <c r="R676" t="str">
        <f t="shared" si="101"/>
        <v>Possession Sangat Sedikit</v>
      </c>
      <c r="S676" t="str">
        <f t="shared" si="102"/>
        <v>Total Pass Sangat Sedikit</v>
      </c>
      <c r="T676" t="str">
        <f t="shared" si="103"/>
        <v>Pass Sukses Sangat Sedikit</v>
      </c>
      <c r="U676" t="str">
        <f t="shared" si="104"/>
        <v>Total Shot Sangat Sedikit</v>
      </c>
      <c r="V676" t="str">
        <f t="shared" si="107"/>
        <v>Shot on Target Rendah</v>
      </c>
      <c r="W676" t="str">
        <f t="shared" si="108"/>
        <v>Fouls Rendah</v>
      </c>
      <c r="X676" t="str">
        <f t="shared" si="109"/>
        <v>Corner Rendah</v>
      </c>
      <c r="Y676" t="str">
        <f t="shared" si="105"/>
        <v>Yellow Card Tinggi</v>
      </c>
      <c r="Z676" t="str">
        <f t="shared" si="106"/>
        <v>Red Card Rendah</v>
      </c>
    </row>
    <row r="677" spans="1:26" x14ac:dyDescent="0.25">
      <c r="A677" t="s">
        <v>54</v>
      </c>
      <c r="B677">
        <v>1.5</v>
      </c>
      <c r="C677">
        <v>51</v>
      </c>
      <c r="D677">
        <v>459</v>
      </c>
      <c r="E677">
        <v>344</v>
      </c>
      <c r="F677">
        <v>1</v>
      </c>
      <c r="G677" t="s">
        <v>35</v>
      </c>
      <c r="H677">
        <v>0</v>
      </c>
      <c r="I677" t="s">
        <v>35</v>
      </c>
      <c r="J677">
        <v>12</v>
      </c>
      <c r="K677">
        <v>3</v>
      </c>
      <c r="L677">
        <v>12</v>
      </c>
      <c r="M677">
        <v>5</v>
      </c>
      <c r="N677">
        <v>1</v>
      </c>
      <c r="O677">
        <v>0</v>
      </c>
      <c r="Q677" t="str">
        <f t="shared" si="100"/>
        <v>xG Cukup Sedikit</v>
      </c>
      <c r="R677" t="str">
        <f t="shared" si="101"/>
        <v>Possession Cukup Banyak</v>
      </c>
      <c r="S677" t="str">
        <f t="shared" si="102"/>
        <v>Total Pass Cukup Sedikit</v>
      </c>
      <c r="T677" t="str">
        <f t="shared" si="103"/>
        <v>Pass Sukses Cukup Sedikit</v>
      </c>
      <c r="U677" t="str">
        <f t="shared" si="104"/>
        <v>Total Shot Cukup Sedikit</v>
      </c>
      <c r="V677" t="str">
        <f t="shared" si="107"/>
        <v>Shot on Target Rendah</v>
      </c>
      <c r="W677" t="str">
        <f t="shared" si="108"/>
        <v>Fouls Tinggi</v>
      </c>
      <c r="X677" t="str">
        <f t="shared" si="109"/>
        <v>Corner Normal</v>
      </c>
      <c r="Y677" t="str">
        <f t="shared" si="105"/>
        <v>Yellow Card Rendah</v>
      </c>
      <c r="Z677" t="str">
        <f t="shared" si="106"/>
        <v>Red Card Rendah</v>
      </c>
    </row>
    <row r="678" spans="1:26" x14ac:dyDescent="0.25">
      <c r="A678" t="s">
        <v>55</v>
      </c>
      <c r="B678">
        <v>0.7</v>
      </c>
      <c r="C678">
        <v>57</v>
      </c>
      <c r="D678">
        <v>562</v>
      </c>
      <c r="E678">
        <v>462</v>
      </c>
      <c r="F678">
        <v>1</v>
      </c>
      <c r="G678" t="s">
        <v>36</v>
      </c>
      <c r="H678">
        <v>0</v>
      </c>
      <c r="I678" t="s">
        <v>35</v>
      </c>
      <c r="J678">
        <v>9</v>
      </c>
      <c r="K678">
        <v>3</v>
      </c>
      <c r="L678">
        <v>9</v>
      </c>
      <c r="M678">
        <v>2</v>
      </c>
      <c r="N678">
        <v>1</v>
      </c>
      <c r="O678">
        <v>0</v>
      </c>
      <c r="Q678" t="str">
        <f t="shared" si="100"/>
        <v>xG Sangat Sedikit</v>
      </c>
      <c r="R678" t="str">
        <f t="shared" si="101"/>
        <v>Possession Cukup Banyak</v>
      </c>
      <c r="S678" t="str">
        <f t="shared" si="102"/>
        <v>Total Pass Cukup Banyak</v>
      </c>
      <c r="T678" t="str">
        <f t="shared" si="103"/>
        <v>Pass Sukses Cukup Banyak</v>
      </c>
      <c r="U678" t="str">
        <f t="shared" si="104"/>
        <v>Total Shot Sangat Sedikit</v>
      </c>
      <c r="V678" t="str">
        <f t="shared" si="107"/>
        <v>Shot on Target Rendah</v>
      </c>
      <c r="W678" t="str">
        <f t="shared" si="108"/>
        <v>Fouls Normal</v>
      </c>
      <c r="X678" t="str">
        <f t="shared" si="109"/>
        <v>Corner Rendah</v>
      </c>
      <c r="Y678" t="str">
        <f t="shared" si="105"/>
        <v>Yellow Card Rendah</v>
      </c>
      <c r="Z678" t="str">
        <f t="shared" si="106"/>
        <v>Red Card Rendah</v>
      </c>
    </row>
    <row r="679" spans="1:26" x14ac:dyDescent="0.25">
      <c r="A679" t="s">
        <v>44</v>
      </c>
      <c r="B679">
        <v>0.9</v>
      </c>
      <c r="C679">
        <v>27</v>
      </c>
      <c r="D679">
        <v>242</v>
      </c>
      <c r="E679">
        <v>143</v>
      </c>
      <c r="F679">
        <v>0</v>
      </c>
      <c r="G679" t="s">
        <v>35</v>
      </c>
      <c r="H679">
        <v>0</v>
      </c>
      <c r="I679" t="s">
        <v>36</v>
      </c>
      <c r="J679">
        <v>5</v>
      </c>
      <c r="K679">
        <v>0</v>
      </c>
      <c r="L679">
        <v>11</v>
      </c>
      <c r="M679">
        <v>5</v>
      </c>
      <c r="N679">
        <v>2</v>
      </c>
      <c r="O679">
        <v>0</v>
      </c>
      <c r="Q679" t="str">
        <f t="shared" si="100"/>
        <v>xG Sangat Sedikit</v>
      </c>
      <c r="R679" t="str">
        <f t="shared" si="101"/>
        <v>Possession Sangat Sedikit</v>
      </c>
      <c r="S679" t="str">
        <f t="shared" si="102"/>
        <v>Total Pass Sangat Sedikit</v>
      </c>
      <c r="T679" t="str">
        <f t="shared" si="103"/>
        <v>Pass Sukses Sangat Sedikit</v>
      </c>
      <c r="U679" t="str">
        <f t="shared" si="104"/>
        <v>Total Shot Sangat Sedikit</v>
      </c>
      <c r="V679" t="str">
        <f t="shared" si="107"/>
        <v>Shot on Target Rendah</v>
      </c>
      <c r="W679" t="str">
        <f t="shared" si="108"/>
        <v>Fouls Normal</v>
      </c>
      <c r="X679" t="str">
        <f t="shared" si="109"/>
        <v>Corner Normal</v>
      </c>
      <c r="Y679" t="str">
        <f t="shared" si="105"/>
        <v>Yellow Card Rendah</v>
      </c>
      <c r="Z679" t="str">
        <f t="shared" si="106"/>
        <v>Red Card Rendah</v>
      </c>
    </row>
    <row r="680" spans="1:26" x14ac:dyDescent="0.25">
      <c r="A680" t="s">
        <v>60</v>
      </c>
      <c r="B680">
        <v>0.9</v>
      </c>
      <c r="C680">
        <v>49</v>
      </c>
      <c r="D680">
        <v>475</v>
      </c>
      <c r="E680">
        <v>401</v>
      </c>
      <c r="F680">
        <v>0</v>
      </c>
      <c r="G680" t="s">
        <v>35</v>
      </c>
      <c r="H680">
        <v>0</v>
      </c>
      <c r="I680" t="s">
        <v>36</v>
      </c>
      <c r="J680">
        <v>8</v>
      </c>
      <c r="K680">
        <v>2</v>
      </c>
      <c r="L680">
        <v>16</v>
      </c>
      <c r="M680">
        <v>6</v>
      </c>
      <c r="N680">
        <v>5</v>
      </c>
      <c r="O680">
        <v>0</v>
      </c>
      <c r="Q680" t="str">
        <f t="shared" si="100"/>
        <v>xG Sangat Sedikit</v>
      </c>
      <c r="R680" t="str">
        <f t="shared" si="101"/>
        <v>Possession Cukup Sedikit</v>
      </c>
      <c r="S680" t="str">
        <f t="shared" si="102"/>
        <v>Total Pass Cukup Sedikit</v>
      </c>
      <c r="T680" t="str">
        <f t="shared" si="103"/>
        <v>Pass Sukses Cukup Sedikit</v>
      </c>
      <c r="U680" t="str">
        <f t="shared" si="104"/>
        <v>Total Shot Sangat Sedikit</v>
      </c>
      <c r="V680" t="str">
        <f t="shared" si="107"/>
        <v>Shot on Target Rendah</v>
      </c>
      <c r="W680" t="str">
        <f t="shared" si="108"/>
        <v>Fouls Tinggi</v>
      </c>
      <c r="X680" t="str">
        <f t="shared" si="109"/>
        <v>Corner Tinggi</v>
      </c>
      <c r="Y680" t="str">
        <f t="shared" si="105"/>
        <v>Yellow Card Tinggi</v>
      </c>
      <c r="Z680" t="str">
        <f t="shared" si="106"/>
        <v>Red Card Rendah</v>
      </c>
    </row>
    <row r="681" spans="1:26" x14ac:dyDescent="0.25">
      <c r="A681" t="s">
        <v>42</v>
      </c>
      <c r="B681">
        <v>1.8</v>
      </c>
      <c r="C681">
        <v>69</v>
      </c>
      <c r="D681">
        <v>495</v>
      </c>
      <c r="E681">
        <v>415</v>
      </c>
      <c r="F681">
        <v>1</v>
      </c>
      <c r="G681" t="s">
        <v>36</v>
      </c>
      <c r="H681">
        <v>1</v>
      </c>
      <c r="I681" t="s">
        <v>40</v>
      </c>
      <c r="J681">
        <v>14</v>
      </c>
      <c r="K681">
        <v>5</v>
      </c>
      <c r="L681">
        <v>13</v>
      </c>
      <c r="M681">
        <v>8</v>
      </c>
      <c r="N681">
        <v>1</v>
      </c>
      <c r="O681">
        <v>0</v>
      </c>
      <c r="Q681" t="str">
        <f t="shared" si="100"/>
        <v>xG Cukup Sedikit</v>
      </c>
      <c r="R681" t="str">
        <f t="shared" si="101"/>
        <v>Possession Sangat Banyak</v>
      </c>
      <c r="S681" t="str">
        <f t="shared" si="102"/>
        <v>Total Pass Cukup Sedikit</v>
      </c>
      <c r="T681" t="str">
        <f t="shared" si="103"/>
        <v>Pass Sukses Cukup Sedikit</v>
      </c>
      <c r="U681" t="str">
        <f t="shared" si="104"/>
        <v>Total Shot Cukup Sedikit</v>
      </c>
      <c r="V681" t="str">
        <f t="shared" si="107"/>
        <v>Shot on Target Tinggi</v>
      </c>
      <c r="W681" t="str">
        <f t="shared" si="108"/>
        <v>Fouls Tinggi</v>
      </c>
      <c r="X681" t="str">
        <f t="shared" si="109"/>
        <v>Corner Tinggi</v>
      </c>
      <c r="Y681" t="str">
        <f t="shared" si="105"/>
        <v>Yellow Card Rendah</v>
      </c>
      <c r="Z681" t="str">
        <f t="shared" si="106"/>
        <v>Red Card Rendah</v>
      </c>
    </row>
    <row r="682" spans="1:26" x14ac:dyDescent="0.25">
      <c r="A682" t="s">
        <v>45</v>
      </c>
      <c r="B682">
        <v>1</v>
      </c>
      <c r="C682">
        <v>62</v>
      </c>
      <c r="D682">
        <v>592</v>
      </c>
      <c r="E682">
        <v>490</v>
      </c>
      <c r="F682">
        <v>1</v>
      </c>
      <c r="G682" t="s">
        <v>35</v>
      </c>
      <c r="H682">
        <v>1</v>
      </c>
      <c r="I682" t="s">
        <v>36</v>
      </c>
      <c r="J682">
        <v>11</v>
      </c>
      <c r="K682">
        <v>5</v>
      </c>
      <c r="L682">
        <v>13</v>
      </c>
      <c r="M682">
        <v>4</v>
      </c>
      <c r="N682">
        <v>1</v>
      </c>
      <c r="O682">
        <v>1</v>
      </c>
      <c r="Q682" t="str">
        <f t="shared" si="100"/>
        <v>xG Sangat Sedikit</v>
      </c>
      <c r="R682" t="str">
        <f t="shared" si="101"/>
        <v>Possession Cukup Banyak</v>
      </c>
      <c r="S682" t="str">
        <f t="shared" si="102"/>
        <v>Total Pass Cukup Banyak</v>
      </c>
      <c r="T682" t="str">
        <f t="shared" si="103"/>
        <v>Pass Sukses Cukup Banyak</v>
      </c>
      <c r="U682" t="str">
        <f t="shared" si="104"/>
        <v>Total Shot Cukup Sedikit</v>
      </c>
      <c r="V682" t="str">
        <f t="shared" si="107"/>
        <v>Shot on Target Tinggi</v>
      </c>
      <c r="W682" t="str">
        <f t="shared" si="108"/>
        <v>Fouls Tinggi</v>
      </c>
      <c r="X682" t="str">
        <f t="shared" si="109"/>
        <v>Corner Rendah</v>
      </c>
      <c r="Y682" t="str">
        <f t="shared" si="105"/>
        <v>Yellow Card Rendah</v>
      </c>
      <c r="Z682" t="str">
        <f t="shared" si="106"/>
        <v>Red Card Tinggi</v>
      </c>
    </row>
    <row r="683" spans="1:26" x14ac:dyDescent="0.25">
      <c r="A683" t="s">
        <v>43</v>
      </c>
      <c r="B683">
        <v>2.6</v>
      </c>
      <c r="C683">
        <v>55</v>
      </c>
      <c r="D683">
        <v>455</v>
      </c>
      <c r="E683">
        <v>368</v>
      </c>
      <c r="F683">
        <v>2</v>
      </c>
      <c r="G683" t="s">
        <v>40</v>
      </c>
      <c r="H683">
        <v>0</v>
      </c>
      <c r="I683" t="s">
        <v>35</v>
      </c>
      <c r="J683">
        <v>22</v>
      </c>
      <c r="K683">
        <v>7</v>
      </c>
      <c r="L683">
        <v>16</v>
      </c>
      <c r="M683">
        <v>8</v>
      </c>
      <c r="N683">
        <v>2</v>
      </c>
      <c r="O683">
        <v>0</v>
      </c>
      <c r="Q683" t="str">
        <f t="shared" si="100"/>
        <v>xG Cukup Sedikit</v>
      </c>
      <c r="R683" t="str">
        <f t="shared" si="101"/>
        <v>Possession Cukup Banyak</v>
      </c>
      <c r="S683" t="str">
        <f t="shared" si="102"/>
        <v>Total Pass Cukup Sedikit</v>
      </c>
      <c r="T683" t="str">
        <f t="shared" si="103"/>
        <v>Pass Sukses Cukup Sedikit</v>
      </c>
      <c r="U683" t="str">
        <f t="shared" si="104"/>
        <v>Total Shot Cukup Banyak</v>
      </c>
      <c r="V683" t="str">
        <f t="shared" si="107"/>
        <v>Shot on Target Tinggi</v>
      </c>
      <c r="W683" t="str">
        <f t="shared" si="108"/>
        <v>Fouls Tinggi</v>
      </c>
      <c r="X683" t="str">
        <f t="shared" si="109"/>
        <v>Corner Tinggi</v>
      </c>
      <c r="Y683" t="str">
        <f t="shared" si="105"/>
        <v>Yellow Card Rendah</v>
      </c>
      <c r="Z683" t="str">
        <f t="shared" si="106"/>
        <v>Red Card Rendah</v>
      </c>
    </row>
    <row r="684" spans="1:26" x14ac:dyDescent="0.25">
      <c r="A684" t="s">
        <v>49</v>
      </c>
      <c r="B684">
        <v>2.1</v>
      </c>
      <c r="C684">
        <v>44</v>
      </c>
      <c r="D684">
        <v>410</v>
      </c>
      <c r="E684">
        <v>290</v>
      </c>
      <c r="F684">
        <v>2</v>
      </c>
      <c r="G684" t="s">
        <v>36</v>
      </c>
      <c r="H684">
        <v>1</v>
      </c>
      <c r="I684" t="s">
        <v>40</v>
      </c>
      <c r="J684">
        <v>11</v>
      </c>
      <c r="K684">
        <v>4</v>
      </c>
      <c r="L684">
        <v>13</v>
      </c>
      <c r="M684">
        <v>7</v>
      </c>
      <c r="N684">
        <v>2</v>
      </c>
      <c r="O684">
        <v>0</v>
      </c>
      <c r="Q684" t="str">
        <f t="shared" si="100"/>
        <v>xG Cukup Sedikit</v>
      </c>
      <c r="R684" t="str">
        <f t="shared" si="101"/>
        <v>Possession Cukup Sedikit</v>
      </c>
      <c r="S684" t="str">
        <f t="shared" si="102"/>
        <v>Total Pass Cukup Sedikit</v>
      </c>
      <c r="T684" t="str">
        <f t="shared" si="103"/>
        <v>Pass Sukses Cukup Sedikit</v>
      </c>
      <c r="U684" t="str">
        <f t="shared" si="104"/>
        <v>Total Shot Cukup Sedikit</v>
      </c>
      <c r="V684" t="str">
        <f t="shared" si="107"/>
        <v>Shot on Target Normal</v>
      </c>
      <c r="W684" t="str">
        <f t="shared" si="108"/>
        <v>Fouls Tinggi</v>
      </c>
      <c r="X684" t="str">
        <f t="shared" si="109"/>
        <v>Corner Tinggi</v>
      </c>
      <c r="Y684" t="str">
        <f t="shared" si="105"/>
        <v>Yellow Card Rendah</v>
      </c>
      <c r="Z684" t="str">
        <f t="shared" si="106"/>
        <v>Red Card Rendah</v>
      </c>
    </row>
    <row r="685" spans="1:26" x14ac:dyDescent="0.25">
      <c r="A685" t="s">
        <v>48</v>
      </c>
      <c r="B685">
        <v>1.5</v>
      </c>
      <c r="C685">
        <v>48</v>
      </c>
      <c r="D685">
        <v>424</v>
      </c>
      <c r="E685">
        <v>341</v>
      </c>
      <c r="F685">
        <v>1</v>
      </c>
      <c r="G685" t="s">
        <v>35</v>
      </c>
      <c r="H685">
        <v>0</v>
      </c>
      <c r="I685" t="s">
        <v>35</v>
      </c>
      <c r="J685">
        <v>19</v>
      </c>
      <c r="K685">
        <v>3</v>
      </c>
      <c r="L685">
        <v>15</v>
      </c>
      <c r="M685">
        <v>4</v>
      </c>
      <c r="N685">
        <v>2</v>
      </c>
      <c r="O685">
        <v>0</v>
      </c>
      <c r="Q685" t="str">
        <f t="shared" si="100"/>
        <v>xG Cukup Sedikit</v>
      </c>
      <c r="R685" t="str">
        <f t="shared" si="101"/>
        <v>Possession Cukup Sedikit</v>
      </c>
      <c r="S685" t="str">
        <f t="shared" si="102"/>
        <v>Total Pass Cukup Sedikit</v>
      </c>
      <c r="T685" t="str">
        <f t="shared" si="103"/>
        <v>Pass Sukses Cukup Sedikit</v>
      </c>
      <c r="U685" t="str">
        <f t="shared" si="104"/>
        <v>Total Shot Cukup Sedikit</v>
      </c>
      <c r="V685" t="str">
        <f t="shared" si="107"/>
        <v>Shot on Target Rendah</v>
      </c>
      <c r="W685" t="str">
        <f t="shared" si="108"/>
        <v>Fouls Tinggi</v>
      </c>
      <c r="X685" t="str">
        <f t="shared" si="109"/>
        <v>Corner Rendah</v>
      </c>
      <c r="Y685" t="str">
        <f t="shared" si="105"/>
        <v>Yellow Card Rendah</v>
      </c>
      <c r="Z685" t="str">
        <f t="shared" si="106"/>
        <v>Red Card Rendah</v>
      </c>
    </row>
    <row r="686" spans="1:26" x14ac:dyDescent="0.25">
      <c r="A686" t="s">
        <v>57</v>
      </c>
      <c r="B686">
        <v>1.2</v>
      </c>
      <c r="C686">
        <v>58</v>
      </c>
      <c r="D686">
        <v>519</v>
      </c>
      <c r="E686">
        <v>425</v>
      </c>
      <c r="F686">
        <v>0</v>
      </c>
      <c r="G686" t="s">
        <v>36</v>
      </c>
      <c r="H686">
        <v>0</v>
      </c>
      <c r="I686" t="s">
        <v>36</v>
      </c>
      <c r="J686">
        <v>21</v>
      </c>
      <c r="K686">
        <v>5</v>
      </c>
      <c r="L686">
        <v>12</v>
      </c>
      <c r="M686">
        <v>6</v>
      </c>
      <c r="N686">
        <v>3</v>
      </c>
      <c r="O686">
        <v>0</v>
      </c>
      <c r="Q686" t="str">
        <f t="shared" si="100"/>
        <v>xG Sangat Sedikit</v>
      </c>
      <c r="R686" t="str">
        <f t="shared" si="101"/>
        <v>Possession Cukup Banyak</v>
      </c>
      <c r="S686" t="str">
        <f t="shared" si="102"/>
        <v>Total Pass Cukup Banyak</v>
      </c>
      <c r="T686" t="str">
        <f t="shared" si="103"/>
        <v>Pass Sukses Cukup Sedikit</v>
      </c>
      <c r="U686" t="str">
        <f t="shared" si="104"/>
        <v>Total Shot Cukup Banyak</v>
      </c>
      <c r="V686" t="str">
        <f t="shared" si="107"/>
        <v>Shot on Target Tinggi</v>
      </c>
      <c r="W686" t="str">
        <f t="shared" si="108"/>
        <v>Fouls Tinggi</v>
      </c>
      <c r="X686" t="str">
        <f t="shared" si="109"/>
        <v>Corner Tinggi</v>
      </c>
      <c r="Y686" t="str">
        <f t="shared" si="105"/>
        <v>Yellow Card Tinggi</v>
      </c>
      <c r="Z686" t="str">
        <f t="shared" si="106"/>
        <v>Red Card Rendah</v>
      </c>
    </row>
    <row r="687" spans="1:26" x14ac:dyDescent="0.25">
      <c r="A687" t="s">
        <v>39</v>
      </c>
      <c r="B687">
        <v>1.5</v>
      </c>
      <c r="C687">
        <v>63</v>
      </c>
      <c r="D687">
        <v>612</v>
      </c>
      <c r="E687">
        <v>502</v>
      </c>
      <c r="F687">
        <v>2</v>
      </c>
      <c r="G687" t="s">
        <v>35</v>
      </c>
      <c r="H687">
        <v>1</v>
      </c>
      <c r="I687" t="s">
        <v>35</v>
      </c>
      <c r="J687">
        <v>14</v>
      </c>
      <c r="K687">
        <v>6</v>
      </c>
      <c r="L687">
        <v>9</v>
      </c>
      <c r="M687">
        <v>4</v>
      </c>
      <c r="N687">
        <v>0</v>
      </c>
      <c r="O687">
        <v>0</v>
      </c>
      <c r="Q687" t="str">
        <f t="shared" si="100"/>
        <v>xG Cukup Sedikit</v>
      </c>
      <c r="R687" t="str">
        <f t="shared" si="101"/>
        <v>Possession Cukup Banyak</v>
      </c>
      <c r="S687" t="str">
        <f t="shared" si="102"/>
        <v>Total Pass Cukup Banyak</v>
      </c>
      <c r="T687" t="str">
        <f t="shared" si="103"/>
        <v>Pass Sukses Cukup Banyak</v>
      </c>
      <c r="U687" t="str">
        <f t="shared" si="104"/>
        <v>Total Shot Cukup Sedikit</v>
      </c>
      <c r="V687" t="str">
        <f t="shared" si="107"/>
        <v>Shot on Target Tinggi</v>
      </c>
      <c r="W687" t="str">
        <f t="shared" si="108"/>
        <v>Fouls Normal</v>
      </c>
      <c r="X687" t="str">
        <f t="shared" si="109"/>
        <v>Corner Rendah</v>
      </c>
      <c r="Y687" t="str">
        <f t="shared" si="105"/>
        <v>Yellow Card Rendah</v>
      </c>
      <c r="Z687" t="str">
        <f t="shared" si="106"/>
        <v>Red Card Rendah</v>
      </c>
    </row>
    <row r="688" spans="1:26" x14ac:dyDescent="0.25">
      <c r="A688" t="s">
        <v>47</v>
      </c>
      <c r="B688">
        <v>1</v>
      </c>
      <c r="C688">
        <v>49</v>
      </c>
      <c r="D688">
        <v>497</v>
      </c>
      <c r="E688">
        <v>429</v>
      </c>
      <c r="F688">
        <v>1</v>
      </c>
      <c r="G688" t="s">
        <v>35</v>
      </c>
      <c r="H688">
        <v>0</v>
      </c>
      <c r="I688" t="s">
        <v>35</v>
      </c>
      <c r="J688">
        <v>12</v>
      </c>
      <c r="K688">
        <v>4</v>
      </c>
      <c r="L688">
        <v>20</v>
      </c>
      <c r="M688">
        <v>1</v>
      </c>
      <c r="N688">
        <v>1</v>
      </c>
      <c r="O688">
        <v>0</v>
      </c>
      <c r="Q688" t="str">
        <f t="shared" si="100"/>
        <v>xG Sangat Sedikit</v>
      </c>
      <c r="R688" t="str">
        <f t="shared" si="101"/>
        <v>Possession Cukup Sedikit</v>
      </c>
      <c r="S688" t="str">
        <f t="shared" si="102"/>
        <v>Total Pass Cukup Sedikit</v>
      </c>
      <c r="T688" t="str">
        <f t="shared" si="103"/>
        <v>Pass Sukses Cukup Sedikit</v>
      </c>
      <c r="U688" t="str">
        <f t="shared" si="104"/>
        <v>Total Shot Cukup Sedikit</v>
      </c>
      <c r="V688" t="str">
        <f t="shared" si="107"/>
        <v>Shot on Target Normal</v>
      </c>
      <c r="W688" t="str">
        <f t="shared" si="108"/>
        <v>Fouls Tinggi</v>
      </c>
      <c r="X688" t="str">
        <f t="shared" si="109"/>
        <v>Corner Rendah</v>
      </c>
      <c r="Y688" t="str">
        <f t="shared" si="105"/>
        <v>Yellow Card Rendah</v>
      </c>
      <c r="Z688" t="str">
        <f t="shared" si="106"/>
        <v>Red Card Rendah</v>
      </c>
    </row>
    <row r="689" spans="1:26" x14ac:dyDescent="0.25">
      <c r="A689" t="s">
        <v>58</v>
      </c>
      <c r="B689">
        <v>0.5</v>
      </c>
      <c r="C689">
        <v>58</v>
      </c>
      <c r="D689">
        <v>596</v>
      </c>
      <c r="E689">
        <v>519</v>
      </c>
      <c r="F689">
        <v>0</v>
      </c>
      <c r="G689" t="s">
        <v>36</v>
      </c>
      <c r="H689">
        <v>0</v>
      </c>
      <c r="I689" t="s">
        <v>36</v>
      </c>
      <c r="J689">
        <v>9</v>
      </c>
      <c r="K689">
        <v>5</v>
      </c>
      <c r="L689">
        <v>9</v>
      </c>
      <c r="M689">
        <v>3</v>
      </c>
      <c r="N689">
        <v>2</v>
      </c>
      <c r="O689">
        <v>0</v>
      </c>
      <c r="Q689" t="str">
        <f t="shared" si="100"/>
        <v>xG Sangat Sedikit</v>
      </c>
      <c r="R689" t="str">
        <f t="shared" si="101"/>
        <v>Possession Cukup Banyak</v>
      </c>
      <c r="S689" t="str">
        <f t="shared" si="102"/>
        <v>Total Pass Cukup Banyak</v>
      </c>
      <c r="T689" t="str">
        <f t="shared" si="103"/>
        <v>Pass Sukses Cukup Banyak</v>
      </c>
      <c r="U689" t="str">
        <f t="shared" si="104"/>
        <v>Total Shot Sangat Sedikit</v>
      </c>
      <c r="V689" t="str">
        <f t="shared" si="107"/>
        <v>Shot on Target Tinggi</v>
      </c>
      <c r="W689" t="str">
        <f t="shared" si="108"/>
        <v>Fouls Normal</v>
      </c>
      <c r="X689" t="str">
        <f t="shared" si="109"/>
        <v>Corner Rendah</v>
      </c>
      <c r="Y689" t="str">
        <f t="shared" si="105"/>
        <v>Yellow Card Rendah</v>
      </c>
      <c r="Z689" t="str">
        <f t="shared" si="106"/>
        <v>Red Card Rendah</v>
      </c>
    </row>
    <row r="690" spans="1:26" x14ac:dyDescent="0.25">
      <c r="A690" t="s">
        <v>46</v>
      </c>
      <c r="B690">
        <v>3.2</v>
      </c>
      <c r="C690">
        <v>42</v>
      </c>
      <c r="D690">
        <v>443</v>
      </c>
      <c r="E690">
        <v>352</v>
      </c>
      <c r="F690">
        <v>3</v>
      </c>
      <c r="G690" t="s">
        <v>40</v>
      </c>
      <c r="H690">
        <v>3</v>
      </c>
      <c r="I690" t="s">
        <v>40</v>
      </c>
      <c r="J690">
        <v>16</v>
      </c>
      <c r="K690">
        <v>5</v>
      </c>
      <c r="L690">
        <v>9</v>
      </c>
      <c r="M690">
        <v>2</v>
      </c>
      <c r="N690">
        <v>0</v>
      </c>
      <c r="O690">
        <v>0</v>
      </c>
      <c r="Q690" t="str">
        <f t="shared" si="100"/>
        <v>xG Cukup Banyak</v>
      </c>
      <c r="R690" t="str">
        <f t="shared" si="101"/>
        <v>Possession Cukup Sedikit</v>
      </c>
      <c r="S690" t="str">
        <f t="shared" si="102"/>
        <v>Total Pass Cukup Sedikit</v>
      </c>
      <c r="T690" t="str">
        <f t="shared" si="103"/>
        <v>Pass Sukses Cukup Sedikit</v>
      </c>
      <c r="U690" t="str">
        <f t="shared" si="104"/>
        <v>Total Shot Cukup Sedikit</v>
      </c>
      <c r="V690" t="str">
        <f t="shared" si="107"/>
        <v>Shot on Target Tinggi</v>
      </c>
      <c r="W690" t="str">
        <f t="shared" si="108"/>
        <v>Fouls Normal</v>
      </c>
      <c r="X690" t="str">
        <f t="shared" si="109"/>
        <v>Corner Rendah</v>
      </c>
      <c r="Y690" t="str">
        <f t="shared" si="105"/>
        <v>Yellow Card Rendah</v>
      </c>
      <c r="Z690" t="str">
        <f t="shared" si="106"/>
        <v>Red Card Rendah</v>
      </c>
    </row>
    <row r="691" spans="1:26" x14ac:dyDescent="0.25">
      <c r="A691" t="s">
        <v>55</v>
      </c>
      <c r="B691">
        <v>1.8</v>
      </c>
      <c r="C691">
        <v>33</v>
      </c>
      <c r="D691">
        <v>374</v>
      </c>
      <c r="E691">
        <v>299</v>
      </c>
      <c r="F691">
        <v>2</v>
      </c>
      <c r="G691" t="s">
        <v>35</v>
      </c>
      <c r="H691">
        <v>2</v>
      </c>
      <c r="I691" t="s">
        <v>36</v>
      </c>
      <c r="J691">
        <v>8</v>
      </c>
      <c r="K691">
        <v>3</v>
      </c>
      <c r="L691">
        <v>16</v>
      </c>
      <c r="M691">
        <v>4</v>
      </c>
      <c r="N691">
        <v>3</v>
      </c>
      <c r="O691">
        <v>0</v>
      </c>
      <c r="Q691" t="str">
        <f t="shared" si="100"/>
        <v>xG Cukup Sedikit</v>
      </c>
      <c r="R691" t="str">
        <f t="shared" si="101"/>
        <v>Possession Sangat Sedikit</v>
      </c>
      <c r="S691" t="str">
        <f t="shared" si="102"/>
        <v>Total Pass Cukup Sedikit</v>
      </c>
      <c r="T691" t="str">
        <f t="shared" si="103"/>
        <v>Pass Sukses Cukup Sedikit</v>
      </c>
      <c r="U691" t="str">
        <f t="shared" si="104"/>
        <v>Total Shot Sangat Sedikit</v>
      </c>
      <c r="V691" t="str">
        <f t="shared" si="107"/>
        <v>Shot on Target Rendah</v>
      </c>
      <c r="W691" t="str">
        <f t="shared" si="108"/>
        <v>Fouls Tinggi</v>
      </c>
      <c r="X691" t="str">
        <f t="shared" si="109"/>
        <v>Corner Rendah</v>
      </c>
      <c r="Y691" t="str">
        <f t="shared" si="105"/>
        <v>Yellow Card Tinggi</v>
      </c>
      <c r="Z691" t="str">
        <f t="shared" si="106"/>
        <v>Red Card Rendah</v>
      </c>
    </row>
    <row r="692" spans="1:26" x14ac:dyDescent="0.25">
      <c r="A692" t="s">
        <v>59</v>
      </c>
      <c r="B692">
        <v>1.5</v>
      </c>
      <c r="C692">
        <v>41</v>
      </c>
      <c r="D692">
        <v>396</v>
      </c>
      <c r="E692">
        <v>308</v>
      </c>
      <c r="F692">
        <v>2</v>
      </c>
      <c r="G692" t="s">
        <v>36</v>
      </c>
      <c r="H692">
        <v>1</v>
      </c>
      <c r="I692" t="s">
        <v>36</v>
      </c>
      <c r="J692">
        <v>15</v>
      </c>
      <c r="K692">
        <v>6</v>
      </c>
      <c r="L692">
        <v>11</v>
      </c>
      <c r="M692">
        <v>6</v>
      </c>
      <c r="N692">
        <v>5</v>
      </c>
      <c r="O692">
        <v>0</v>
      </c>
      <c r="Q692" t="str">
        <f t="shared" si="100"/>
        <v>xG Cukup Sedikit</v>
      </c>
      <c r="R692" t="str">
        <f t="shared" si="101"/>
        <v>Possession Cukup Sedikit</v>
      </c>
      <c r="S692" t="str">
        <f t="shared" si="102"/>
        <v>Total Pass Cukup Sedikit</v>
      </c>
      <c r="T692" t="str">
        <f t="shared" si="103"/>
        <v>Pass Sukses Cukup Sedikit</v>
      </c>
      <c r="U692" t="str">
        <f t="shared" si="104"/>
        <v>Total Shot Cukup Sedikit</v>
      </c>
      <c r="V692" t="str">
        <f t="shared" si="107"/>
        <v>Shot on Target Tinggi</v>
      </c>
      <c r="W692" t="str">
        <f t="shared" si="108"/>
        <v>Fouls Normal</v>
      </c>
      <c r="X692" t="str">
        <f t="shared" si="109"/>
        <v>Corner Tinggi</v>
      </c>
      <c r="Y692" t="str">
        <f t="shared" si="105"/>
        <v>Yellow Card Tinggi</v>
      </c>
      <c r="Z692" t="str">
        <f t="shared" si="106"/>
        <v>Red Card Rendah</v>
      </c>
    </row>
    <row r="693" spans="1:26" x14ac:dyDescent="0.25">
      <c r="A693" t="s">
        <v>44</v>
      </c>
      <c r="B693">
        <v>1.4</v>
      </c>
      <c r="C693">
        <v>57</v>
      </c>
      <c r="D693">
        <v>491</v>
      </c>
      <c r="E693">
        <v>387</v>
      </c>
      <c r="F693">
        <v>1</v>
      </c>
      <c r="G693" t="s">
        <v>40</v>
      </c>
      <c r="H693">
        <v>0</v>
      </c>
      <c r="I693" t="s">
        <v>36</v>
      </c>
      <c r="J693">
        <v>13</v>
      </c>
      <c r="K693">
        <v>5</v>
      </c>
      <c r="L693">
        <v>13</v>
      </c>
      <c r="M693">
        <v>7</v>
      </c>
      <c r="N693">
        <v>3</v>
      </c>
      <c r="O693">
        <v>0</v>
      </c>
      <c r="Q693" t="str">
        <f t="shared" si="100"/>
        <v>xG Sangat Sedikit</v>
      </c>
      <c r="R693" t="str">
        <f t="shared" si="101"/>
        <v>Possession Cukup Banyak</v>
      </c>
      <c r="S693" t="str">
        <f t="shared" si="102"/>
        <v>Total Pass Cukup Sedikit</v>
      </c>
      <c r="T693" t="str">
        <f t="shared" si="103"/>
        <v>Pass Sukses Cukup Sedikit</v>
      </c>
      <c r="U693" t="str">
        <f t="shared" si="104"/>
        <v>Total Shot Cukup Sedikit</v>
      </c>
      <c r="V693" t="str">
        <f t="shared" si="107"/>
        <v>Shot on Target Tinggi</v>
      </c>
      <c r="W693" t="str">
        <f t="shared" si="108"/>
        <v>Fouls Tinggi</v>
      </c>
      <c r="X693" t="str">
        <f t="shared" si="109"/>
        <v>Corner Tinggi</v>
      </c>
      <c r="Y693" t="str">
        <f t="shared" si="105"/>
        <v>Yellow Card Tinggi</v>
      </c>
      <c r="Z693" t="str">
        <f t="shared" si="106"/>
        <v>Red Card Rendah</v>
      </c>
    </row>
    <row r="694" spans="1:26" x14ac:dyDescent="0.25">
      <c r="A694" t="s">
        <v>52</v>
      </c>
      <c r="B694">
        <v>3</v>
      </c>
      <c r="C694">
        <v>60</v>
      </c>
      <c r="D694">
        <v>579</v>
      </c>
      <c r="E694">
        <v>510</v>
      </c>
      <c r="F694">
        <v>3</v>
      </c>
      <c r="G694" t="s">
        <v>40</v>
      </c>
      <c r="H694">
        <v>0</v>
      </c>
      <c r="I694" t="s">
        <v>36</v>
      </c>
      <c r="J694">
        <v>25</v>
      </c>
      <c r="K694">
        <v>10</v>
      </c>
      <c r="L694">
        <v>4</v>
      </c>
      <c r="M694">
        <v>14</v>
      </c>
      <c r="N694">
        <v>1</v>
      </c>
      <c r="O694">
        <v>0</v>
      </c>
      <c r="Q694" t="str">
        <f t="shared" si="100"/>
        <v>xG Cukup Banyak</v>
      </c>
      <c r="R694" t="str">
        <f t="shared" si="101"/>
        <v>Possession Cukup Banyak</v>
      </c>
      <c r="S694" t="str">
        <f t="shared" si="102"/>
        <v>Total Pass Cukup Banyak</v>
      </c>
      <c r="T694" t="str">
        <f t="shared" si="103"/>
        <v>Pass Sukses Cukup Banyak</v>
      </c>
      <c r="U694" t="str">
        <f t="shared" si="104"/>
        <v>Total Shot Cukup Banyak</v>
      </c>
      <c r="V694" t="str">
        <f t="shared" si="107"/>
        <v>Shot on Target Tinggi</v>
      </c>
      <c r="W694" t="str">
        <f t="shared" si="108"/>
        <v>Fouls Rendah</v>
      </c>
      <c r="X694" t="str">
        <f t="shared" si="109"/>
        <v>Corner Tinggi</v>
      </c>
      <c r="Y694" t="str">
        <f t="shared" si="105"/>
        <v>Yellow Card Rendah</v>
      </c>
      <c r="Z694" t="str">
        <f t="shared" si="106"/>
        <v>Red Card Rendah</v>
      </c>
    </row>
    <row r="695" spans="1:26" x14ac:dyDescent="0.25">
      <c r="A695" t="s">
        <v>54</v>
      </c>
      <c r="B695">
        <v>0.2</v>
      </c>
      <c r="C695">
        <v>37</v>
      </c>
      <c r="D695">
        <v>305</v>
      </c>
      <c r="E695">
        <v>229</v>
      </c>
      <c r="F695">
        <v>1</v>
      </c>
      <c r="G695" t="s">
        <v>36</v>
      </c>
      <c r="H695">
        <v>0</v>
      </c>
      <c r="I695" t="s">
        <v>36</v>
      </c>
      <c r="J695">
        <v>3</v>
      </c>
      <c r="K695">
        <v>2</v>
      </c>
      <c r="L695">
        <v>9</v>
      </c>
      <c r="M695">
        <v>5</v>
      </c>
      <c r="N695">
        <v>3</v>
      </c>
      <c r="O695">
        <v>0</v>
      </c>
      <c r="Q695" t="str">
        <f t="shared" si="100"/>
        <v>xG Sangat Sedikit</v>
      </c>
      <c r="R695" t="str">
        <f t="shared" si="101"/>
        <v>Possession Cukup Sedikit</v>
      </c>
      <c r="S695" t="str">
        <f t="shared" si="102"/>
        <v>Total Pass Sangat Sedikit</v>
      </c>
      <c r="T695" t="str">
        <f t="shared" si="103"/>
        <v>Pass Sukses Sangat Sedikit</v>
      </c>
      <c r="U695" t="str">
        <f t="shared" si="104"/>
        <v>Total Shot Sangat Sedikit</v>
      </c>
      <c r="V695" t="str">
        <f t="shared" si="107"/>
        <v>Shot on Target Rendah</v>
      </c>
      <c r="W695" t="str">
        <f t="shared" si="108"/>
        <v>Fouls Normal</v>
      </c>
      <c r="X695" t="str">
        <f t="shared" si="109"/>
        <v>Corner Normal</v>
      </c>
      <c r="Y695" t="str">
        <f t="shared" si="105"/>
        <v>Yellow Card Tinggi</v>
      </c>
      <c r="Z695" t="str">
        <f t="shared" si="106"/>
        <v>Red Card Rendah</v>
      </c>
    </row>
    <row r="696" spans="1:26" x14ac:dyDescent="0.25">
      <c r="A696" t="s">
        <v>38</v>
      </c>
      <c r="B696">
        <v>1.1000000000000001</v>
      </c>
      <c r="C696">
        <v>27</v>
      </c>
      <c r="D696">
        <v>237</v>
      </c>
      <c r="E696">
        <v>167</v>
      </c>
      <c r="F696">
        <v>2</v>
      </c>
      <c r="G696" t="s">
        <v>36</v>
      </c>
      <c r="H696">
        <v>2</v>
      </c>
      <c r="I696" t="s">
        <v>40</v>
      </c>
      <c r="J696">
        <v>13</v>
      </c>
      <c r="K696">
        <v>4</v>
      </c>
      <c r="L696">
        <v>7</v>
      </c>
      <c r="M696">
        <v>4</v>
      </c>
      <c r="N696">
        <v>2</v>
      </c>
      <c r="O696">
        <v>0</v>
      </c>
      <c r="Q696" t="str">
        <f t="shared" si="100"/>
        <v>xG Sangat Sedikit</v>
      </c>
      <c r="R696" t="str">
        <f t="shared" si="101"/>
        <v>Possession Sangat Sedikit</v>
      </c>
      <c r="S696" t="str">
        <f t="shared" si="102"/>
        <v>Total Pass Sangat Sedikit</v>
      </c>
      <c r="T696" t="str">
        <f t="shared" si="103"/>
        <v>Pass Sukses Sangat Sedikit</v>
      </c>
      <c r="U696" t="str">
        <f t="shared" si="104"/>
        <v>Total Shot Cukup Sedikit</v>
      </c>
      <c r="V696" t="str">
        <f t="shared" si="107"/>
        <v>Shot on Target Normal</v>
      </c>
      <c r="W696" t="str">
        <f t="shared" si="108"/>
        <v>Fouls Rendah</v>
      </c>
      <c r="X696" t="str">
        <f t="shared" si="109"/>
        <v>Corner Rendah</v>
      </c>
      <c r="Y696" t="str">
        <f t="shared" si="105"/>
        <v>Yellow Card Rendah</v>
      </c>
      <c r="Z696" t="str">
        <f t="shared" si="106"/>
        <v>Red Card Rendah</v>
      </c>
    </row>
    <row r="697" spans="1:26" x14ac:dyDescent="0.25">
      <c r="A697" t="s">
        <v>51</v>
      </c>
      <c r="B697">
        <v>1.4</v>
      </c>
      <c r="C697">
        <v>45</v>
      </c>
      <c r="D697">
        <v>435</v>
      </c>
      <c r="E697">
        <v>362</v>
      </c>
      <c r="F697">
        <v>1</v>
      </c>
      <c r="G697" t="s">
        <v>35</v>
      </c>
      <c r="H697">
        <v>0</v>
      </c>
      <c r="I697" t="s">
        <v>35</v>
      </c>
      <c r="J697">
        <v>11</v>
      </c>
      <c r="K697">
        <v>4</v>
      </c>
      <c r="L697">
        <v>8</v>
      </c>
      <c r="M697">
        <v>3</v>
      </c>
      <c r="N697">
        <v>2</v>
      </c>
      <c r="O697">
        <v>0</v>
      </c>
      <c r="Q697" t="str">
        <f t="shared" si="100"/>
        <v>xG Sangat Sedikit</v>
      </c>
      <c r="R697" t="str">
        <f t="shared" si="101"/>
        <v>Possession Cukup Sedikit</v>
      </c>
      <c r="S697" t="str">
        <f t="shared" si="102"/>
        <v>Total Pass Cukup Sedikit</v>
      </c>
      <c r="T697" t="str">
        <f t="shared" si="103"/>
        <v>Pass Sukses Cukup Sedikit</v>
      </c>
      <c r="U697" t="str">
        <f t="shared" si="104"/>
        <v>Total Shot Cukup Sedikit</v>
      </c>
      <c r="V697" t="str">
        <f t="shared" si="107"/>
        <v>Shot on Target Normal</v>
      </c>
      <c r="W697" t="str">
        <f t="shared" si="108"/>
        <v>Fouls Rendah</v>
      </c>
      <c r="X697" t="str">
        <f t="shared" si="109"/>
        <v>Corner Rendah</v>
      </c>
      <c r="Y697" t="str">
        <f t="shared" si="105"/>
        <v>Yellow Card Rendah</v>
      </c>
      <c r="Z697" t="str">
        <f t="shared" si="106"/>
        <v>Red Card Rendah</v>
      </c>
    </row>
    <row r="698" spans="1:26" x14ac:dyDescent="0.25">
      <c r="A698" t="s">
        <v>60</v>
      </c>
      <c r="B698">
        <v>2</v>
      </c>
      <c r="C698">
        <v>63</v>
      </c>
      <c r="D698">
        <v>619</v>
      </c>
      <c r="E698">
        <v>534</v>
      </c>
      <c r="F698">
        <v>2</v>
      </c>
      <c r="G698" t="s">
        <v>35</v>
      </c>
      <c r="H698">
        <v>0</v>
      </c>
      <c r="I698" t="s">
        <v>35</v>
      </c>
      <c r="J698">
        <v>11</v>
      </c>
      <c r="K698">
        <v>4</v>
      </c>
      <c r="L698">
        <v>15</v>
      </c>
      <c r="M698">
        <v>4</v>
      </c>
      <c r="N698">
        <v>2</v>
      </c>
      <c r="O698">
        <v>0</v>
      </c>
      <c r="Q698" t="str">
        <f t="shared" si="100"/>
        <v>xG Cukup Sedikit</v>
      </c>
      <c r="R698" t="str">
        <f t="shared" si="101"/>
        <v>Possession Cukup Banyak</v>
      </c>
      <c r="S698" t="str">
        <f t="shared" si="102"/>
        <v>Total Pass Cukup Banyak</v>
      </c>
      <c r="T698" t="str">
        <f t="shared" si="103"/>
        <v>Pass Sukses Cukup Banyak</v>
      </c>
      <c r="U698" t="str">
        <f t="shared" si="104"/>
        <v>Total Shot Cukup Sedikit</v>
      </c>
      <c r="V698" t="str">
        <f t="shared" si="107"/>
        <v>Shot on Target Normal</v>
      </c>
      <c r="W698" t="str">
        <f t="shared" si="108"/>
        <v>Fouls Tinggi</v>
      </c>
      <c r="X698" t="str">
        <f t="shared" si="109"/>
        <v>Corner Rendah</v>
      </c>
      <c r="Y698" t="str">
        <f t="shared" si="105"/>
        <v>Yellow Card Rendah</v>
      </c>
      <c r="Z698" t="str">
        <f t="shared" si="106"/>
        <v>Red Card Rendah</v>
      </c>
    </row>
    <row r="699" spans="1:26" x14ac:dyDescent="0.25">
      <c r="A699" t="s">
        <v>33</v>
      </c>
      <c r="B699">
        <v>0.7</v>
      </c>
      <c r="C699">
        <v>52</v>
      </c>
      <c r="D699">
        <v>504</v>
      </c>
      <c r="E699">
        <v>406</v>
      </c>
      <c r="F699">
        <v>1</v>
      </c>
      <c r="G699" t="s">
        <v>35</v>
      </c>
      <c r="H699">
        <v>1</v>
      </c>
      <c r="I699" t="s">
        <v>36</v>
      </c>
      <c r="J699">
        <v>9</v>
      </c>
      <c r="K699">
        <v>5</v>
      </c>
      <c r="L699">
        <v>9</v>
      </c>
      <c r="M699">
        <v>2</v>
      </c>
      <c r="N699">
        <v>2</v>
      </c>
      <c r="O699">
        <v>0</v>
      </c>
      <c r="Q699" t="str">
        <f t="shared" si="100"/>
        <v>xG Sangat Sedikit</v>
      </c>
      <c r="R699" t="str">
        <f t="shared" si="101"/>
        <v>Possession Cukup Banyak</v>
      </c>
      <c r="S699" t="str">
        <f t="shared" si="102"/>
        <v>Total Pass Cukup Sedikit</v>
      </c>
      <c r="T699" t="str">
        <f t="shared" si="103"/>
        <v>Pass Sukses Cukup Sedikit</v>
      </c>
      <c r="U699" t="str">
        <f t="shared" si="104"/>
        <v>Total Shot Sangat Sedikit</v>
      </c>
      <c r="V699" t="str">
        <f t="shared" si="107"/>
        <v>Shot on Target Tinggi</v>
      </c>
      <c r="W699" t="str">
        <f t="shared" si="108"/>
        <v>Fouls Normal</v>
      </c>
      <c r="X699" t="str">
        <f t="shared" si="109"/>
        <v>Corner Rendah</v>
      </c>
      <c r="Y699" t="str">
        <f t="shared" si="105"/>
        <v>Yellow Card Rendah</v>
      </c>
      <c r="Z699" t="str">
        <f t="shared" si="106"/>
        <v>Red Card Rendah</v>
      </c>
    </row>
    <row r="700" spans="1:26" x14ac:dyDescent="0.25">
      <c r="A700" t="s">
        <v>34</v>
      </c>
      <c r="B700">
        <v>1</v>
      </c>
      <c r="C700">
        <v>59</v>
      </c>
      <c r="D700">
        <v>534</v>
      </c>
      <c r="E700">
        <v>419</v>
      </c>
      <c r="F700">
        <v>0</v>
      </c>
      <c r="G700" t="s">
        <v>35</v>
      </c>
      <c r="H700">
        <v>0</v>
      </c>
      <c r="I700" t="s">
        <v>35</v>
      </c>
      <c r="J700">
        <v>12</v>
      </c>
      <c r="K700">
        <v>7</v>
      </c>
      <c r="L700">
        <v>10</v>
      </c>
      <c r="M700">
        <v>9</v>
      </c>
      <c r="N700">
        <v>2</v>
      </c>
      <c r="O700">
        <v>0</v>
      </c>
      <c r="Q700" t="str">
        <f t="shared" si="100"/>
        <v>xG Sangat Sedikit</v>
      </c>
      <c r="R700" t="str">
        <f t="shared" si="101"/>
        <v>Possession Cukup Banyak</v>
      </c>
      <c r="S700" t="str">
        <f t="shared" si="102"/>
        <v>Total Pass Cukup Banyak</v>
      </c>
      <c r="T700" t="str">
        <f t="shared" si="103"/>
        <v>Pass Sukses Cukup Sedikit</v>
      </c>
      <c r="U700" t="str">
        <f t="shared" si="104"/>
        <v>Total Shot Cukup Sedikit</v>
      </c>
      <c r="V700" t="str">
        <f t="shared" si="107"/>
        <v>Shot on Target Tinggi</v>
      </c>
      <c r="W700" t="str">
        <f t="shared" si="108"/>
        <v>Fouls Normal</v>
      </c>
      <c r="X700" t="str">
        <f t="shared" si="109"/>
        <v>Corner Tinggi</v>
      </c>
      <c r="Y700" t="str">
        <f t="shared" si="105"/>
        <v>Yellow Card Rendah</v>
      </c>
      <c r="Z700" t="str">
        <f t="shared" si="106"/>
        <v>Red Card Rendah</v>
      </c>
    </row>
    <row r="701" spans="1:26" x14ac:dyDescent="0.25">
      <c r="A701" t="s">
        <v>55</v>
      </c>
      <c r="B701">
        <v>2</v>
      </c>
      <c r="C701">
        <v>41</v>
      </c>
      <c r="D701">
        <v>397</v>
      </c>
      <c r="E701">
        <v>303</v>
      </c>
      <c r="F701">
        <v>0</v>
      </c>
      <c r="G701" t="s">
        <v>35</v>
      </c>
      <c r="H701">
        <v>0</v>
      </c>
      <c r="I701" t="s">
        <v>35</v>
      </c>
      <c r="J701">
        <v>11</v>
      </c>
      <c r="K701">
        <v>4</v>
      </c>
      <c r="L701">
        <v>15</v>
      </c>
      <c r="M701">
        <v>4</v>
      </c>
      <c r="N701">
        <v>3</v>
      </c>
      <c r="O701">
        <v>0</v>
      </c>
      <c r="Q701" t="str">
        <f t="shared" si="100"/>
        <v>xG Cukup Sedikit</v>
      </c>
      <c r="R701" t="str">
        <f t="shared" si="101"/>
        <v>Possession Cukup Sedikit</v>
      </c>
      <c r="S701" t="str">
        <f t="shared" si="102"/>
        <v>Total Pass Cukup Sedikit</v>
      </c>
      <c r="T701" t="str">
        <f t="shared" si="103"/>
        <v>Pass Sukses Cukup Sedikit</v>
      </c>
      <c r="U701" t="str">
        <f t="shared" si="104"/>
        <v>Total Shot Cukup Sedikit</v>
      </c>
      <c r="V701" t="str">
        <f t="shared" si="107"/>
        <v>Shot on Target Normal</v>
      </c>
      <c r="W701" t="str">
        <f t="shared" si="108"/>
        <v>Fouls Tinggi</v>
      </c>
      <c r="X701" t="str">
        <f t="shared" si="109"/>
        <v>Corner Rendah</v>
      </c>
      <c r="Y701" t="str">
        <f t="shared" si="105"/>
        <v>Yellow Card Tinggi</v>
      </c>
      <c r="Z701" t="str">
        <f t="shared" si="106"/>
        <v>Red Card Rendah</v>
      </c>
    </row>
    <row r="702" spans="1:26" x14ac:dyDescent="0.25">
      <c r="A702" t="s">
        <v>45</v>
      </c>
      <c r="B702">
        <v>1.4</v>
      </c>
      <c r="C702">
        <v>53</v>
      </c>
      <c r="D702">
        <v>527</v>
      </c>
      <c r="E702">
        <v>433</v>
      </c>
      <c r="F702">
        <v>2</v>
      </c>
      <c r="G702" t="s">
        <v>35</v>
      </c>
      <c r="H702">
        <v>1</v>
      </c>
      <c r="I702" t="s">
        <v>36</v>
      </c>
      <c r="J702">
        <v>12</v>
      </c>
      <c r="K702">
        <v>3</v>
      </c>
      <c r="L702">
        <v>11</v>
      </c>
      <c r="M702">
        <v>8</v>
      </c>
      <c r="N702">
        <v>3</v>
      </c>
      <c r="O702">
        <v>1</v>
      </c>
      <c r="Q702" t="str">
        <f t="shared" si="100"/>
        <v>xG Sangat Sedikit</v>
      </c>
      <c r="R702" t="str">
        <f t="shared" si="101"/>
        <v>Possession Cukup Banyak</v>
      </c>
      <c r="S702" t="str">
        <f t="shared" si="102"/>
        <v>Total Pass Cukup Banyak</v>
      </c>
      <c r="T702" t="str">
        <f t="shared" si="103"/>
        <v>Pass Sukses Cukup Sedikit</v>
      </c>
      <c r="U702" t="str">
        <f t="shared" si="104"/>
        <v>Total Shot Cukup Sedikit</v>
      </c>
      <c r="V702" t="str">
        <f t="shared" si="107"/>
        <v>Shot on Target Rendah</v>
      </c>
      <c r="W702" t="str">
        <f t="shared" si="108"/>
        <v>Fouls Normal</v>
      </c>
      <c r="X702" t="str">
        <f t="shared" si="109"/>
        <v>Corner Tinggi</v>
      </c>
      <c r="Y702" t="str">
        <f t="shared" si="105"/>
        <v>Yellow Card Tinggi</v>
      </c>
      <c r="Z702" t="str">
        <f t="shared" si="106"/>
        <v>Red Card Tinggi</v>
      </c>
    </row>
    <row r="703" spans="1:26" x14ac:dyDescent="0.25">
      <c r="A703" t="s">
        <v>49</v>
      </c>
      <c r="B703">
        <v>0.7</v>
      </c>
      <c r="C703">
        <v>71</v>
      </c>
      <c r="D703">
        <v>623</v>
      </c>
      <c r="E703">
        <v>528</v>
      </c>
      <c r="F703">
        <v>0</v>
      </c>
      <c r="G703" t="s">
        <v>36</v>
      </c>
      <c r="H703">
        <v>0</v>
      </c>
      <c r="I703" t="s">
        <v>36</v>
      </c>
      <c r="J703">
        <v>15</v>
      </c>
      <c r="K703">
        <v>4</v>
      </c>
      <c r="L703">
        <v>10</v>
      </c>
      <c r="M703">
        <v>4</v>
      </c>
      <c r="N703">
        <v>4</v>
      </c>
      <c r="O703">
        <v>0</v>
      </c>
      <c r="Q703" t="str">
        <f t="shared" si="100"/>
        <v>xG Sangat Sedikit</v>
      </c>
      <c r="R703" t="str">
        <f t="shared" si="101"/>
        <v>Possession Sangat Banyak</v>
      </c>
      <c r="S703" t="str">
        <f t="shared" si="102"/>
        <v>Total Pass Cukup Banyak</v>
      </c>
      <c r="T703" t="str">
        <f t="shared" si="103"/>
        <v>Pass Sukses Cukup Banyak</v>
      </c>
      <c r="U703" t="str">
        <f t="shared" si="104"/>
        <v>Total Shot Cukup Sedikit</v>
      </c>
      <c r="V703" t="str">
        <f t="shared" si="107"/>
        <v>Shot on Target Normal</v>
      </c>
      <c r="W703" t="str">
        <f t="shared" si="108"/>
        <v>Fouls Normal</v>
      </c>
      <c r="X703" t="str">
        <f t="shared" si="109"/>
        <v>Corner Rendah</v>
      </c>
      <c r="Y703" t="str">
        <f t="shared" si="105"/>
        <v>Yellow Card Tinggi</v>
      </c>
      <c r="Z703" t="str">
        <f t="shared" si="106"/>
        <v>Red Card Rendah</v>
      </c>
    </row>
    <row r="704" spans="1:26" x14ac:dyDescent="0.25">
      <c r="A704" t="s">
        <v>58</v>
      </c>
      <c r="B704">
        <v>2</v>
      </c>
      <c r="C704">
        <v>67</v>
      </c>
      <c r="D704">
        <v>711</v>
      </c>
      <c r="E704">
        <v>620</v>
      </c>
      <c r="F704">
        <v>2</v>
      </c>
      <c r="G704" t="s">
        <v>40</v>
      </c>
      <c r="H704">
        <v>0</v>
      </c>
      <c r="I704" t="s">
        <v>36</v>
      </c>
      <c r="J704">
        <v>12</v>
      </c>
      <c r="K704">
        <v>7</v>
      </c>
      <c r="L704">
        <v>6</v>
      </c>
      <c r="M704">
        <v>5</v>
      </c>
      <c r="N704">
        <v>0</v>
      </c>
      <c r="O704">
        <v>0</v>
      </c>
      <c r="Q704" t="str">
        <f t="shared" si="100"/>
        <v>xG Cukup Sedikit</v>
      </c>
      <c r="R704" t="str">
        <f t="shared" si="101"/>
        <v>Possession Sangat Banyak</v>
      </c>
      <c r="S704" t="str">
        <f t="shared" si="102"/>
        <v>Total Pass Sangat Banyak</v>
      </c>
      <c r="T704" t="str">
        <f t="shared" si="103"/>
        <v>Pass Sukses Sangat Banyak</v>
      </c>
      <c r="U704" t="str">
        <f t="shared" si="104"/>
        <v>Total Shot Cukup Sedikit</v>
      </c>
      <c r="V704" t="str">
        <f t="shared" si="107"/>
        <v>Shot on Target Tinggi</v>
      </c>
      <c r="W704" t="str">
        <f t="shared" si="108"/>
        <v>Fouls Rendah</v>
      </c>
      <c r="X704" t="str">
        <f t="shared" si="109"/>
        <v>Corner Normal</v>
      </c>
      <c r="Y704" t="str">
        <f t="shared" si="105"/>
        <v>Yellow Card Rendah</v>
      </c>
      <c r="Z704" t="str">
        <f t="shared" si="106"/>
        <v>Red Card Rendah</v>
      </c>
    </row>
    <row r="705" spans="1:26" x14ac:dyDescent="0.25">
      <c r="A705" t="s">
        <v>47</v>
      </c>
      <c r="B705">
        <v>0.6</v>
      </c>
      <c r="C705">
        <v>48</v>
      </c>
      <c r="D705">
        <v>488</v>
      </c>
      <c r="E705">
        <v>408</v>
      </c>
      <c r="F705">
        <v>1</v>
      </c>
      <c r="G705" t="s">
        <v>36</v>
      </c>
      <c r="H705">
        <v>0</v>
      </c>
      <c r="I705" t="s">
        <v>36</v>
      </c>
      <c r="J705">
        <v>15</v>
      </c>
      <c r="K705">
        <v>4</v>
      </c>
      <c r="L705">
        <v>13</v>
      </c>
      <c r="M705">
        <v>5</v>
      </c>
      <c r="N705">
        <v>1</v>
      </c>
      <c r="O705">
        <v>0</v>
      </c>
      <c r="Q705" t="str">
        <f t="shared" si="100"/>
        <v>xG Sangat Sedikit</v>
      </c>
      <c r="R705" t="str">
        <f t="shared" si="101"/>
        <v>Possession Cukup Sedikit</v>
      </c>
      <c r="S705" t="str">
        <f t="shared" si="102"/>
        <v>Total Pass Cukup Sedikit</v>
      </c>
      <c r="T705" t="str">
        <f t="shared" si="103"/>
        <v>Pass Sukses Cukup Sedikit</v>
      </c>
      <c r="U705" t="str">
        <f t="shared" si="104"/>
        <v>Total Shot Cukup Sedikit</v>
      </c>
      <c r="V705" t="str">
        <f t="shared" si="107"/>
        <v>Shot on Target Normal</v>
      </c>
      <c r="W705" t="str">
        <f t="shared" si="108"/>
        <v>Fouls Tinggi</v>
      </c>
      <c r="X705" t="str">
        <f t="shared" si="109"/>
        <v>Corner Normal</v>
      </c>
      <c r="Y705" t="str">
        <f t="shared" si="105"/>
        <v>Yellow Card Rendah</v>
      </c>
      <c r="Z705" t="str">
        <f t="shared" si="106"/>
        <v>Red Card Rendah</v>
      </c>
    </row>
    <row r="706" spans="1:26" x14ac:dyDescent="0.25">
      <c r="A706" t="s">
        <v>46</v>
      </c>
      <c r="B706">
        <v>1</v>
      </c>
      <c r="C706">
        <v>52</v>
      </c>
      <c r="D706">
        <v>467</v>
      </c>
      <c r="E706">
        <v>387</v>
      </c>
      <c r="F706">
        <v>1</v>
      </c>
      <c r="G706" t="s">
        <v>35</v>
      </c>
      <c r="H706">
        <v>1</v>
      </c>
      <c r="I706" t="s">
        <v>36</v>
      </c>
      <c r="J706">
        <v>10</v>
      </c>
      <c r="K706">
        <v>3</v>
      </c>
      <c r="L706">
        <v>12</v>
      </c>
      <c r="M706">
        <v>7</v>
      </c>
      <c r="N706">
        <v>3</v>
      </c>
      <c r="O706">
        <v>0</v>
      </c>
      <c r="Q706" t="str">
        <f t="shared" si="100"/>
        <v>xG Sangat Sedikit</v>
      </c>
      <c r="R706" t="str">
        <f t="shared" si="101"/>
        <v>Possession Cukup Banyak</v>
      </c>
      <c r="S706" t="str">
        <f t="shared" si="102"/>
        <v>Total Pass Cukup Sedikit</v>
      </c>
      <c r="T706" t="str">
        <f t="shared" si="103"/>
        <v>Pass Sukses Cukup Sedikit</v>
      </c>
      <c r="U706" t="str">
        <f t="shared" si="104"/>
        <v>Total Shot Sangat Sedikit</v>
      </c>
      <c r="V706" t="str">
        <f t="shared" si="107"/>
        <v>Shot on Target Rendah</v>
      </c>
      <c r="W706" t="str">
        <f t="shared" si="108"/>
        <v>Fouls Tinggi</v>
      </c>
      <c r="X706" t="str">
        <f t="shared" si="109"/>
        <v>Corner Tinggi</v>
      </c>
      <c r="Y706" t="str">
        <f t="shared" si="105"/>
        <v>Yellow Card Tinggi</v>
      </c>
      <c r="Z706" t="str">
        <f t="shared" si="106"/>
        <v>Red Card Rendah</v>
      </c>
    </row>
    <row r="707" spans="1:26" x14ac:dyDescent="0.25">
      <c r="A707" t="s">
        <v>57</v>
      </c>
      <c r="B707">
        <v>0.9</v>
      </c>
      <c r="C707">
        <v>59</v>
      </c>
      <c r="D707">
        <v>578</v>
      </c>
      <c r="E707">
        <v>492</v>
      </c>
      <c r="F707">
        <v>2</v>
      </c>
      <c r="G707" t="s">
        <v>40</v>
      </c>
      <c r="H707">
        <v>0</v>
      </c>
      <c r="I707" t="s">
        <v>35</v>
      </c>
      <c r="J707">
        <v>13</v>
      </c>
      <c r="K707">
        <v>8</v>
      </c>
      <c r="L707">
        <v>9</v>
      </c>
      <c r="M707">
        <v>4</v>
      </c>
      <c r="N707">
        <v>3</v>
      </c>
      <c r="O707">
        <v>0</v>
      </c>
      <c r="Q707" t="str">
        <f t="shared" ref="Q707:Q761" si="110">_xlfn.LET(
 _xlpm.x,B707,
 _xlpm.min,MIN($B$2:$B$761),
 _xlpm.max,MAX($B$2:$B$761),
 _xlpm.persen,(_xlpm.x-_xlpm.min)/(_xlpm.max-_xlpm.min)*100,
 IF(_xlpm.persen&lt;=25,"xG Sangat Sedikit",
   IF(_xlpm.persen&lt;=50,"xG Cukup Sedikit",
     IF(_xlpm.persen&lt;=75,"xG Cukup Banyak",
       "xG Sangat Banyak"))))</f>
        <v>xG Sangat Sedikit</v>
      </c>
      <c r="R707" t="str">
        <f t="shared" ref="R707:R761" si="111">_xlfn.LET(
 _xlpm.x,C707,
 _xlpm.min,MIN($C$2:$C$761),
 _xlpm.max,MAX($C$2:$C$761),
 _xlpm.persen,(_xlpm.x-_xlpm.min)/(_xlpm.max-_xlpm.min)*100,
 IF(_xlpm.persen&lt;=25,"Possession Sangat Sedikit",
   IF(_xlpm.persen&lt;=50,"Possession Cukup Sedikit",
     IF(_xlpm.persen&lt;=75,"Possession Cukup Banyak",
       "Possession Sangat Banyak"))))</f>
        <v>Possession Cukup Banyak</v>
      </c>
      <c r="S707" t="str">
        <f t="shared" ref="S707:S761" si="112">_xlfn.LET(
 _xlpm.x,D707,
 _xlpm.min,MIN($D$2:$D$761),
 _xlpm.max,MAX($D$2:$D$761),
 _xlpm.persen,(_xlpm.x-_xlpm.min)/(_xlpm.max-_xlpm.min)*100,
 IF(_xlpm.persen&lt;=25,"Total Pass Sangat Sedikit",
   IF(_xlpm.persen&lt;=50,"Total Pass Cukup Sedikit",
     IF(_xlpm.persen&lt;=75,"Total Pass Cukup Banyak",
       "Total Pass Sangat Banyak"))))</f>
        <v>Total Pass Cukup Banyak</v>
      </c>
      <c r="T707" t="str">
        <f t="shared" ref="T707:T761" si="113">_xlfn.LET(
 _xlpm.x,E707,
 _xlpm.min,MIN($E$2:$E$761),
 _xlpm.max,MAX($E$2:$E$761),
 _xlpm.persen,(_xlpm.x-_xlpm.min)/(_xlpm.max-_xlpm.min)*100,
 IF(_xlpm.persen&lt;=25,"Pass Sukses Sangat Sedikit",
   IF(_xlpm.persen&lt;=50,"Pass Sukses Cukup Sedikit",
     IF(_xlpm.persen&lt;=75,"Pass Sukses Cukup Banyak",
       "Pass Sukses Sangat Banyak"))))</f>
        <v>Pass Sukses Cukup Banyak</v>
      </c>
      <c r="U707" t="str">
        <f t="shared" ref="U707:U761" si="114">_xlfn.LET(
 _xlpm.x,J707,
 _xlpm.min,MIN($J$2:$J$761),
 _xlpm.max,MAX($J$2:$J$761),
 _xlpm.persen,(_xlpm.x-_xlpm.min)/(_xlpm.max-_xlpm.min)*100,
 IF(_xlpm.persen&lt;=25,"Total Shot Sangat Sedikit",
   IF(_xlpm.persen&lt;=50,"Total Shot Cukup Sedikit",
     IF(_xlpm.persen&lt;=75,"Total Shot Cukup Banyak",
       "Total Shot Sangat Banyak"))))</f>
        <v>Total Shot Cukup Sedikit</v>
      </c>
      <c r="V707" t="str">
        <f t="shared" si="107"/>
        <v>Shot on Target Tinggi</v>
      </c>
      <c r="W707" t="str">
        <f t="shared" si="108"/>
        <v>Fouls Normal</v>
      </c>
      <c r="X707" t="str">
        <f t="shared" si="109"/>
        <v>Corner Rendah</v>
      </c>
      <c r="Y707" t="str">
        <f t="shared" ref="Y707:Y761" si="115">IF(N707&lt;$Y$1,"Yellow Card Rendah","Yellow Card Tinggi")</f>
        <v>Yellow Card Tinggi</v>
      </c>
      <c r="Z707" t="str">
        <f t="shared" ref="Z707:Z761" si="116">IF(O707&lt;$Z$1,"Red Card Rendah","Red Card Tinggi")</f>
        <v>Red Card Rendah</v>
      </c>
    </row>
    <row r="708" spans="1:26" x14ac:dyDescent="0.25">
      <c r="A708" t="s">
        <v>42</v>
      </c>
      <c r="B708">
        <v>2.4</v>
      </c>
      <c r="C708">
        <v>75</v>
      </c>
      <c r="D708">
        <v>790</v>
      </c>
      <c r="E708">
        <v>707</v>
      </c>
      <c r="F708">
        <v>4</v>
      </c>
      <c r="G708" t="s">
        <v>40</v>
      </c>
      <c r="H708">
        <v>2</v>
      </c>
      <c r="I708" t="s">
        <v>40</v>
      </c>
      <c r="J708">
        <v>24</v>
      </c>
      <c r="K708">
        <v>7</v>
      </c>
      <c r="L708">
        <v>7</v>
      </c>
      <c r="M708">
        <v>12</v>
      </c>
      <c r="N708">
        <v>0</v>
      </c>
      <c r="O708">
        <v>0</v>
      </c>
      <c r="Q708" t="str">
        <f t="shared" si="110"/>
        <v>xG Cukup Sedikit</v>
      </c>
      <c r="R708" t="str">
        <f t="shared" si="111"/>
        <v>Possession Sangat Banyak</v>
      </c>
      <c r="S708" t="str">
        <f t="shared" si="112"/>
        <v>Total Pass Sangat Banyak</v>
      </c>
      <c r="T708" t="str">
        <f t="shared" si="113"/>
        <v>Pass Sukses Sangat Banyak</v>
      </c>
      <c r="U708" t="str">
        <f t="shared" si="114"/>
        <v>Total Shot Cukup Banyak</v>
      </c>
      <c r="V708" t="str">
        <f t="shared" ref="V708:V761" si="117">IF(K708&gt;$V$1,"Shot on Target Tinggi",IF(K708&gt;($V$1/5*4),"Shot on Target Normal","Shot on Target Rendah"))</f>
        <v>Shot on Target Tinggi</v>
      </c>
      <c r="W708" t="str">
        <f t="shared" ref="W708:W761" si="118">IF(L708&gt;$W$1,"Fouls Tinggi",IF(L708&gt;($W$1/5*4),"Fouls Normal","Fouls Rendah"))</f>
        <v>Fouls Rendah</v>
      </c>
      <c r="X708" t="str">
        <f t="shared" ref="X708:X761" si="119">IF(M708&gt;$X$1,"Corner Tinggi",IF(M708&gt;($X$1/5*4),"Corner Normal","Corner Rendah"))</f>
        <v>Corner Tinggi</v>
      </c>
      <c r="Y708" t="str">
        <f t="shared" si="115"/>
        <v>Yellow Card Rendah</v>
      </c>
      <c r="Z708" t="str">
        <f t="shared" si="116"/>
        <v>Red Card Rendah</v>
      </c>
    </row>
    <row r="709" spans="1:26" x14ac:dyDescent="0.25">
      <c r="A709" t="s">
        <v>43</v>
      </c>
      <c r="B709">
        <v>0.2</v>
      </c>
      <c r="C709">
        <v>41</v>
      </c>
      <c r="D709">
        <v>415</v>
      </c>
      <c r="E709">
        <v>332</v>
      </c>
      <c r="F709">
        <v>1</v>
      </c>
      <c r="G709" t="s">
        <v>40</v>
      </c>
      <c r="H709">
        <v>0</v>
      </c>
      <c r="I709" t="s">
        <v>36</v>
      </c>
      <c r="J709">
        <v>4</v>
      </c>
      <c r="K709">
        <v>2</v>
      </c>
      <c r="L709">
        <v>18</v>
      </c>
      <c r="M709">
        <v>2</v>
      </c>
      <c r="N709">
        <v>3</v>
      </c>
      <c r="O709">
        <v>0</v>
      </c>
      <c r="Q709" t="str">
        <f t="shared" si="110"/>
        <v>xG Sangat Sedikit</v>
      </c>
      <c r="R709" t="str">
        <f t="shared" si="111"/>
        <v>Possession Cukup Sedikit</v>
      </c>
      <c r="S709" t="str">
        <f t="shared" si="112"/>
        <v>Total Pass Cukup Sedikit</v>
      </c>
      <c r="T709" t="str">
        <f t="shared" si="113"/>
        <v>Pass Sukses Cukup Sedikit</v>
      </c>
      <c r="U709" t="str">
        <f t="shared" si="114"/>
        <v>Total Shot Sangat Sedikit</v>
      </c>
      <c r="V709" t="str">
        <f t="shared" si="117"/>
        <v>Shot on Target Rendah</v>
      </c>
      <c r="W709" t="str">
        <f t="shared" si="118"/>
        <v>Fouls Tinggi</v>
      </c>
      <c r="X709" t="str">
        <f t="shared" si="119"/>
        <v>Corner Rendah</v>
      </c>
      <c r="Y709" t="str">
        <f t="shared" si="115"/>
        <v>Yellow Card Tinggi</v>
      </c>
      <c r="Z709" t="str">
        <f t="shared" si="116"/>
        <v>Red Card Rendah</v>
      </c>
    </row>
    <row r="710" spans="1:26" x14ac:dyDescent="0.25">
      <c r="A710" t="s">
        <v>39</v>
      </c>
      <c r="B710">
        <v>2.5</v>
      </c>
      <c r="C710">
        <v>58</v>
      </c>
      <c r="D710">
        <v>562</v>
      </c>
      <c r="E710">
        <v>467</v>
      </c>
      <c r="F710">
        <v>1</v>
      </c>
      <c r="G710" t="s">
        <v>40</v>
      </c>
      <c r="H710">
        <v>0</v>
      </c>
      <c r="I710" t="s">
        <v>36</v>
      </c>
      <c r="J710">
        <v>28</v>
      </c>
      <c r="K710">
        <v>10</v>
      </c>
      <c r="L710">
        <v>7</v>
      </c>
      <c r="M710">
        <v>13</v>
      </c>
      <c r="N710">
        <v>2</v>
      </c>
      <c r="O710">
        <v>0</v>
      </c>
      <c r="Q710" t="str">
        <f t="shared" si="110"/>
        <v>xG Cukup Sedikit</v>
      </c>
      <c r="R710" t="str">
        <f t="shared" si="111"/>
        <v>Possession Cukup Banyak</v>
      </c>
      <c r="S710" t="str">
        <f t="shared" si="112"/>
        <v>Total Pass Cukup Banyak</v>
      </c>
      <c r="T710" t="str">
        <f t="shared" si="113"/>
        <v>Pass Sukses Cukup Banyak</v>
      </c>
      <c r="U710" t="str">
        <f t="shared" si="114"/>
        <v>Total Shot Cukup Banyak</v>
      </c>
      <c r="V710" t="str">
        <f t="shared" si="117"/>
        <v>Shot on Target Tinggi</v>
      </c>
      <c r="W710" t="str">
        <f t="shared" si="118"/>
        <v>Fouls Rendah</v>
      </c>
      <c r="X710" t="str">
        <f t="shared" si="119"/>
        <v>Corner Tinggi</v>
      </c>
      <c r="Y710" t="str">
        <f t="shared" si="115"/>
        <v>Yellow Card Rendah</v>
      </c>
      <c r="Z710" t="str">
        <f t="shared" si="116"/>
        <v>Red Card Rendah</v>
      </c>
    </row>
    <row r="711" spans="1:26" x14ac:dyDescent="0.25">
      <c r="A711" t="s">
        <v>48</v>
      </c>
      <c r="B711">
        <v>0.5</v>
      </c>
      <c r="C711">
        <v>31</v>
      </c>
      <c r="D711">
        <v>275</v>
      </c>
      <c r="E711">
        <v>185</v>
      </c>
      <c r="F711">
        <v>2</v>
      </c>
      <c r="G711" t="s">
        <v>40</v>
      </c>
      <c r="H711">
        <v>2</v>
      </c>
      <c r="I711" t="s">
        <v>40</v>
      </c>
      <c r="J711">
        <v>4</v>
      </c>
      <c r="K711">
        <v>3</v>
      </c>
      <c r="L711">
        <v>12</v>
      </c>
      <c r="M711">
        <v>1</v>
      </c>
      <c r="N711">
        <v>4</v>
      </c>
      <c r="O711">
        <v>0</v>
      </c>
      <c r="Q711" t="str">
        <f t="shared" si="110"/>
        <v>xG Sangat Sedikit</v>
      </c>
      <c r="R711" t="str">
        <f t="shared" si="111"/>
        <v>Possession Sangat Sedikit</v>
      </c>
      <c r="S711" t="str">
        <f t="shared" si="112"/>
        <v>Total Pass Sangat Sedikit</v>
      </c>
      <c r="T711" t="str">
        <f t="shared" si="113"/>
        <v>Pass Sukses Sangat Sedikit</v>
      </c>
      <c r="U711" t="str">
        <f t="shared" si="114"/>
        <v>Total Shot Sangat Sedikit</v>
      </c>
      <c r="V711" t="str">
        <f t="shared" si="117"/>
        <v>Shot on Target Rendah</v>
      </c>
      <c r="W711" t="str">
        <f t="shared" si="118"/>
        <v>Fouls Tinggi</v>
      </c>
      <c r="X711" t="str">
        <f t="shared" si="119"/>
        <v>Corner Rendah</v>
      </c>
      <c r="Y711" t="str">
        <f t="shared" si="115"/>
        <v>Yellow Card Tinggi</v>
      </c>
      <c r="Z711" t="str">
        <f t="shared" si="116"/>
        <v>Red Card Rendah</v>
      </c>
    </row>
    <row r="712" spans="1:26" x14ac:dyDescent="0.25">
      <c r="A712" t="s">
        <v>52</v>
      </c>
      <c r="B712">
        <v>1.8</v>
      </c>
      <c r="C712">
        <v>39</v>
      </c>
      <c r="D712">
        <v>342</v>
      </c>
      <c r="E712">
        <v>272</v>
      </c>
      <c r="F712">
        <v>1</v>
      </c>
      <c r="G712" t="s">
        <v>35</v>
      </c>
      <c r="H712">
        <v>1</v>
      </c>
      <c r="I712" t="s">
        <v>36</v>
      </c>
      <c r="J712">
        <v>7</v>
      </c>
      <c r="K712">
        <v>3</v>
      </c>
      <c r="L712">
        <v>10</v>
      </c>
      <c r="M712">
        <v>2</v>
      </c>
      <c r="N712">
        <v>3</v>
      </c>
      <c r="O712">
        <v>0</v>
      </c>
      <c r="Q712" t="str">
        <f t="shared" si="110"/>
        <v>xG Cukup Sedikit</v>
      </c>
      <c r="R712" t="str">
        <f t="shared" si="111"/>
        <v>Possession Cukup Sedikit</v>
      </c>
      <c r="S712" t="str">
        <f t="shared" si="112"/>
        <v>Total Pass Sangat Sedikit</v>
      </c>
      <c r="T712" t="str">
        <f t="shared" si="113"/>
        <v>Pass Sukses Sangat Sedikit</v>
      </c>
      <c r="U712" t="str">
        <f t="shared" si="114"/>
        <v>Total Shot Sangat Sedikit</v>
      </c>
      <c r="V712" t="str">
        <f t="shared" si="117"/>
        <v>Shot on Target Rendah</v>
      </c>
      <c r="W712" t="str">
        <f t="shared" si="118"/>
        <v>Fouls Normal</v>
      </c>
      <c r="X712" t="str">
        <f t="shared" si="119"/>
        <v>Corner Rendah</v>
      </c>
      <c r="Y712" t="str">
        <f t="shared" si="115"/>
        <v>Yellow Card Tinggi</v>
      </c>
      <c r="Z712" t="str">
        <f t="shared" si="116"/>
        <v>Red Card Rendah</v>
      </c>
    </row>
    <row r="713" spans="1:26" x14ac:dyDescent="0.25">
      <c r="A713" t="s">
        <v>55</v>
      </c>
      <c r="B713">
        <v>1.7</v>
      </c>
      <c r="C713">
        <v>33</v>
      </c>
      <c r="D713">
        <v>367</v>
      </c>
      <c r="E713">
        <v>297</v>
      </c>
      <c r="F713">
        <v>2</v>
      </c>
      <c r="G713" t="s">
        <v>36</v>
      </c>
      <c r="H713">
        <v>1</v>
      </c>
      <c r="I713" t="s">
        <v>35</v>
      </c>
      <c r="J713">
        <v>15</v>
      </c>
      <c r="K713">
        <v>4</v>
      </c>
      <c r="L713">
        <v>6</v>
      </c>
      <c r="M713">
        <v>6</v>
      </c>
      <c r="N713">
        <v>1</v>
      </c>
      <c r="O713">
        <v>0</v>
      </c>
      <c r="Q713" t="str">
        <f t="shared" si="110"/>
        <v>xG Cukup Sedikit</v>
      </c>
      <c r="R713" t="str">
        <f t="shared" si="111"/>
        <v>Possession Sangat Sedikit</v>
      </c>
      <c r="S713" t="str">
        <f t="shared" si="112"/>
        <v>Total Pass Cukup Sedikit</v>
      </c>
      <c r="T713" t="str">
        <f t="shared" si="113"/>
        <v>Pass Sukses Cukup Sedikit</v>
      </c>
      <c r="U713" t="str">
        <f t="shared" si="114"/>
        <v>Total Shot Cukup Sedikit</v>
      </c>
      <c r="V713" t="str">
        <f t="shared" si="117"/>
        <v>Shot on Target Normal</v>
      </c>
      <c r="W713" t="str">
        <f t="shared" si="118"/>
        <v>Fouls Rendah</v>
      </c>
      <c r="X713" t="str">
        <f t="shared" si="119"/>
        <v>Corner Tinggi</v>
      </c>
      <c r="Y713" t="str">
        <f t="shared" si="115"/>
        <v>Yellow Card Rendah</v>
      </c>
      <c r="Z713" t="str">
        <f t="shared" si="116"/>
        <v>Red Card Rendah</v>
      </c>
    </row>
    <row r="714" spans="1:26" x14ac:dyDescent="0.25">
      <c r="A714" t="s">
        <v>44</v>
      </c>
      <c r="B714">
        <v>0.4</v>
      </c>
      <c r="C714">
        <v>45</v>
      </c>
      <c r="D714">
        <v>460</v>
      </c>
      <c r="E714">
        <v>378</v>
      </c>
      <c r="F714">
        <v>0</v>
      </c>
      <c r="G714" t="s">
        <v>35</v>
      </c>
      <c r="H714">
        <v>0</v>
      </c>
      <c r="I714" t="s">
        <v>35</v>
      </c>
      <c r="J714">
        <v>6</v>
      </c>
      <c r="K714">
        <v>3</v>
      </c>
      <c r="L714">
        <v>11</v>
      </c>
      <c r="M714">
        <v>2</v>
      </c>
      <c r="N714">
        <v>0</v>
      </c>
      <c r="O714">
        <v>0</v>
      </c>
      <c r="Q714" t="str">
        <f t="shared" si="110"/>
        <v>xG Sangat Sedikit</v>
      </c>
      <c r="R714" t="str">
        <f t="shared" si="111"/>
        <v>Possession Cukup Sedikit</v>
      </c>
      <c r="S714" t="str">
        <f t="shared" si="112"/>
        <v>Total Pass Cukup Sedikit</v>
      </c>
      <c r="T714" t="str">
        <f t="shared" si="113"/>
        <v>Pass Sukses Cukup Sedikit</v>
      </c>
      <c r="U714" t="str">
        <f t="shared" si="114"/>
        <v>Total Shot Sangat Sedikit</v>
      </c>
      <c r="V714" t="str">
        <f t="shared" si="117"/>
        <v>Shot on Target Rendah</v>
      </c>
      <c r="W714" t="str">
        <f t="shared" si="118"/>
        <v>Fouls Normal</v>
      </c>
      <c r="X714" t="str">
        <f t="shared" si="119"/>
        <v>Corner Rendah</v>
      </c>
      <c r="Y714" t="str">
        <f t="shared" si="115"/>
        <v>Yellow Card Rendah</v>
      </c>
      <c r="Z714" t="str">
        <f t="shared" si="116"/>
        <v>Red Card Rendah</v>
      </c>
    </row>
    <row r="715" spans="1:26" x14ac:dyDescent="0.25">
      <c r="A715" t="s">
        <v>51</v>
      </c>
      <c r="B715">
        <v>1.3</v>
      </c>
      <c r="C715">
        <v>47</v>
      </c>
      <c r="D715">
        <v>511</v>
      </c>
      <c r="E715">
        <v>441</v>
      </c>
      <c r="F715">
        <v>2</v>
      </c>
      <c r="G715" t="s">
        <v>35</v>
      </c>
      <c r="H715">
        <v>0</v>
      </c>
      <c r="I715" t="s">
        <v>35</v>
      </c>
      <c r="J715">
        <v>12</v>
      </c>
      <c r="K715">
        <v>4</v>
      </c>
      <c r="L715">
        <v>9</v>
      </c>
      <c r="M715">
        <v>1</v>
      </c>
      <c r="N715">
        <v>1</v>
      </c>
      <c r="O715">
        <v>0</v>
      </c>
      <c r="Q715" t="str">
        <f t="shared" si="110"/>
        <v>xG Sangat Sedikit</v>
      </c>
      <c r="R715" t="str">
        <f t="shared" si="111"/>
        <v>Possession Cukup Sedikit</v>
      </c>
      <c r="S715" t="str">
        <f t="shared" si="112"/>
        <v>Total Pass Cukup Banyak</v>
      </c>
      <c r="T715" t="str">
        <f t="shared" si="113"/>
        <v>Pass Sukses Cukup Banyak</v>
      </c>
      <c r="U715" t="str">
        <f t="shared" si="114"/>
        <v>Total Shot Cukup Sedikit</v>
      </c>
      <c r="V715" t="str">
        <f t="shared" si="117"/>
        <v>Shot on Target Normal</v>
      </c>
      <c r="W715" t="str">
        <f t="shared" si="118"/>
        <v>Fouls Normal</v>
      </c>
      <c r="X715" t="str">
        <f t="shared" si="119"/>
        <v>Corner Rendah</v>
      </c>
      <c r="Y715" t="str">
        <f t="shared" si="115"/>
        <v>Yellow Card Rendah</v>
      </c>
      <c r="Z715" t="str">
        <f t="shared" si="116"/>
        <v>Red Card Rendah</v>
      </c>
    </row>
    <row r="716" spans="1:26" x14ac:dyDescent="0.25">
      <c r="A716" t="s">
        <v>38</v>
      </c>
      <c r="B716">
        <v>0.1</v>
      </c>
      <c r="C716">
        <v>23</v>
      </c>
      <c r="D716">
        <v>206</v>
      </c>
      <c r="E716">
        <v>134</v>
      </c>
      <c r="F716">
        <v>0</v>
      </c>
      <c r="G716" t="s">
        <v>35</v>
      </c>
      <c r="H716">
        <v>0</v>
      </c>
      <c r="I716" t="s">
        <v>35</v>
      </c>
      <c r="J716">
        <v>4</v>
      </c>
      <c r="K716">
        <v>0</v>
      </c>
      <c r="L716">
        <v>9</v>
      </c>
      <c r="M716">
        <v>2</v>
      </c>
      <c r="N716">
        <v>2</v>
      </c>
      <c r="O716">
        <v>1</v>
      </c>
      <c r="Q716" t="str">
        <f t="shared" si="110"/>
        <v>xG Sangat Sedikit</v>
      </c>
      <c r="R716" t="str">
        <f t="shared" si="111"/>
        <v>Possession Sangat Sedikit</v>
      </c>
      <c r="S716" t="str">
        <f t="shared" si="112"/>
        <v>Total Pass Sangat Sedikit</v>
      </c>
      <c r="T716" t="str">
        <f t="shared" si="113"/>
        <v>Pass Sukses Sangat Sedikit</v>
      </c>
      <c r="U716" t="str">
        <f t="shared" si="114"/>
        <v>Total Shot Sangat Sedikit</v>
      </c>
      <c r="V716" t="str">
        <f t="shared" si="117"/>
        <v>Shot on Target Rendah</v>
      </c>
      <c r="W716" t="str">
        <f t="shared" si="118"/>
        <v>Fouls Normal</v>
      </c>
      <c r="X716" t="str">
        <f t="shared" si="119"/>
        <v>Corner Rendah</v>
      </c>
      <c r="Y716" t="str">
        <f t="shared" si="115"/>
        <v>Yellow Card Rendah</v>
      </c>
      <c r="Z716" t="str">
        <f t="shared" si="116"/>
        <v>Red Card Tinggi</v>
      </c>
    </row>
    <row r="717" spans="1:26" x14ac:dyDescent="0.25">
      <c r="A717" t="s">
        <v>34</v>
      </c>
      <c r="B717">
        <v>2.4</v>
      </c>
      <c r="C717">
        <v>65</v>
      </c>
      <c r="D717">
        <v>622</v>
      </c>
      <c r="E717">
        <v>517</v>
      </c>
      <c r="F717">
        <v>2</v>
      </c>
      <c r="G717" t="s">
        <v>40</v>
      </c>
      <c r="H717">
        <v>0</v>
      </c>
      <c r="I717" t="s">
        <v>35</v>
      </c>
      <c r="J717">
        <v>26</v>
      </c>
      <c r="K717">
        <v>5</v>
      </c>
      <c r="L717">
        <v>12</v>
      </c>
      <c r="M717">
        <v>13</v>
      </c>
      <c r="N717">
        <v>1</v>
      </c>
      <c r="O717">
        <v>0</v>
      </c>
      <c r="Q717" t="str">
        <f t="shared" si="110"/>
        <v>xG Cukup Sedikit</v>
      </c>
      <c r="R717" t="str">
        <f t="shared" si="111"/>
        <v>Possession Sangat Banyak</v>
      </c>
      <c r="S717" t="str">
        <f t="shared" si="112"/>
        <v>Total Pass Cukup Banyak</v>
      </c>
      <c r="T717" t="str">
        <f t="shared" si="113"/>
        <v>Pass Sukses Cukup Banyak</v>
      </c>
      <c r="U717" t="str">
        <f t="shared" si="114"/>
        <v>Total Shot Cukup Banyak</v>
      </c>
      <c r="V717" t="str">
        <f t="shared" si="117"/>
        <v>Shot on Target Tinggi</v>
      </c>
      <c r="W717" t="str">
        <f t="shared" si="118"/>
        <v>Fouls Tinggi</v>
      </c>
      <c r="X717" t="str">
        <f t="shared" si="119"/>
        <v>Corner Tinggi</v>
      </c>
      <c r="Y717" t="str">
        <f t="shared" si="115"/>
        <v>Yellow Card Rendah</v>
      </c>
      <c r="Z717" t="str">
        <f t="shared" si="116"/>
        <v>Red Card Rendah</v>
      </c>
    </row>
    <row r="718" spans="1:26" x14ac:dyDescent="0.25">
      <c r="A718" t="s">
        <v>59</v>
      </c>
      <c r="B718">
        <v>1.1000000000000001</v>
      </c>
      <c r="C718">
        <v>44</v>
      </c>
      <c r="D718">
        <v>510</v>
      </c>
      <c r="E718">
        <v>424</v>
      </c>
      <c r="F718">
        <v>0</v>
      </c>
      <c r="G718" t="s">
        <v>35</v>
      </c>
      <c r="H718">
        <v>0</v>
      </c>
      <c r="I718" t="s">
        <v>35</v>
      </c>
      <c r="J718">
        <v>8</v>
      </c>
      <c r="K718">
        <v>2</v>
      </c>
      <c r="L718">
        <v>17</v>
      </c>
      <c r="M718">
        <v>2</v>
      </c>
      <c r="N718">
        <v>4</v>
      </c>
      <c r="O718">
        <v>0</v>
      </c>
      <c r="Q718" t="str">
        <f t="shared" si="110"/>
        <v>xG Sangat Sedikit</v>
      </c>
      <c r="R718" t="str">
        <f t="shared" si="111"/>
        <v>Possession Cukup Sedikit</v>
      </c>
      <c r="S718" t="str">
        <f t="shared" si="112"/>
        <v>Total Pass Cukup Banyak</v>
      </c>
      <c r="T718" t="str">
        <f t="shared" si="113"/>
        <v>Pass Sukses Cukup Sedikit</v>
      </c>
      <c r="U718" t="str">
        <f t="shared" si="114"/>
        <v>Total Shot Sangat Sedikit</v>
      </c>
      <c r="V718" t="str">
        <f t="shared" si="117"/>
        <v>Shot on Target Rendah</v>
      </c>
      <c r="W718" t="str">
        <f t="shared" si="118"/>
        <v>Fouls Tinggi</v>
      </c>
      <c r="X718" t="str">
        <f t="shared" si="119"/>
        <v>Corner Rendah</v>
      </c>
      <c r="Y718" t="str">
        <f t="shared" si="115"/>
        <v>Yellow Card Tinggi</v>
      </c>
      <c r="Z718" t="str">
        <f t="shared" si="116"/>
        <v>Red Card Rendah</v>
      </c>
    </row>
    <row r="719" spans="1:26" x14ac:dyDescent="0.25">
      <c r="A719" t="s">
        <v>33</v>
      </c>
      <c r="B719">
        <v>2.2999999999999998</v>
      </c>
      <c r="C719">
        <v>61</v>
      </c>
      <c r="D719">
        <v>522</v>
      </c>
      <c r="E719">
        <v>416</v>
      </c>
      <c r="F719">
        <v>1</v>
      </c>
      <c r="G719" t="s">
        <v>36</v>
      </c>
      <c r="H719">
        <v>0</v>
      </c>
      <c r="I719" t="s">
        <v>35</v>
      </c>
      <c r="J719">
        <v>25</v>
      </c>
      <c r="K719">
        <v>6</v>
      </c>
      <c r="L719">
        <v>12</v>
      </c>
      <c r="M719">
        <v>10</v>
      </c>
      <c r="N719">
        <v>2</v>
      </c>
      <c r="O719">
        <v>0</v>
      </c>
      <c r="Q719" t="str">
        <f t="shared" si="110"/>
        <v>xG Cukup Sedikit</v>
      </c>
      <c r="R719" t="str">
        <f t="shared" si="111"/>
        <v>Possession Cukup Banyak</v>
      </c>
      <c r="S719" t="str">
        <f t="shared" si="112"/>
        <v>Total Pass Cukup Banyak</v>
      </c>
      <c r="T719" t="str">
        <f t="shared" si="113"/>
        <v>Pass Sukses Cukup Sedikit</v>
      </c>
      <c r="U719" t="str">
        <f t="shared" si="114"/>
        <v>Total Shot Cukup Banyak</v>
      </c>
      <c r="V719" t="str">
        <f t="shared" si="117"/>
        <v>Shot on Target Tinggi</v>
      </c>
      <c r="W719" t="str">
        <f t="shared" si="118"/>
        <v>Fouls Tinggi</v>
      </c>
      <c r="X719" t="str">
        <f t="shared" si="119"/>
        <v>Corner Tinggi</v>
      </c>
      <c r="Y719" t="str">
        <f t="shared" si="115"/>
        <v>Yellow Card Rendah</v>
      </c>
      <c r="Z719" t="str">
        <f t="shared" si="116"/>
        <v>Red Card Rendah</v>
      </c>
    </row>
    <row r="720" spans="1:26" x14ac:dyDescent="0.25">
      <c r="A720" t="s">
        <v>60</v>
      </c>
      <c r="B720">
        <v>0.5</v>
      </c>
      <c r="C720">
        <v>39</v>
      </c>
      <c r="D720">
        <v>359</v>
      </c>
      <c r="E720">
        <v>260</v>
      </c>
      <c r="F720">
        <v>1</v>
      </c>
      <c r="G720" t="s">
        <v>35</v>
      </c>
      <c r="H720">
        <v>1</v>
      </c>
      <c r="I720" t="s">
        <v>35</v>
      </c>
      <c r="J720">
        <v>8</v>
      </c>
      <c r="K720">
        <v>3</v>
      </c>
      <c r="L720">
        <v>9</v>
      </c>
      <c r="M720">
        <v>2</v>
      </c>
      <c r="N720">
        <v>1</v>
      </c>
      <c r="O720">
        <v>0</v>
      </c>
      <c r="Q720" t="str">
        <f t="shared" si="110"/>
        <v>xG Sangat Sedikit</v>
      </c>
      <c r="R720" t="str">
        <f t="shared" si="111"/>
        <v>Possession Cukup Sedikit</v>
      </c>
      <c r="S720" t="str">
        <f t="shared" si="112"/>
        <v>Total Pass Cukup Sedikit</v>
      </c>
      <c r="T720" t="str">
        <f t="shared" si="113"/>
        <v>Pass Sukses Sangat Sedikit</v>
      </c>
      <c r="U720" t="str">
        <f t="shared" si="114"/>
        <v>Total Shot Sangat Sedikit</v>
      </c>
      <c r="V720" t="str">
        <f t="shared" si="117"/>
        <v>Shot on Target Rendah</v>
      </c>
      <c r="W720" t="str">
        <f t="shared" si="118"/>
        <v>Fouls Normal</v>
      </c>
      <c r="X720" t="str">
        <f t="shared" si="119"/>
        <v>Corner Rendah</v>
      </c>
      <c r="Y720" t="str">
        <f t="shared" si="115"/>
        <v>Yellow Card Rendah</v>
      </c>
      <c r="Z720" t="str">
        <f t="shared" si="116"/>
        <v>Red Card Rendah</v>
      </c>
    </row>
    <row r="721" spans="1:26" x14ac:dyDescent="0.25">
      <c r="A721" t="s">
        <v>54</v>
      </c>
      <c r="B721">
        <v>1.3</v>
      </c>
      <c r="C721">
        <v>45</v>
      </c>
      <c r="D721">
        <v>353</v>
      </c>
      <c r="E721">
        <v>264</v>
      </c>
      <c r="F721">
        <v>2</v>
      </c>
      <c r="G721" t="s">
        <v>40</v>
      </c>
      <c r="H721">
        <v>1</v>
      </c>
      <c r="I721" t="s">
        <v>40</v>
      </c>
      <c r="J721">
        <v>11</v>
      </c>
      <c r="K721">
        <v>3</v>
      </c>
      <c r="L721">
        <v>12</v>
      </c>
      <c r="M721">
        <v>5</v>
      </c>
      <c r="N721">
        <v>5</v>
      </c>
      <c r="O721">
        <v>0</v>
      </c>
      <c r="Q721" t="str">
        <f t="shared" si="110"/>
        <v>xG Sangat Sedikit</v>
      </c>
      <c r="R721" t="str">
        <f t="shared" si="111"/>
        <v>Possession Cukup Sedikit</v>
      </c>
      <c r="S721" t="str">
        <f t="shared" si="112"/>
        <v>Total Pass Sangat Sedikit</v>
      </c>
      <c r="T721" t="str">
        <f t="shared" si="113"/>
        <v>Pass Sukses Sangat Sedikit</v>
      </c>
      <c r="U721" t="str">
        <f t="shared" si="114"/>
        <v>Total Shot Cukup Sedikit</v>
      </c>
      <c r="V721" t="str">
        <f t="shared" si="117"/>
        <v>Shot on Target Rendah</v>
      </c>
      <c r="W721" t="str">
        <f t="shared" si="118"/>
        <v>Fouls Tinggi</v>
      </c>
      <c r="X721" t="str">
        <f t="shared" si="119"/>
        <v>Corner Normal</v>
      </c>
      <c r="Y721" t="str">
        <f t="shared" si="115"/>
        <v>Yellow Card Tinggi</v>
      </c>
      <c r="Z721" t="str">
        <f t="shared" si="116"/>
        <v>Red Card Rendah</v>
      </c>
    </row>
    <row r="722" spans="1:26" x14ac:dyDescent="0.25">
      <c r="A722" t="s">
        <v>43</v>
      </c>
      <c r="B722">
        <v>0.4</v>
      </c>
      <c r="C722">
        <v>37</v>
      </c>
      <c r="D722">
        <v>417</v>
      </c>
      <c r="E722">
        <v>342</v>
      </c>
      <c r="F722">
        <v>0</v>
      </c>
      <c r="G722" t="s">
        <v>35</v>
      </c>
      <c r="H722">
        <v>0</v>
      </c>
      <c r="I722" t="s">
        <v>35</v>
      </c>
      <c r="J722">
        <v>6</v>
      </c>
      <c r="K722">
        <v>1</v>
      </c>
      <c r="L722">
        <v>11</v>
      </c>
      <c r="M722">
        <v>5</v>
      </c>
      <c r="N722">
        <v>0</v>
      </c>
      <c r="O722">
        <v>0</v>
      </c>
      <c r="Q722" t="str">
        <f t="shared" si="110"/>
        <v>xG Sangat Sedikit</v>
      </c>
      <c r="R722" t="str">
        <f t="shared" si="111"/>
        <v>Possession Cukup Sedikit</v>
      </c>
      <c r="S722" t="str">
        <f t="shared" si="112"/>
        <v>Total Pass Cukup Sedikit</v>
      </c>
      <c r="T722" t="str">
        <f t="shared" si="113"/>
        <v>Pass Sukses Cukup Sedikit</v>
      </c>
      <c r="U722" t="str">
        <f t="shared" si="114"/>
        <v>Total Shot Sangat Sedikit</v>
      </c>
      <c r="V722" t="str">
        <f t="shared" si="117"/>
        <v>Shot on Target Rendah</v>
      </c>
      <c r="W722" t="str">
        <f t="shared" si="118"/>
        <v>Fouls Normal</v>
      </c>
      <c r="X722" t="str">
        <f t="shared" si="119"/>
        <v>Corner Normal</v>
      </c>
      <c r="Y722" t="str">
        <f t="shared" si="115"/>
        <v>Yellow Card Rendah</v>
      </c>
      <c r="Z722" t="str">
        <f t="shared" si="116"/>
        <v>Red Card Rendah</v>
      </c>
    </row>
    <row r="723" spans="1:26" x14ac:dyDescent="0.25">
      <c r="A723" t="s">
        <v>34</v>
      </c>
      <c r="B723">
        <v>0.9</v>
      </c>
      <c r="C723">
        <v>48</v>
      </c>
      <c r="D723">
        <v>439</v>
      </c>
      <c r="E723">
        <v>375</v>
      </c>
      <c r="F723">
        <v>0</v>
      </c>
      <c r="G723" t="s">
        <v>35</v>
      </c>
      <c r="H723">
        <v>0</v>
      </c>
      <c r="I723" t="s">
        <v>35</v>
      </c>
      <c r="J723">
        <v>11</v>
      </c>
      <c r="K723">
        <v>3</v>
      </c>
      <c r="L723">
        <v>17</v>
      </c>
      <c r="M723">
        <v>3</v>
      </c>
      <c r="N723">
        <v>5</v>
      </c>
      <c r="O723">
        <v>0</v>
      </c>
      <c r="Q723" t="str">
        <f t="shared" si="110"/>
        <v>xG Sangat Sedikit</v>
      </c>
      <c r="R723" t="str">
        <f t="shared" si="111"/>
        <v>Possession Cukup Sedikit</v>
      </c>
      <c r="S723" t="str">
        <f t="shared" si="112"/>
        <v>Total Pass Cukup Sedikit</v>
      </c>
      <c r="T723" t="str">
        <f t="shared" si="113"/>
        <v>Pass Sukses Cukup Sedikit</v>
      </c>
      <c r="U723" t="str">
        <f t="shared" si="114"/>
        <v>Total Shot Cukup Sedikit</v>
      </c>
      <c r="V723" t="str">
        <f t="shared" si="117"/>
        <v>Shot on Target Rendah</v>
      </c>
      <c r="W723" t="str">
        <f t="shared" si="118"/>
        <v>Fouls Tinggi</v>
      </c>
      <c r="X723" t="str">
        <f t="shared" si="119"/>
        <v>Corner Rendah</v>
      </c>
      <c r="Y723" t="str">
        <f t="shared" si="115"/>
        <v>Yellow Card Tinggi</v>
      </c>
      <c r="Z723" t="str">
        <f t="shared" si="116"/>
        <v>Red Card Rendah</v>
      </c>
    </row>
    <row r="724" spans="1:26" x14ac:dyDescent="0.25">
      <c r="A724" t="s">
        <v>38</v>
      </c>
      <c r="B724">
        <v>0.8</v>
      </c>
      <c r="C724">
        <v>42</v>
      </c>
      <c r="D724">
        <v>390</v>
      </c>
      <c r="E724">
        <v>323</v>
      </c>
      <c r="F724">
        <v>2</v>
      </c>
      <c r="G724" t="s">
        <v>36</v>
      </c>
      <c r="H724">
        <v>1</v>
      </c>
      <c r="I724" t="s">
        <v>35</v>
      </c>
      <c r="J724">
        <v>12</v>
      </c>
      <c r="K724">
        <v>5</v>
      </c>
      <c r="L724">
        <v>15</v>
      </c>
      <c r="M724">
        <v>3</v>
      </c>
      <c r="N724">
        <v>4</v>
      </c>
      <c r="O724">
        <v>0</v>
      </c>
      <c r="Q724" t="str">
        <f t="shared" si="110"/>
        <v>xG Sangat Sedikit</v>
      </c>
      <c r="R724" t="str">
        <f t="shared" si="111"/>
        <v>Possession Cukup Sedikit</v>
      </c>
      <c r="S724" t="str">
        <f t="shared" si="112"/>
        <v>Total Pass Cukup Sedikit</v>
      </c>
      <c r="T724" t="str">
        <f t="shared" si="113"/>
        <v>Pass Sukses Cukup Sedikit</v>
      </c>
      <c r="U724" t="str">
        <f t="shared" si="114"/>
        <v>Total Shot Cukup Sedikit</v>
      </c>
      <c r="V724" t="str">
        <f t="shared" si="117"/>
        <v>Shot on Target Tinggi</v>
      </c>
      <c r="W724" t="str">
        <f t="shared" si="118"/>
        <v>Fouls Tinggi</v>
      </c>
      <c r="X724" t="str">
        <f t="shared" si="119"/>
        <v>Corner Rendah</v>
      </c>
      <c r="Y724" t="str">
        <f t="shared" si="115"/>
        <v>Yellow Card Tinggi</v>
      </c>
      <c r="Z724" t="str">
        <f t="shared" si="116"/>
        <v>Red Card Rendah</v>
      </c>
    </row>
    <row r="725" spans="1:26" x14ac:dyDescent="0.25">
      <c r="A725" t="s">
        <v>47</v>
      </c>
      <c r="B725">
        <v>0.5</v>
      </c>
      <c r="C725">
        <v>51</v>
      </c>
      <c r="D725">
        <v>493</v>
      </c>
      <c r="E725">
        <v>419</v>
      </c>
      <c r="F725">
        <v>0</v>
      </c>
      <c r="G725" t="s">
        <v>35</v>
      </c>
      <c r="H725">
        <v>0</v>
      </c>
      <c r="I725" t="s">
        <v>35</v>
      </c>
      <c r="J725">
        <v>8</v>
      </c>
      <c r="K725">
        <v>2</v>
      </c>
      <c r="L725">
        <v>13</v>
      </c>
      <c r="M725">
        <v>7</v>
      </c>
      <c r="N725">
        <v>3</v>
      </c>
      <c r="O725">
        <v>0</v>
      </c>
      <c r="Q725" t="str">
        <f t="shared" si="110"/>
        <v>xG Sangat Sedikit</v>
      </c>
      <c r="R725" t="str">
        <f t="shared" si="111"/>
        <v>Possession Cukup Banyak</v>
      </c>
      <c r="S725" t="str">
        <f t="shared" si="112"/>
        <v>Total Pass Cukup Sedikit</v>
      </c>
      <c r="T725" t="str">
        <f t="shared" si="113"/>
        <v>Pass Sukses Cukup Sedikit</v>
      </c>
      <c r="U725" t="str">
        <f t="shared" si="114"/>
        <v>Total Shot Sangat Sedikit</v>
      </c>
      <c r="V725" t="str">
        <f t="shared" si="117"/>
        <v>Shot on Target Rendah</v>
      </c>
      <c r="W725" t="str">
        <f t="shared" si="118"/>
        <v>Fouls Tinggi</v>
      </c>
      <c r="X725" t="str">
        <f t="shared" si="119"/>
        <v>Corner Tinggi</v>
      </c>
      <c r="Y725" t="str">
        <f t="shared" si="115"/>
        <v>Yellow Card Tinggi</v>
      </c>
      <c r="Z725" t="str">
        <f t="shared" si="116"/>
        <v>Red Card Rendah</v>
      </c>
    </row>
    <row r="726" spans="1:26" x14ac:dyDescent="0.25">
      <c r="A726" t="s">
        <v>49</v>
      </c>
      <c r="B726">
        <v>0.9</v>
      </c>
      <c r="C726">
        <v>49</v>
      </c>
      <c r="D726">
        <v>447</v>
      </c>
      <c r="E726">
        <v>365</v>
      </c>
      <c r="F726">
        <v>2</v>
      </c>
      <c r="G726" t="s">
        <v>40</v>
      </c>
      <c r="H726">
        <v>0</v>
      </c>
      <c r="I726" t="s">
        <v>35</v>
      </c>
      <c r="J726">
        <v>9</v>
      </c>
      <c r="K726">
        <v>2</v>
      </c>
      <c r="L726">
        <v>16</v>
      </c>
      <c r="M726">
        <v>3</v>
      </c>
      <c r="N726">
        <v>2</v>
      </c>
      <c r="O726">
        <v>0</v>
      </c>
      <c r="Q726" t="str">
        <f t="shared" si="110"/>
        <v>xG Sangat Sedikit</v>
      </c>
      <c r="R726" t="str">
        <f t="shared" si="111"/>
        <v>Possession Cukup Sedikit</v>
      </c>
      <c r="S726" t="str">
        <f t="shared" si="112"/>
        <v>Total Pass Cukup Sedikit</v>
      </c>
      <c r="T726" t="str">
        <f t="shared" si="113"/>
        <v>Pass Sukses Cukup Sedikit</v>
      </c>
      <c r="U726" t="str">
        <f t="shared" si="114"/>
        <v>Total Shot Sangat Sedikit</v>
      </c>
      <c r="V726" t="str">
        <f t="shared" si="117"/>
        <v>Shot on Target Rendah</v>
      </c>
      <c r="W726" t="str">
        <f t="shared" si="118"/>
        <v>Fouls Tinggi</v>
      </c>
      <c r="X726" t="str">
        <f t="shared" si="119"/>
        <v>Corner Rendah</v>
      </c>
      <c r="Y726" t="str">
        <f t="shared" si="115"/>
        <v>Yellow Card Rendah</v>
      </c>
      <c r="Z726" t="str">
        <f t="shared" si="116"/>
        <v>Red Card Rendah</v>
      </c>
    </row>
    <row r="727" spans="1:26" x14ac:dyDescent="0.25">
      <c r="A727" t="s">
        <v>33</v>
      </c>
      <c r="B727">
        <v>1.5</v>
      </c>
      <c r="C727">
        <v>53</v>
      </c>
      <c r="D727">
        <v>510</v>
      </c>
      <c r="E727">
        <v>416</v>
      </c>
      <c r="F727">
        <v>3</v>
      </c>
      <c r="G727" t="s">
        <v>35</v>
      </c>
      <c r="H727">
        <v>1</v>
      </c>
      <c r="I727" t="s">
        <v>35</v>
      </c>
      <c r="J727">
        <v>14</v>
      </c>
      <c r="K727">
        <v>5</v>
      </c>
      <c r="L727">
        <v>10</v>
      </c>
      <c r="M727">
        <v>4</v>
      </c>
      <c r="N727">
        <v>2</v>
      </c>
      <c r="O727">
        <v>0</v>
      </c>
      <c r="Q727" t="str">
        <f t="shared" si="110"/>
        <v>xG Cukup Sedikit</v>
      </c>
      <c r="R727" t="str">
        <f t="shared" si="111"/>
        <v>Possession Cukup Banyak</v>
      </c>
      <c r="S727" t="str">
        <f t="shared" si="112"/>
        <v>Total Pass Cukup Banyak</v>
      </c>
      <c r="T727" t="str">
        <f t="shared" si="113"/>
        <v>Pass Sukses Cukup Sedikit</v>
      </c>
      <c r="U727" t="str">
        <f t="shared" si="114"/>
        <v>Total Shot Cukup Sedikit</v>
      </c>
      <c r="V727" t="str">
        <f t="shared" si="117"/>
        <v>Shot on Target Tinggi</v>
      </c>
      <c r="W727" t="str">
        <f t="shared" si="118"/>
        <v>Fouls Normal</v>
      </c>
      <c r="X727" t="str">
        <f t="shared" si="119"/>
        <v>Corner Rendah</v>
      </c>
      <c r="Y727" t="str">
        <f t="shared" si="115"/>
        <v>Yellow Card Rendah</v>
      </c>
      <c r="Z727" t="str">
        <f t="shared" si="116"/>
        <v>Red Card Rendah</v>
      </c>
    </row>
    <row r="728" spans="1:26" x14ac:dyDescent="0.25">
      <c r="A728" t="s">
        <v>46</v>
      </c>
      <c r="B728">
        <v>1.7</v>
      </c>
      <c r="C728">
        <v>55</v>
      </c>
      <c r="D728">
        <v>490</v>
      </c>
      <c r="E728">
        <v>401</v>
      </c>
      <c r="F728">
        <v>1</v>
      </c>
      <c r="G728" t="s">
        <v>36</v>
      </c>
      <c r="H728">
        <v>0</v>
      </c>
      <c r="I728" t="s">
        <v>35</v>
      </c>
      <c r="J728">
        <v>13</v>
      </c>
      <c r="K728">
        <v>5</v>
      </c>
      <c r="L728">
        <v>10</v>
      </c>
      <c r="M728">
        <v>4</v>
      </c>
      <c r="N728">
        <v>1</v>
      </c>
      <c r="O728">
        <v>0</v>
      </c>
      <c r="Q728" t="str">
        <f t="shared" si="110"/>
        <v>xG Cukup Sedikit</v>
      </c>
      <c r="R728" t="str">
        <f t="shared" si="111"/>
        <v>Possession Cukup Banyak</v>
      </c>
      <c r="S728" t="str">
        <f t="shared" si="112"/>
        <v>Total Pass Cukup Sedikit</v>
      </c>
      <c r="T728" t="str">
        <f t="shared" si="113"/>
        <v>Pass Sukses Cukup Sedikit</v>
      </c>
      <c r="U728" t="str">
        <f t="shared" si="114"/>
        <v>Total Shot Cukup Sedikit</v>
      </c>
      <c r="V728" t="str">
        <f t="shared" si="117"/>
        <v>Shot on Target Tinggi</v>
      </c>
      <c r="W728" t="str">
        <f t="shared" si="118"/>
        <v>Fouls Normal</v>
      </c>
      <c r="X728" t="str">
        <f t="shared" si="119"/>
        <v>Corner Rendah</v>
      </c>
      <c r="Y728" t="str">
        <f t="shared" si="115"/>
        <v>Yellow Card Rendah</v>
      </c>
      <c r="Z728" t="str">
        <f t="shared" si="116"/>
        <v>Red Card Rendah</v>
      </c>
    </row>
    <row r="729" spans="1:26" x14ac:dyDescent="0.25">
      <c r="A729" t="s">
        <v>60</v>
      </c>
      <c r="B729">
        <v>0.8</v>
      </c>
      <c r="C729">
        <v>45</v>
      </c>
      <c r="D729">
        <v>403</v>
      </c>
      <c r="E729">
        <v>285</v>
      </c>
      <c r="F729">
        <v>1</v>
      </c>
      <c r="G729" t="s">
        <v>36</v>
      </c>
      <c r="H729">
        <v>1</v>
      </c>
      <c r="I729" t="s">
        <v>36</v>
      </c>
      <c r="J729">
        <v>7</v>
      </c>
      <c r="K729">
        <v>2</v>
      </c>
      <c r="L729">
        <v>15</v>
      </c>
      <c r="M729">
        <v>3</v>
      </c>
      <c r="N729">
        <v>2</v>
      </c>
      <c r="O729">
        <v>0</v>
      </c>
      <c r="Q729" t="str">
        <f t="shared" si="110"/>
        <v>xG Sangat Sedikit</v>
      </c>
      <c r="R729" t="str">
        <f t="shared" si="111"/>
        <v>Possession Cukup Sedikit</v>
      </c>
      <c r="S729" t="str">
        <f t="shared" si="112"/>
        <v>Total Pass Cukup Sedikit</v>
      </c>
      <c r="T729" t="str">
        <f t="shared" si="113"/>
        <v>Pass Sukses Cukup Sedikit</v>
      </c>
      <c r="U729" t="str">
        <f t="shared" si="114"/>
        <v>Total Shot Sangat Sedikit</v>
      </c>
      <c r="V729" t="str">
        <f t="shared" si="117"/>
        <v>Shot on Target Rendah</v>
      </c>
      <c r="W729" t="str">
        <f t="shared" si="118"/>
        <v>Fouls Tinggi</v>
      </c>
      <c r="X729" t="str">
        <f t="shared" si="119"/>
        <v>Corner Rendah</v>
      </c>
      <c r="Y729" t="str">
        <f t="shared" si="115"/>
        <v>Yellow Card Rendah</v>
      </c>
      <c r="Z729" t="str">
        <f t="shared" si="116"/>
        <v>Red Card Rendah</v>
      </c>
    </row>
    <row r="730" spans="1:26" x14ac:dyDescent="0.25">
      <c r="A730" t="s">
        <v>39</v>
      </c>
      <c r="B730">
        <v>1</v>
      </c>
      <c r="C730">
        <v>64</v>
      </c>
      <c r="D730">
        <v>700</v>
      </c>
      <c r="E730">
        <v>611</v>
      </c>
      <c r="F730">
        <v>1</v>
      </c>
      <c r="G730" t="s">
        <v>35</v>
      </c>
      <c r="H730">
        <v>0</v>
      </c>
      <c r="I730" t="s">
        <v>35</v>
      </c>
      <c r="J730">
        <v>11</v>
      </c>
      <c r="K730">
        <v>2</v>
      </c>
      <c r="L730">
        <v>11</v>
      </c>
      <c r="M730">
        <v>6</v>
      </c>
      <c r="N730">
        <v>2</v>
      </c>
      <c r="O730">
        <v>0</v>
      </c>
      <c r="Q730" t="str">
        <f t="shared" si="110"/>
        <v>xG Sangat Sedikit</v>
      </c>
      <c r="R730" t="str">
        <f t="shared" si="111"/>
        <v>Possession Sangat Banyak</v>
      </c>
      <c r="S730" t="str">
        <f t="shared" si="112"/>
        <v>Total Pass Sangat Banyak</v>
      </c>
      <c r="T730" t="str">
        <f t="shared" si="113"/>
        <v>Pass Sukses Sangat Banyak</v>
      </c>
      <c r="U730" t="str">
        <f t="shared" si="114"/>
        <v>Total Shot Cukup Sedikit</v>
      </c>
      <c r="V730" t="str">
        <f t="shared" si="117"/>
        <v>Shot on Target Rendah</v>
      </c>
      <c r="W730" t="str">
        <f t="shared" si="118"/>
        <v>Fouls Normal</v>
      </c>
      <c r="X730" t="str">
        <f t="shared" si="119"/>
        <v>Corner Tinggi</v>
      </c>
      <c r="Y730" t="str">
        <f t="shared" si="115"/>
        <v>Yellow Card Rendah</v>
      </c>
      <c r="Z730" t="str">
        <f t="shared" si="116"/>
        <v>Red Card Rendah</v>
      </c>
    </row>
    <row r="731" spans="1:26" x14ac:dyDescent="0.25">
      <c r="A731" t="s">
        <v>48</v>
      </c>
      <c r="B731">
        <v>0.7</v>
      </c>
      <c r="C731">
        <v>50</v>
      </c>
      <c r="D731">
        <v>448</v>
      </c>
      <c r="E731">
        <v>353</v>
      </c>
      <c r="F731">
        <v>1</v>
      </c>
      <c r="G731" t="s">
        <v>36</v>
      </c>
      <c r="H731">
        <v>0</v>
      </c>
      <c r="I731" t="s">
        <v>36</v>
      </c>
      <c r="J731">
        <v>12</v>
      </c>
      <c r="K731">
        <v>4</v>
      </c>
      <c r="L731">
        <v>15</v>
      </c>
      <c r="M731">
        <v>4</v>
      </c>
      <c r="N731">
        <v>8</v>
      </c>
      <c r="O731">
        <v>0</v>
      </c>
      <c r="Q731" t="str">
        <f t="shared" si="110"/>
        <v>xG Sangat Sedikit</v>
      </c>
      <c r="R731" t="str">
        <f t="shared" si="111"/>
        <v>Possession Cukup Sedikit</v>
      </c>
      <c r="S731" t="str">
        <f t="shared" si="112"/>
        <v>Total Pass Cukup Sedikit</v>
      </c>
      <c r="T731" t="str">
        <f t="shared" si="113"/>
        <v>Pass Sukses Cukup Sedikit</v>
      </c>
      <c r="U731" t="str">
        <f t="shared" si="114"/>
        <v>Total Shot Cukup Sedikit</v>
      </c>
      <c r="V731" t="str">
        <f t="shared" si="117"/>
        <v>Shot on Target Normal</v>
      </c>
      <c r="W731" t="str">
        <f t="shared" si="118"/>
        <v>Fouls Tinggi</v>
      </c>
      <c r="X731" t="str">
        <f t="shared" si="119"/>
        <v>Corner Rendah</v>
      </c>
      <c r="Y731" t="str">
        <f t="shared" si="115"/>
        <v>Yellow Card Tinggi</v>
      </c>
      <c r="Z731" t="str">
        <f t="shared" si="116"/>
        <v>Red Card Rendah</v>
      </c>
    </row>
    <row r="732" spans="1:26" x14ac:dyDescent="0.25">
      <c r="A732" t="s">
        <v>44</v>
      </c>
      <c r="B732">
        <v>1.1000000000000001</v>
      </c>
      <c r="C732">
        <v>36</v>
      </c>
      <c r="D732">
        <v>346</v>
      </c>
      <c r="E732">
        <v>264</v>
      </c>
      <c r="F732">
        <v>3</v>
      </c>
      <c r="G732" t="s">
        <v>40</v>
      </c>
      <c r="H732">
        <v>1</v>
      </c>
      <c r="I732" t="s">
        <v>36</v>
      </c>
      <c r="J732">
        <v>11</v>
      </c>
      <c r="K732">
        <v>7</v>
      </c>
      <c r="L732">
        <v>9</v>
      </c>
      <c r="M732">
        <v>5</v>
      </c>
      <c r="N732">
        <v>0</v>
      </c>
      <c r="O732">
        <v>0</v>
      </c>
      <c r="Q732" t="str">
        <f t="shared" si="110"/>
        <v>xG Sangat Sedikit</v>
      </c>
      <c r="R732" t="str">
        <f t="shared" si="111"/>
        <v>Possession Sangat Sedikit</v>
      </c>
      <c r="S732" t="str">
        <f t="shared" si="112"/>
        <v>Total Pass Sangat Sedikit</v>
      </c>
      <c r="T732" t="str">
        <f t="shared" si="113"/>
        <v>Pass Sukses Sangat Sedikit</v>
      </c>
      <c r="U732" t="str">
        <f t="shared" si="114"/>
        <v>Total Shot Cukup Sedikit</v>
      </c>
      <c r="V732" t="str">
        <f t="shared" si="117"/>
        <v>Shot on Target Tinggi</v>
      </c>
      <c r="W732" t="str">
        <f t="shared" si="118"/>
        <v>Fouls Normal</v>
      </c>
      <c r="X732" t="str">
        <f t="shared" si="119"/>
        <v>Corner Normal</v>
      </c>
      <c r="Y732" t="str">
        <f t="shared" si="115"/>
        <v>Yellow Card Rendah</v>
      </c>
      <c r="Z732" t="str">
        <f t="shared" si="116"/>
        <v>Red Card Rendah</v>
      </c>
    </row>
    <row r="733" spans="1:26" x14ac:dyDescent="0.25">
      <c r="A733" t="s">
        <v>54</v>
      </c>
      <c r="B733">
        <v>1.4</v>
      </c>
      <c r="C733">
        <v>51</v>
      </c>
      <c r="D733">
        <v>416</v>
      </c>
      <c r="E733">
        <v>331</v>
      </c>
      <c r="F733">
        <v>1</v>
      </c>
      <c r="G733" t="s">
        <v>40</v>
      </c>
      <c r="H733">
        <v>1</v>
      </c>
      <c r="I733" t="s">
        <v>40</v>
      </c>
      <c r="J733">
        <v>15</v>
      </c>
      <c r="K733">
        <v>5</v>
      </c>
      <c r="L733">
        <v>12</v>
      </c>
      <c r="M733">
        <v>6</v>
      </c>
      <c r="N733">
        <v>4</v>
      </c>
      <c r="O733">
        <v>0</v>
      </c>
      <c r="Q733" t="str">
        <f t="shared" si="110"/>
        <v>xG Sangat Sedikit</v>
      </c>
      <c r="R733" t="str">
        <f t="shared" si="111"/>
        <v>Possession Cukup Banyak</v>
      </c>
      <c r="S733" t="str">
        <f t="shared" si="112"/>
        <v>Total Pass Cukup Sedikit</v>
      </c>
      <c r="T733" t="str">
        <f t="shared" si="113"/>
        <v>Pass Sukses Cukup Sedikit</v>
      </c>
      <c r="U733" t="str">
        <f t="shared" si="114"/>
        <v>Total Shot Cukup Sedikit</v>
      </c>
      <c r="V733" t="str">
        <f t="shared" si="117"/>
        <v>Shot on Target Tinggi</v>
      </c>
      <c r="W733" t="str">
        <f t="shared" si="118"/>
        <v>Fouls Tinggi</v>
      </c>
      <c r="X733" t="str">
        <f t="shared" si="119"/>
        <v>Corner Tinggi</v>
      </c>
      <c r="Y733" t="str">
        <f t="shared" si="115"/>
        <v>Yellow Card Tinggi</v>
      </c>
      <c r="Z733" t="str">
        <f t="shared" si="116"/>
        <v>Red Card Rendah</v>
      </c>
    </row>
    <row r="734" spans="1:26" x14ac:dyDescent="0.25">
      <c r="A734" t="s">
        <v>58</v>
      </c>
      <c r="B734">
        <v>1.7</v>
      </c>
      <c r="C734">
        <v>72</v>
      </c>
      <c r="D734">
        <v>707</v>
      </c>
      <c r="E734">
        <v>604</v>
      </c>
      <c r="F734">
        <v>0</v>
      </c>
      <c r="G734" t="s">
        <v>36</v>
      </c>
      <c r="H734">
        <v>0</v>
      </c>
      <c r="I734" t="s">
        <v>36</v>
      </c>
      <c r="J734">
        <v>26</v>
      </c>
      <c r="K734">
        <v>5</v>
      </c>
      <c r="L734">
        <v>8</v>
      </c>
      <c r="M734">
        <v>15</v>
      </c>
      <c r="N734">
        <v>0</v>
      </c>
      <c r="O734">
        <v>0</v>
      </c>
      <c r="Q734" t="str">
        <f t="shared" si="110"/>
        <v>xG Cukup Sedikit</v>
      </c>
      <c r="R734" t="str">
        <f t="shared" si="111"/>
        <v>Possession Sangat Banyak</v>
      </c>
      <c r="S734" t="str">
        <f t="shared" si="112"/>
        <v>Total Pass Sangat Banyak</v>
      </c>
      <c r="T734" t="str">
        <f t="shared" si="113"/>
        <v>Pass Sukses Sangat Banyak</v>
      </c>
      <c r="U734" t="str">
        <f t="shared" si="114"/>
        <v>Total Shot Cukup Banyak</v>
      </c>
      <c r="V734" t="str">
        <f t="shared" si="117"/>
        <v>Shot on Target Tinggi</v>
      </c>
      <c r="W734" t="str">
        <f t="shared" si="118"/>
        <v>Fouls Rendah</v>
      </c>
      <c r="X734" t="str">
        <f t="shared" si="119"/>
        <v>Corner Tinggi</v>
      </c>
      <c r="Y734" t="str">
        <f t="shared" si="115"/>
        <v>Yellow Card Rendah</v>
      </c>
      <c r="Z734" t="str">
        <f t="shared" si="116"/>
        <v>Red Card Rendah</v>
      </c>
    </row>
    <row r="735" spans="1:26" x14ac:dyDescent="0.25">
      <c r="A735" t="s">
        <v>45</v>
      </c>
      <c r="B735">
        <v>1.6</v>
      </c>
      <c r="C735">
        <v>44</v>
      </c>
      <c r="D735">
        <v>456</v>
      </c>
      <c r="E735">
        <v>372</v>
      </c>
      <c r="F735">
        <v>2</v>
      </c>
      <c r="G735" t="s">
        <v>40</v>
      </c>
      <c r="H735">
        <v>1</v>
      </c>
      <c r="I735" t="s">
        <v>40</v>
      </c>
      <c r="J735">
        <v>7</v>
      </c>
      <c r="K735">
        <v>2</v>
      </c>
      <c r="L735">
        <v>12</v>
      </c>
      <c r="M735">
        <v>4</v>
      </c>
      <c r="N735">
        <v>1</v>
      </c>
      <c r="O735">
        <v>0</v>
      </c>
      <c r="Q735" t="str">
        <f t="shared" si="110"/>
        <v>xG Cukup Sedikit</v>
      </c>
      <c r="R735" t="str">
        <f t="shared" si="111"/>
        <v>Possession Cukup Sedikit</v>
      </c>
      <c r="S735" t="str">
        <f t="shared" si="112"/>
        <v>Total Pass Cukup Sedikit</v>
      </c>
      <c r="T735" t="str">
        <f t="shared" si="113"/>
        <v>Pass Sukses Cukup Sedikit</v>
      </c>
      <c r="U735" t="str">
        <f t="shared" si="114"/>
        <v>Total Shot Sangat Sedikit</v>
      </c>
      <c r="V735" t="str">
        <f t="shared" si="117"/>
        <v>Shot on Target Rendah</v>
      </c>
      <c r="W735" t="str">
        <f t="shared" si="118"/>
        <v>Fouls Tinggi</v>
      </c>
      <c r="X735" t="str">
        <f t="shared" si="119"/>
        <v>Corner Rendah</v>
      </c>
      <c r="Y735" t="str">
        <f t="shared" si="115"/>
        <v>Yellow Card Rendah</v>
      </c>
      <c r="Z735" t="str">
        <f t="shared" si="116"/>
        <v>Red Card Rendah</v>
      </c>
    </row>
    <row r="736" spans="1:26" x14ac:dyDescent="0.25">
      <c r="A736" t="s">
        <v>52</v>
      </c>
      <c r="B736">
        <v>1</v>
      </c>
      <c r="C736">
        <v>34</v>
      </c>
      <c r="D736">
        <v>284</v>
      </c>
      <c r="E736">
        <v>188</v>
      </c>
      <c r="F736">
        <v>1</v>
      </c>
      <c r="G736" t="s">
        <v>40</v>
      </c>
      <c r="H736">
        <v>1</v>
      </c>
      <c r="I736" t="s">
        <v>40</v>
      </c>
      <c r="J736">
        <v>6</v>
      </c>
      <c r="K736">
        <v>3</v>
      </c>
      <c r="L736">
        <v>12</v>
      </c>
      <c r="M736">
        <v>0</v>
      </c>
      <c r="N736">
        <v>3</v>
      </c>
      <c r="O736">
        <v>1</v>
      </c>
      <c r="Q736" t="str">
        <f t="shared" si="110"/>
        <v>xG Sangat Sedikit</v>
      </c>
      <c r="R736" t="str">
        <f t="shared" si="111"/>
        <v>Possession Sangat Sedikit</v>
      </c>
      <c r="S736" t="str">
        <f t="shared" si="112"/>
        <v>Total Pass Sangat Sedikit</v>
      </c>
      <c r="T736" t="str">
        <f t="shared" si="113"/>
        <v>Pass Sukses Sangat Sedikit</v>
      </c>
      <c r="U736" t="str">
        <f t="shared" si="114"/>
        <v>Total Shot Sangat Sedikit</v>
      </c>
      <c r="V736" t="str">
        <f t="shared" si="117"/>
        <v>Shot on Target Rendah</v>
      </c>
      <c r="W736" t="str">
        <f t="shared" si="118"/>
        <v>Fouls Tinggi</v>
      </c>
      <c r="X736" t="str">
        <f t="shared" si="119"/>
        <v>Corner Rendah</v>
      </c>
      <c r="Y736" t="str">
        <f t="shared" si="115"/>
        <v>Yellow Card Tinggi</v>
      </c>
      <c r="Z736" t="str">
        <f t="shared" si="116"/>
        <v>Red Card Tinggi</v>
      </c>
    </row>
    <row r="737" spans="1:26" x14ac:dyDescent="0.25">
      <c r="A737" t="s">
        <v>57</v>
      </c>
      <c r="B737">
        <v>0.7</v>
      </c>
      <c r="C737">
        <v>55</v>
      </c>
      <c r="D737">
        <v>540</v>
      </c>
      <c r="E737">
        <v>455</v>
      </c>
      <c r="F737">
        <v>0</v>
      </c>
      <c r="G737" t="s">
        <v>35</v>
      </c>
      <c r="H737">
        <v>0</v>
      </c>
      <c r="I737" t="s">
        <v>35</v>
      </c>
      <c r="J737">
        <v>10</v>
      </c>
      <c r="K737">
        <v>3</v>
      </c>
      <c r="L737">
        <v>13</v>
      </c>
      <c r="M737">
        <v>8</v>
      </c>
      <c r="N737">
        <v>2</v>
      </c>
      <c r="O737">
        <v>1</v>
      </c>
      <c r="Q737" t="str">
        <f t="shared" si="110"/>
        <v>xG Sangat Sedikit</v>
      </c>
      <c r="R737" t="str">
        <f t="shared" si="111"/>
        <v>Possession Cukup Banyak</v>
      </c>
      <c r="S737" t="str">
        <f t="shared" si="112"/>
        <v>Total Pass Cukup Banyak</v>
      </c>
      <c r="T737" t="str">
        <f t="shared" si="113"/>
        <v>Pass Sukses Cukup Banyak</v>
      </c>
      <c r="U737" t="str">
        <f t="shared" si="114"/>
        <v>Total Shot Sangat Sedikit</v>
      </c>
      <c r="V737" t="str">
        <f t="shared" si="117"/>
        <v>Shot on Target Rendah</v>
      </c>
      <c r="W737" t="str">
        <f t="shared" si="118"/>
        <v>Fouls Tinggi</v>
      </c>
      <c r="X737" t="str">
        <f t="shared" si="119"/>
        <v>Corner Tinggi</v>
      </c>
      <c r="Y737" t="str">
        <f t="shared" si="115"/>
        <v>Yellow Card Rendah</v>
      </c>
      <c r="Z737" t="str">
        <f t="shared" si="116"/>
        <v>Red Card Tinggi</v>
      </c>
    </row>
    <row r="738" spans="1:26" x14ac:dyDescent="0.25">
      <c r="A738" t="s">
        <v>51</v>
      </c>
      <c r="B738">
        <v>1.7</v>
      </c>
      <c r="C738">
        <v>48</v>
      </c>
      <c r="D738">
        <v>505</v>
      </c>
      <c r="E738">
        <v>422</v>
      </c>
      <c r="F738">
        <v>2</v>
      </c>
      <c r="G738" t="s">
        <v>40</v>
      </c>
      <c r="H738">
        <v>1</v>
      </c>
      <c r="I738" t="s">
        <v>40</v>
      </c>
      <c r="J738">
        <v>9</v>
      </c>
      <c r="K738">
        <v>4</v>
      </c>
      <c r="L738">
        <v>13</v>
      </c>
      <c r="M738">
        <v>5</v>
      </c>
      <c r="N738">
        <v>1</v>
      </c>
      <c r="O738">
        <v>0</v>
      </c>
      <c r="Q738" t="str">
        <f t="shared" si="110"/>
        <v>xG Cukup Sedikit</v>
      </c>
      <c r="R738" t="str">
        <f t="shared" si="111"/>
        <v>Possession Cukup Sedikit</v>
      </c>
      <c r="S738" t="str">
        <f t="shared" si="112"/>
        <v>Total Pass Cukup Sedikit</v>
      </c>
      <c r="T738" t="str">
        <f t="shared" si="113"/>
        <v>Pass Sukses Cukup Sedikit</v>
      </c>
      <c r="U738" t="str">
        <f t="shared" si="114"/>
        <v>Total Shot Sangat Sedikit</v>
      </c>
      <c r="V738" t="str">
        <f t="shared" si="117"/>
        <v>Shot on Target Normal</v>
      </c>
      <c r="W738" t="str">
        <f t="shared" si="118"/>
        <v>Fouls Tinggi</v>
      </c>
      <c r="X738" t="str">
        <f t="shared" si="119"/>
        <v>Corner Normal</v>
      </c>
      <c r="Y738" t="str">
        <f t="shared" si="115"/>
        <v>Yellow Card Rendah</v>
      </c>
      <c r="Z738" t="str">
        <f t="shared" si="116"/>
        <v>Red Card Rendah</v>
      </c>
    </row>
    <row r="739" spans="1:26" x14ac:dyDescent="0.25">
      <c r="A739" t="s">
        <v>59</v>
      </c>
      <c r="B739">
        <v>1.1000000000000001</v>
      </c>
      <c r="C739">
        <v>45</v>
      </c>
      <c r="D739">
        <v>385</v>
      </c>
      <c r="E739">
        <v>298</v>
      </c>
      <c r="F739">
        <v>2</v>
      </c>
      <c r="G739" t="s">
        <v>36</v>
      </c>
      <c r="H739">
        <v>1</v>
      </c>
      <c r="I739" t="s">
        <v>36</v>
      </c>
      <c r="J739">
        <v>10</v>
      </c>
      <c r="K739">
        <v>6</v>
      </c>
      <c r="L739">
        <v>11</v>
      </c>
      <c r="M739">
        <v>4</v>
      </c>
      <c r="N739">
        <v>3</v>
      </c>
      <c r="O739">
        <v>0</v>
      </c>
      <c r="Q739" t="str">
        <f t="shared" si="110"/>
        <v>xG Sangat Sedikit</v>
      </c>
      <c r="R739" t="str">
        <f t="shared" si="111"/>
        <v>Possession Cukup Sedikit</v>
      </c>
      <c r="S739" t="str">
        <f t="shared" si="112"/>
        <v>Total Pass Cukup Sedikit</v>
      </c>
      <c r="T739" t="str">
        <f t="shared" si="113"/>
        <v>Pass Sukses Cukup Sedikit</v>
      </c>
      <c r="U739" t="str">
        <f t="shared" si="114"/>
        <v>Total Shot Sangat Sedikit</v>
      </c>
      <c r="V739" t="str">
        <f t="shared" si="117"/>
        <v>Shot on Target Tinggi</v>
      </c>
      <c r="W739" t="str">
        <f t="shared" si="118"/>
        <v>Fouls Normal</v>
      </c>
      <c r="X739" t="str">
        <f t="shared" si="119"/>
        <v>Corner Rendah</v>
      </c>
      <c r="Y739" t="str">
        <f t="shared" si="115"/>
        <v>Yellow Card Tinggi</v>
      </c>
      <c r="Z739" t="str">
        <f t="shared" si="116"/>
        <v>Red Card Rendah</v>
      </c>
    </row>
    <row r="740" spans="1:26" x14ac:dyDescent="0.25">
      <c r="A740" t="s">
        <v>55</v>
      </c>
      <c r="B740">
        <v>3.3</v>
      </c>
      <c r="C740">
        <v>52</v>
      </c>
      <c r="D740">
        <v>455</v>
      </c>
      <c r="E740">
        <v>359</v>
      </c>
      <c r="F740">
        <v>2</v>
      </c>
      <c r="G740" t="s">
        <v>40</v>
      </c>
      <c r="H740">
        <v>1</v>
      </c>
      <c r="I740" t="s">
        <v>40</v>
      </c>
      <c r="J740">
        <v>23</v>
      </c>
      <c r="K740">
        <v>10</v>
      </c>
      <c r="L740">
        <v>10</v>
      </c>
      <c r="M740">
        <v>8</v>
      </c>
      <c r="N740">
        <v>1</v>
      </c>
      <c r="O740">
        <v>0</v>
      </c>
      <c r="Q740" t="str">
        <f t="shared" si="110"/>
        <v>xG Cukup Banyak</v>
      </c>
      <c r="R740" t="str">
        <f t="shared" si="111"/>
        <v>Possession Cukup Banyak</v>
      </c>
      <c r="S740" t="str">
        <f t="shared" si="112"/>
        <v>Total Pass Cukup Sedikit</v>
      </c>
      <c r="T740" t="str">
        <f t="shared" si="113"/>
        <v>Pass Sukses Cukup Sedikit</v>
      </c>
      <c r="U740" t="str">
        <f t="shared" si="114"/>
        <v>Total Shot Cukup Banyak</v>
      </c>
      <c r="V740" t="str">
        <f t="shared" si="117"/>
        <v>Shot on Target Tinggi</v>
      </c>
      <c r="W740" t="str">
        <f t="shared" si="118"/>
        <v>Fouls Normal</v>
      </c>
      <c r="X740" t="str">
        <f t="shared" si="119"/>
        <v>Corner Tinggi</v>
      </c>
      <c r="Y740" t="str">
        <f t="shared" si="115"/>
        <v>Yellow Card Rendah</v>
      </c>
      <c r="Z740" t="str">
        <f t="shared" si="116"/>
        <v>Red Card Rendah</v>
      </c>
    </row>
    <row r="741" spans="1:26" x14ac:dyDescent="0.25">
      <c r="A741" t="s">
        <v>42</v>
      </c>
      <c r="B741">
        <v>2.6</v>
      </c>
      <c r="C741">
        <v>55</v>
      </c>
      <c r="D741">
        <v>478</v>
      </c>
      <c r="E741">
        <v>402</v>
      </c>
      <c r="F741">
        <v>2</v>
      </c>
      <c r="G741" t="s">
        <v>36</v>
      </c>
      <c r="H741">
        <v>0</v>
      </c>
      <c r="I741" t="s">
        <v>35</v>
      </c>
      <c r="J741">
        <v>15</v>
      </c>
      <c r="K741">
        <v>7</v>
      </c>
      <c r="L741">
        <v>10</v>
      </c>
      <c r="M741">
        <v>1</v>
      </c>
      <c r="N741">
        <v>1</v>
      </c>
      <c r="O741">
        <v>1</v>
      </c>
      <c r="Q741" t="str">
        <f t="shared" si="110"/>
        <v>xG Cukup Sedikit</v>
      </c>
      <c r="R741" t="str">
        <f t="shared" si="111"/>
        <v>Possession Cukup Banyak</v>
      </c>
      <c r="S741" t="str">
        <f t="shared" si="112"/>
        <v>Total Pass Cukup Sedikit</v>
      </c>
      <c r="T741" t="str">
        <f t="shared" si="113"/>
        <v>Pass Sukses Cukup Sedikit</v>
      </c>
      <c r="U741" t="str">
        <f t="shared" si="114"/>
        <v>Total Shot Cukup Sedikit</v>
      </c>
      <c r="V741" t="str">
        <f t="shared" si="117"/>
        <v>Shot on Target Tinggi</v>
      </c>
      <c r="W741" t="str">
        <f t="shared" si="118"/>
        <v>Fouls Normal</v>
      </c>
      <c r="X741" t="str">
        <f t="shared" si="119"/>
        <v>Corner Rendah</v>
      </c>
      <c r="Y741" t="str">
        <f t="shared" si="115"/>
        <v>Yellow Card Rendah</v>
      </c>
      <c r="Z741" t="str">
        <f t="shared" si="116"/>
        <v>Red Card Tinggi</v>
      </c>
    </row>
    <row r="742" spans="1:26" x14ac:dyDescent="0.25">
      <c r="A742" t="s">
        <v>60</v>
      </c>
      <c r="B742">
        <v>0.5</v>
      </c>
      <c r="C742">
        <v>33</v>
      </c>
      <c r="D742">
        <v>305</v>
      </c>
      <c r="E742">
        <v>241</v>
      </c>
      <c r="F742">
        <v>0</v>
      </c>
      <c r="G742" t="s">
        <v>35</v>
      </c>
      <c r="H742">
        <v>0</v>
      </c>
      <c r="I742" t="s">
        <v>36</v>
      </c>
      <c r="J742">
        <v>3</v>
      </c>
      <c r="K742">
        <v>1</v>
      </c>
      <c r="L742">
        <v>12</v>
      </c>
      <c r="M742">
        <v>1</v>
      </c>
      <c r="N742">
        <v>2</v>
      </c>
      <c r="O742">
        <v>0</v>
      </c>
      <c r="Q742" t="str">
        <f t="shared" si="110"/>
        <v>xG Sangat Sedikit</v>
      </c>
      <c r="R742" t="str">
        <f t="shared" si="111"/>
        <v>Possession Sangat Sedikit</v>
      </c>
      <c r="S742" t="str">
        <f t="shared" si="112"/>
        <v>Total Pass Sangat Sedikit</v>
      </c>
      <c r="T742" t="str">
        <f t="shared" si="113"/>
        <v>Pass Sukses Sangat Sedikit</v>
      </c>
      <c r="U742" t="str">
        <f t="shared" si="114"/>
        <v>Total Shot Sangat Sedikit</v>
      </c>
      <c r="V742" t="str">
        <f t="shared" si="117"/>
        <v>Shot on Target Rendah</v>
      </c>
      <c r="W742" t="str">
        <f t="shared" si="118"/>
        <v>Fouls Tinggi</v>
      </c>
      <c r="X742" t="str">
        <f t="shared" si="119"/>
        <v>Corner Rendah</v>
      </c>
      <c r="Y742" t="str">
        <f t="shared" si="115"/>
        <v>Yellow Card Rendah</v>
      </c>
      <c r="Z742" t="str">
        <f t="shared" si="116"/>
        <v>Red Card Rendah</v>
      </c>
    </row>
    <row r="743" spans="1:26" x14ac:dyDescent="0.25">
      <c r="A743" t="s">
        <v>33</v>
      </c>
      <c r="B743">
        <v>0.3</v>
      </c>
      <c r="C743">
        <v>53</v>
      </c>
      <c r="D743">
        <v>505</v>
      </c>
      <c r="E743">
        <v>405</v>
      </c>
      <c r="F743">
        <v>0</v>
      </c>
      <c r="G743" t="s">
        <v>35</v>
      </c>
      <c r="H743">
        <v>0</v>
      </c>
      <c r="I743" t="s">
        <v>36</v>
      </c>
      <c r="J743">
        <v>4</v>
      </c>
      <c r="K743">
        <v>1</v>
      </c>
      <c r="L743">
        <v>14</v>
      </c>
      <c r="M743">
        <v>2</v>
      </c>
      <c r="N743">
        <v>6</v>
      </c>
      <c r="O743">
        <v>0</v>
      </c>
      <c r="Q743" t="str">
        <f t="shared" si="110"/>
        <v>xG Sangat Sedikit</v>
      </c>
      <c r="R743" t="str">
        <f t="shared" si="111"/>
        <v>Possession Cukup Banyak</v>
      </c>
      <c r="S743" t="str">
        <f t="shared" si="112"/>
        <v>Total Pass Cukup Sedikit</v>
      </c>
      <c r="T743" t="str">
        <f t="shared" si="113"/>
        <v>Pass Sukses Cukup Sedikit</v>
      </c>
      <c r="U743" t="str">
        <f t="shared" si="114"/>
        <v>Total Shot Sangat Sedikit</v>
      </c>
      <c r="V743" t="str">
        <f t="shared" si="117"/>
        <v>Shot on Target Rendah</v>
      </c>
      <c r="W743" t="str">
        <f t="shared" si="118"/>
        <v>Fouls Tinggi</v>
      </c>
      <c r="X743" t="str">
        <f t="shared" si="119"/>
        <v>Corner Rendah</v>
      </c>
      <c r="Y743" t="str">
        <f t="shared" si="115"/>
        <v>Yellow Card Tinggi</v>
      </c>
      <c r="Z743" t="str">
        <f t="shared" si="116"/>
        <v>Red Card Rendah</v>
      </c>
    </row>
    <row r="744" spans="1:26" x14ac:dyDescent="0.25">
      <c r="A744" t="s">
        <v>47</v>
      </c>
      <c r="B744">
        <v>1.2</v>
      </c>
      <c r="C744">
        <v>50</v>
      </c>
      <c r="D744">
        <v>543</v>
      </c>
      <c r="E744">
        <v>463</v>
      </c>
      <c r="F744">
        <v>0</v>
      </c>
      <c r="G744" t="s">
        <v>35</v>
      </c>
      <c r="H744">
        <v>0</v>
      </c>
      <c r="I744" t="s">
        <v>35</v>
      </c>
      <c r="J744">
        <v>6</v>
      </c>
      <c r="K744">
        <v>2</v>
      </c>
      <c r="L744">
        <v>10</v>
      </c>
      <c r="M744">
        <v>5</v>
      </c>
      <c r="N744">
        <v>1</v>
      </c>
      <c r="O744">
        <v>0</v>
      </c>
      <c r="Q744" t="str">
        <f t="shared" si="110"/>
        <v>xG Sangat Sedikit</v>
      </c>
      <c r="R744" t="str">
        <f t="shared" si="111"/>
        <v>Possession Cukup Sedikit</v>
      </c>
      <c r="S744" t="str">
        <f t="shared" si="112"/>
        <v>Total Pass Cukup Banyak</v>
      </c>
      <c r="T744" t="str">
        <f t="shared" si="113"/>
        <v>Pass Sukses Cukup Banyak</v>
      </c>
      <c r="U744" t="str">
        <f t="shared" si="114"/>
        <v>Total Shot Sangat Sedikit</v>
      </c>
      <c r="V744" t="str">
        <f t="shared" si="117"/>
        <v>Shot on Target Rendah</v>
      </c>
      <c r="W744" t="str">
        <f t="shared" si="118"/>
        <v>Fouls Normal</v>
      </c>
      <c r="X744" t="str">
        <f t="shared" si="119"/>
        <v>Corner Normal</v>
      </c>
      <c r="Y744" t="str">
        <f t="shared" si="115"/>
        <v>Yellow Card Rendah</v>
      </c>
      <c r="Z744" t="str">
        <f t="shared" si="116"/>
        <v>Red Card Rendah</v>
      </c>
    </row>
    <row r="745" spans="1:26" x14ac:dyDescent="0.25">
      <c r="A745" t="s">
        <v>48</v>
      </c>
      <c r="B745">
        <v>1.9</v>
      </c>
      <c r="C745">
        <v>40</v>
      </c>
      <c r="D745">
        <v>371</v>
      </c>
      <c r="E745">
        <v>277</v>
      </c>
      <c r="F745">
        <v>2</v>
      </c>
      <c r="G745" t="s">
        <v>40</v>
      </c>
      <c r="H745">
        <v>1</v>
      </c>
      <c r="I745" t="s">
        <v>40</v>
      </c>
      <c r="J745">
        <v>10</v>
      </c>
      <c r="K745">
        <v>5</v>
      </c>
      <c r="L745">
        <v>7</v>
      </c>
      <c r="M745">
        <v>7</v>
      </c>
      <c r="N745">
        <v>3</v>
      </c>
      <c r="O745">
        <v>0</v>
      </c>
      <c r="Q745" t="str">
        <f t="shared" si="110"/>
        <v>xG Cukup Sedikit</v>
      </c>
      <c r="R745" t="str">
        <f t="shared" si="111"/>
        <v>Possession Cukup Sedikit</v>
      </c>
      <c r="S745" t="str">
        <f t="shared" si="112"/>
        <v>Total Pass Cukup Sedikit</v>
      </c>
      <c r="T745" t="str">
        <f t="shared" si="113"/>
        <v>Pass Sukses Sangat Sedikit</v>
      </c>
      <c r="U745" t="str">
        <f t="shared" si="114"/>
        <v>Total Shot Sangat Sedikit</v>
      </c>
      <c r="V745" t="str">
        <f t="shared" si="117"/>
        <v>Shot on Target Tinggi</v>
      </c>
      <c r="W745" t="str">
        <f t="shared" si="118"/>
        <v>Fouls Rendah</v>
      </c>
      <c r="X745" t="str">
        <f t="shared" si="119"/>
        <v>Corner Tinggi</v>
      </c>
      <c r="Y745" t="str">
        <f t="shared" si="115"/>
        <v>Yellow Card Tinggi</v>
      </c>
      <c r="Z745" t="str">
        <f t="shared" si="116"/>
        <v>Red Card Rendah</v>
      </c>
    </row>
    <row r="746" spans="1:26" x14ac:dyDescent="0.25">
      <c r="A746" t="s">
        <v>34</v>
      </c>
      <c r="B746">
        <v>1</v>
      </c>
      <c r="C746">
        <v>49</v>
      </c>
      <c r="D746">
        <v>400</v>
      </c>
      <c r="E746">
        <v>328</v>
      </c>
      <c r="F746">
        <v>3</v>
      </c>
      <c r="G746" t="s">
        <v>40</v>
      </c>
      <c r="H746">
        <v>1</v>
      </c>
      <c r="I746" t="s">
        <v>35</v>
      </c>
      <c r="J746">
        <v>16</v>
      </c>
      <c r="K746">
        <v>7</v>
      </c>
      <c r="L746">
        <v>8</v>
      </c>
      <c r="M746">
        <v>3</v>
      </c>
      <c r="N746">
        <v>4</v>
      </c>
      <c r="O746">
        <v>0</v>
      </c>
      <c r="Q746" t="str">
        <f t="shared" si="110"/>
        <v>xG Sangat Sedikit</v>
      </c>
      <c r="R746" t="str">
        <f t="shared" si="111"/>
        <v>Possession Cukup Sedikit</v>
      </c>
      <c r="S746" t="str">
        <f t="shared" si="112"/>
        <v>Total Pass Cukup Sedikit</v>
      </c>
      <c r="T746" t="str">
        <f t="shared" si="113"/>
        <v>Pass Sukses Cukup Sedikit</v>
      </c>
      <c r="U746" t="str">
        <f t="shared" si="114"/>
        <v>Total Shot Cukup Sedikit</v>
      </c>
      <c r="V746" t="str">
        <f t="shared" si="117"/>
        <v>Shot on Target Tinggi</v>
      </c>
      <c r="W746" t="str">
        <f t="shared" si="118"/>
        <v>Fouls Rendah</v>
      </c>
      <c r="X746" t="str">
        <f t="shared" si="119"/>
        <v>Corner Rendah</v>
      </c>
      <c r="Y746" t="str">
        <f t="shared" si="115"/>
        <v>Yellow Card Tinggi</v>
      </c>
      <c r="Z746" t="str">
        <f t="shared" si="116"/>
        <v>Red Card Rendah</v>
      </c>
    </row>
    <row r="747" spans="1:26" x14ac:dyDescent="0.25">
      <c r="A747" t="s">
        <v>38</v>
      </c>
      <c r="B747">
        <v>1.4</v>
      </c>
      <c r="C747">
        <v>50</v>
      </c>
      <c r="D747">
        <v>478</v>
      </c>
      <c r="E747">
        <v>404</v>
      </c>
      <c r="F747">
        <v>0</v>
      </c>
      <c r="G747" t="s">
        <v>35</v>
      </c>
      <c r="H747">
        <v>0</v>
      </c>
      <c r="I747" t="s">
        <v>35</v>
      </c>
      <c r="J747">
        <v>20</v>
      </c>
      <c r="K747">
        <v>2</v>
      </c>
      <c r="L747">
        <v>12</v>
      </c>
      <c r="M747">
        <v>2</v>
      </c>
      <c r="N747">
        <v>0</v>
      </c>
      <c r="O747">
        <v>0</v>
      </c>
      <c r="Q747" t="str">
        <f t="shared" si="110"/>
        <v>xG Sangat Sedikit</v>
      </c>
      <c r="R747" t="str">
        <f t="shared" si="111"/>
        <v>Possession Cukup Sedikit</v>
      </c>
      <c r="S747" t="str">
        <f t="shared" si="112"/>
        <v>Total Pass Cukup Sedikit</v>
      </c>
      <c r="T747" t="str">
        <f t="shared" si="113"/>
        <v>Pass Sukses Cukup Sedikit</v>
      </c>
      <c r="U747" t="str">
        <f t="shared" si="114"/>
        <v>Total Shot Cukup Banyak</v>
      </c>
      <c r="V747" t="str">
        <f t="shared" si="117"/>
        <v>Shot on Target Rendah</v>
      </c>
      <c r="W747" t="str">
        <f t="shared" si="118"/>
        <v>Fouls Tinggi</v>
      </c>
      <c r="X747" t="str">
        <f t="shared" si="119"/>
        <v>Corner Rendah</v>
      </c>
      <c r="Y747" t="str">
        <f t="shared" si="115"/>
        <v>Yellow Card Rendah</v>
      </c>
      <c r="Z747" t="str">
        <f t="shared" si="116"/>
        <v>Red Card Rendah</v>
      </c>
    </row>
    <row r="748" spans="1:26" x14ac:dyDescent="0.25">
      <c r="A748" t="s">
        <v>46</v>
      </c>
      <c r="B748">
        <v>1.5</v>
      </c>
      <c r="C748">
        <v>49</v>
      </c>
      <c r="D748">
        <v>427</v>
      </c>
      <c r="E748">
        <v>338</v>
      </c>
      <c r="F748">
        <v>0</v>
      </c>
      <c r="G748" t="s">
        <v>35</v>
      </c>
      <c r="H748">
        <v>0</v>
      </c>
      <c r="I748" t="s">
        <v>36</v>
      </c>
      <c r="J748">
        <v>14</v>
      </c>
      <c r="K748">
        <v>5</v>
      </c>
      <c r="L748">
        <v>9</v>
      </c>
      <c r="M748">
        <v>7</v>
      </c>
      <c r="N748">
        <v>3</v>
      </c>
      <c r="O748">
        <v>0</v>
      </c>
      <c r="Q748" t="str">
        <f t="shared" si="110"/>
        <v>xG Cukup Sedikit</v>
      </c>
      <c r="R748" t="str">
        <f t="shared" si="111"/>
        <v>Possession Cukup Sedikit</v>
      </c>
      <c r="S748" t="str">
        <f t="shared" si="112"/>
        <v>Total Pass Cukup Sedikit</v>
      </c>
      <c r="T748" t="str">
        <f t="shared" si="113"/>
        <v>Pass Sukses Cukup Sedikit</v>
      </c>
      <c r="U748" t="str">
        <f t="shared" si="114"/>
        <v>Total Shot Cukup Sedikit</v>
      </c>
      <c r="V748" t="str">
        <f t="shared" si="117"/>
        <v>Shot on Target Tinggi</v>
      </c>
      <c r="W748" t="str">
        <f t="shared" si="118"/>
        <v>Fouls Normal</v>
      </c>
      <c r="X748" t="str">
        <f t="shared" si="119"/>
        <v>Corner Tinggi</v>
      </c>
      <c r="Y748" t="str">
        <f t="shared" si="115"/>
        <v>Yellow Card Tinggi</v>
      </c>
      <c r="Z748" t="str">
        <f t="shared" si="116"/>
        <v>Red Card Rendah</v>
      </c>
    </row>
    <row r="749" spans="1:26" x14ac:dyDescent="0.25">
      <c r="A749" t="s">
        <v>39</v>
      </c>
      <c r="B749">
        <v>2.2000000000000002</v>
      </c>
      <c r="C749">
        <v>51</v>
      </c>
      <c r="D749">
        <v>501</v>
      </c>
      <c r="E749">
        <v>432</v>
      </c>
      <c r="F749">
        <v>2</v>
      </c>
      <c r="G749" t="s">
        <v>35</v>
      </c>
      <c r="H749">
        <v>2</v>
      </c>
      <c r="I749" t="s">
        <v>40</v>
      </c>
      <c r="J749">
        <v>18</v>
      </c>
      <c r="K749">
        <v>5</v>
      </c>
      <c r="L749">
        <v>8</v>
      </c>
      <c r="M749">
        <v>3</v>
      </c>
      <c r="N749">
        <v>0</v>
      </c>
      <c r="O749">
        <v>0</v>
      </c>
      <c r="Q749" t="str">
        <f t="shared" si="110"/>
        <v>xG Cukup Sedikit</v>
      </c>
      <c r="R749" t="str">
        <f t="shared" si="111"/>
        <v>Possession Cukup Banyak</v>
      </c>
      <c r="S749" t="str">
        <f t="shared" si="112"/>
        <v>Total Pass Cukup Sedikit</v>
      </c>
      <c r="T749" t="str">
        <f t="shared" si="113"/>
        <v>Pass Sukses Cukup Sedikit</v>
      </c>
      <c r="U749" t="str">
        <f t="shared" si="114"/>
        <v>Total Shot Cukup Sedikit</v>
      </c>
      <c r="V749" t="str">
        <f t="shared" si="117"/>
        <v>Shot on Target Tinggi</v>
      </c>
      <c r="W749" t="str">
        <f t="shared" si="118"/>
        <v>Fouls Rendah</v>
      </c>
      <c r="X749" t="str">
        <f t="shared" si="119"/>
        <v>Corner Rendah</v>
      </c>
      <c r="Y749" t="str">
        <f t="shared" si="115"/>
        <v>Yellow Card Rendah</v>
      </c>
      <c r="Z749" t="str">
        <f t="shared" si="116"/>
        <v>Red Card Rendah</v>
      </c>
    </row>
    <row r="750" spans="1:26" x14ac:dyDescent="0.25">
      <c r="A750" t="s">
        <v>43</v>
      </c>
      <c r="B750">
        <v>1.4</v>
      </c>
      <c r="C750">
        <v>69</v>
      </c>
      <c r="D750">
        <v>671</v>
      </c>
      <c r="E750">
        <v>577</v>
      </c>
      <c r="F750">
        <v>2</v>
      </c>
      <c r="G750" t="s">
        <v>35</v>
      </c>
      <c r="H750">
        <v>1</v>
      </c>
      <c r="I750" t="s">
        <v>35</v>
      </c>
      <c r="J750">
        <v>12</v>
      </c>
      <c r="K750">
        <v>3</v>
      </c>
      <c r="L750">
        <v>8</v>
      </c>
      <c r="M750">
        <v>10</v>
      </c>
      <c r="N750">
        <v>2</v>
      </c>
      <c r="O750">
        <v>0</v>
      </c>
      <c r="Q750" t="str">
        <f t="shared" si="110"/>
        <v>xG Sangat Sedikit</v>
      </c>
      <c r="R750" t="str">
        <f t="shared" si="111"/>
        <v>Possession Sangat Banyak</v>
      </c>
      <c r="S750" t="str">
        <f t="shared" si="112"/>
        <v>Total Pass Sangat Banyak</v>
      </c>
      <c r="T750" t="str">
        <f t="shared" si="113"/>
        <v>Pass Sukses Cukup Banyak</v>
      </c>
      <c r="U750" t="str">
        <f t="shared" si="114"/>
        <v>Total Shot Cukup Sedikit</v>
      </c>
      <c r="V750" t="str">
        <f t="shared" si="117"/>
        <v>Shot on Target Rendah</v>
      </c>
      <c r="W750" t="str">
        <f t="shared" si="118"/>
        <v>Fouls Rendah</v>
      </c>
      <c r="X750" t="str">
        <f t="shared" si="119"/>
        <v>Corner Tinggi</v>
      </c>
      <c r="Y750" t="str">
        <f t="shared" si="115"/>
        <v>Yellow Card Rendah</v>
      </c>
      <c r="Z750" t="str">
        <f t="shared" si="116"/>
        <v>Red Card Rendah</v>
      </c>
    </row>
    <row r="751" spans="1:26" x14ac:dyDescent="0.25">
      <c r="A751" t="s">
        <v>49</v>
      </c>
      <c r="B751">
        <v>1.1000000000000001</v>
      </c>
      <c r="C751">
        <v>43</v>
      </c>
      <c r="D751">
        <v>482</v>
      </c>
      <c r="E751">
        <v>401</v>
      </c>
      <c r="F751">
        <v>1</v>
      </c>
      <c r="G751" t="s">
        <v>35</v>
      </c>
      <c r="H751">
        <v>0</v>
      </c>
      <c r="I751" t="s">
        <v>35</v>
      </c>
      <c r="J751">
        <v>8</v>
      </c>
      <c r="K751">
        <v>2</v>
      </c>
      <c r="L751">
        <v>13</v>
      </c>
      <c r="M751">
        <v>1</v>
      </c>
      <c r="N751">
        <v>3</v>
      </c>
      <c r="O751">
        <v>1</v>
      </c>
      <c r="Q751" t="str">
        <f t="shared" si="110"/>
        <v>xG Sangat Sedikit</v>
      </c>
      <c r="R751" t="str">
        <f t="shared" si="111"/>
        <v>Possession Cukup Sedikit</v>
      </c>
      <c r="S751" t="str">
        <f t="shared" si="112"/>
        <v>Total Pass Cukup Sedikit</v>
      </c>
      <c r="T751" t="str">
        <f t="shared" si="113"/>
        <v>Pass Sukses Cukup Sedikit</v>
      </c>
      <c r="U751" t="str">
        <f t="shared" si="114"/>
        <v>Total Shot Sangat Sedikit</v>
      </c>
      <c r="V751" t="str">
        <f t="shared" si="117"/>
        <v>Shot on Target Rendah</v>
      </c>
      <c r="W751" t="str">
        <f t="shared" si="118"/>
        <v>Fouls Tinggi</v>
      </c>
      <c r="X751" t="str">
        <f t="shared" si="119"/>
        <v>Corner Rendah</v>
      </c>
      <c r="Y751" t="str">
        <f t="shared" si="115"/>
        <v>Yellow Card Tinggi</v>
      </c>
      <c r="Z751" t="str">
        <f t="shared" si="116"/>
        <v>Red Card Tinggi</v>
      </c>
    </row>
    <row r="752" spans="1:26" x14ac:dyDescent="0.25">
      <c r="A752" t="s">
        <v>59</v>
      </c>
      <c r="B752">
        <v>0.3</v>
      </c>
      <c r="C752">
        <v>37</v>
      </c>
      <c r="D752">
        <v>322</v>
      </c>
      <c r="E752">
        <v>234</v>
      </c>
      <c r="F752">
        <v>0</v>
      </c>
      <c r="G752" t="s">
        <v>35</v>
      </c>
      <c r="H752">
        <v>0</v>
      </c>
      <c r="I752" t="s">
        <v>36</v>
      </c>
      <c r="J752">
        <v>3</v>
      </c>
      <c r="K752">
        <v>0</v>
      </c>
      <c r="L752">
        <v>16</v>
      </c>
      <c r="M752">
        <v>1</v>
      </c>
      <c r="N752">
        <v>2</v>
      </c>
      <c r="O752">
        <v>0</v>
      </c>
      <c r="Q752" t="str">
        <f t="shared" si="110"/>
        <v>xG Sangat Sedikit</v>
      </c>
      <c r="R752" t="str">
        <f t="shared" si="111"/>
        <v>Possession Cukup Sedikit</v>
      </c>
      <c r="S752" t="str">
        <f t="shared" si="112"/>
        <v>Total Pass Sangat Sedikit</v>
      </c>
      <c r="T752" t="str">
        <f t="shared" si="113"/>
        <v>Pass Sukses Sangat Sedikit</v>
      </c>
      <c r="U752" t="str">
        <f t="shared" si="114"/>
        <v>Total Shot Sangat Sedikit</v>
      </c>
      <c r="V752" t="str">
        <f t="shared" si="117"/>
        <v>Shot on Target Rendah</v>
      </c>
      <c r="W752" t="str">
        <f t="shared" si="118"/>
        <v>Fouls Tinggi</v>
      </c>
      <c r="X752" t="str">
        <f t="shared" si="119"/>
        <v>Corner Rendah</v>
      </c>
      <c r="Y752" t="str">
        <f t="shared" si="115"/>
        <v>Yellow Card Rendah</v>
      </c>
      <c r="Z752" t="str">
        <f t="shared" si="116"/>
        <v>Red Card Rendah</v>
      </c>
    </row>
    <row r="753" spans="1:26" x14ac:dyDescent="0.25">
      <c r="A753" t="s">
        <v>58</v>
      </c>
      <c r="B753">
        <v>3</v>
      </c>
      <c r="C753">
        <v>53</v>
      </c>
      <c r="D753">
        <v>539</v>
      </c>
      <c r="E753">
        <v>448</v>
      </c>
      <c r="F753">
        <v>2</v>
      </c>
      <c r="G753" t="s">
        <v>40</v>
      </c>
      <c r="H753">
        <v>1</v>
      </c>
      <c r="I753" t="s">
        <v>40</v>
      </c>
      <c r="J753">
        <v>20</v>
      </c>
      <c r="K753">
        <v>5</v>
      </c>
      <c r="L753">
        <v>5</v>
      </c>
      <c r="M753">
        <v>6</v>
      </c>
      <c r="N753">
        <v>0</v>
      </c>
      <c r="O753">
        <v>0</v>
      </c>
      <c r="Q753" t="str">
        <f t="shared" si="110"/>
        <v>xG Cukup Banyak</v>
      </c>
      <c r="R753" t="str">
        <f t="shared" si="111"/>
        <v>Possession Cukup Banyak</v>
      </c>
      <c r="S753" t="str">
        <f t="shared" si="112"/>
        <v>Total Pass Cukup Banyak</v>
      </c>
      <c r="T753" t="str">
        <f t="shared" si="113"/>
        <v>Pass Sukses Cukup Banyak</v>
      </c>
      <c r="U753" t="str">
        <f t="shared" si="114"/>
        <v>Total Shot Cukup Banyak</v>
      </c>
      <c r="V753" t="str">
        <f t="shared" si="117"/>
        <v>Shot on Target Tinggi</v>
      </c>
      <c r="W753" t="str">
        <f t="shared" si="118"/>
        <v>Fouls Rendah</v>
      </c>
      <c r="X753" t="str">
        <f t="shared" si="119"/>
        <v>Corner Tinggi</v>
      </c>
      <c r="Y753" t="str">
        <f t="shared" si="115"/>
        <v>Yellow Card Rendah</v>
      </c>
      <c r="Z753" t="str">
        <f t="shared" si="116"/>
        <v>Red Card Rendah</v>
      </c>
    </row>
    <row r="754" spans="1:26" x14ac:dyDescent="0.25">
      <c r="A754" t="s">
        <v>51</v>
      </c>
      <c r="B754">
        <v>1.1000000000000001</v>
      </c>
      <c r="C754">
        <v>58</v>
      </c>
      <c r="D754">
        <v>654</v>
      </c>
      <c r="E754">
        <v>564</v>
      </c>
      <c r="F754">
        <v>3</v>
      </c>
      <c r="G754" t="s">
        <v>40</v>
      </c>
      <c r="H754">
        <v>1</v>
      </c>
      <c r="I754" t="s">
        <v>40</v>
      </c>
      <c r="J754">
        <v>10</v>
      </c>
      <c r="K754">
        <v>6</v>
      </c>
      <c r="L754">
        <v>9</v>
      </c>
      <c r="M754">
        <v>0</v>
      </c>
      <c r="N754">
        <v>1</v>
      </c>
      <c r="O754">
        <v>0</v>
      </c>
      <c r="Q754" t="str">
        <f t="shared" si="110"/>
        <v>xG Sangat Sedikit</v>
      </c>
      <c r="R754" t="str">
        <f t="shared" si="111"/>
        <v>Possession Cukup Banyak</v>
      </c>
      <c r="S754" t="str">
        <f t="shared" si="112"/>
        <v>Total Pass Cukup Banyak</v>
      </c>
      <c r="T754" t="str">
        <f t="shared" si="113"/>
        <v>Pass Sukses Cukup Banyak</v>
      </c>
      <c r="U754" t="str">
        <f t="shared" si="114"/>
        <v>Total Shot Sangat Sedikit</v>
      </c>
      <c r="V754" t="str">
        <f t="shared" si="117"/>
        <v>Shot on Target Tinggi</v>
      </c>
      <c r="W754" t="str">
        <f t="shared" si="118"/>
        <v>Fouls Normal</v>
      </c>
      <c r="X754" t="str">
        <f t="shared" si="119"/>
        <v>Corner Rendah</v>
      </c>
      <c r="Y754" t="str">
        <f t="shared" si="115"/>
        <v>Yellow Card Rendah</v>
      </c>
      <c r="Z754" t="str">
        <f t="shared" si="116"/>
        <v>Red Card Rendah</v>
      </c>
    </row>
    <row r="755" spans="1:26" x14ac:dyDescent="0.25">
      <c r="A755" t="s">
        <v>55</v>
      </c>
      <c r="B755">
        <v>1.8</v>
      </c>
      <c r="C755">
        <v>31</v>
      </c>
      <c r="D755">
        <v>319</v>
      </c>
      <c r="E755">
        <v>224</v>
      </c>
      <c r="F755">
        <v>1</v>
      </c>
      <c r="G755" t="s">
        <v>36</v>
      </c>
      <c r="H755">
        <v>1</v>
      </c>
      <c r="I755" t="s">
        <v>40</v>
      </c>
      <c r="J755">
        <v>8</v>
      </c>
      <c r="K755">
        <v>5</v>
      </c>
      <c r="L755">
        <v>10</v>
      </c>
      <c r="M755">
        <v>0</v>
      </c>
      <c r="N755">
        <v>0</v>
      </c>
      <c r="O755">
        <v>0</v>
      </c>
      <c r="Q755" t="str">
        <f t="shared" si="110"/>
        <v>xG Cukup Sedikit</v>
      </c>
      <c r="R755" t="str">
        <f t="shared" si="111"/>
        <v>Possession Sangat Sedikit</v>
      </c>
      <c r="S755" t="str">
        <f t="shared" si="112"/>
        <v>Total Pass Sangat Sedikit</v>
      </c>
      <c r="T755" t="str">
        <f t="shared" si="113"/>
        <v>Pass Sukses Sangat Sedikit</v>
      </c>
      <c r="U755" t="str">
        <f t="shared" si="114"/>
        <v>Total Shot Sangat Sedikit</v>
      </c>
      <c r="V755" t="str">
        <f t="shared" si="117"/>
        <v>Shot on Target Tinggi</v>
      </c>
      <c r="W755" t="str">
        <f t="shared" si="118"/>
        <v>Fouls Normal</v>
      </c>
      <c r="X755" t="str">
        <f t="shared" si="119"/>
        <v>Corner Rendah</v>
      </c>
      <c r="Y755" t="str">
        <f t="shared" si="115"/>
        <v>Yellow Card Rendah</v>
      </c>
      <c r="Z755" t="str">
        <f t="shared" si="116"/>
        <v>Red Card Rendah</v>
      </c>
    </row>
    <row r="756" spans="1:26" x14ac:dyDescent="0.25">
      <c r="A756" t="s">
        <v>52</v>
      </c>
      <c r="B756">
        <v>0.4</v>
      </c>
      <c r="C756">
        <v>33</v>
      </c>
      <c r="D756">
        <v>322</v>
      </c>
      <c r="E756">
        <v>223</v>
      </c>
      <c r="F756">
        <v>0</v>
      </c>
      <c r="G756" t="s">
        <v>35</v>
      </c>
      <c r="H756">
        <v>0</v>
      </c>
      <c r="I756" t="s">
        <v>36</v>
      </c>
      <c r="J756">
        <v>6</v>
      </c>
      <c r="K756">
        <v>1</v>
      </c>
      <c r="L756">
        <v>10</v>
      </c>
      <c r="M756">
        <v>3</v>
      </c>
      <c r="N756">
        <v>2</v>
      </c>
      <c r="O756">
        <v>1</v>
      </c>
      <c r="Q756" t="str">
        <f t="shared" si="110"/>
        <v>xG Sangat Sedikit</v>
      </c>
      <c r="R756" t="str">
        <f t="shared" si="111"/>
        <v>Possession Sangat Sedikit</v>
      </c>
      <c r="S756" t="str">
        <f t="shared" si="112"/>
        <v>Total Pass Sangat Sedikit</v>
      </c>
      <c r="T756" t="str">
        <f t="shared" si="113"/>
        <v>Pass Sukses Sangat Sedikit</v>
      </c>
      <c r="U756" t="str">
        <f t="shared" si="114"/>
        <v>Total Shot Sangat Sedikit</v>
      </c>
      <c r="V756" t="str">
        <f t="shared" si="117"/>
        <v>Shot on Target Rendah</v>
      </c>
      <c r="W756" t="str">
        <f t="shared" si="118"/>
        <v>Fouls Normal</v>
      </c>
      <c r="X756" t="str">
        <f t="shared" si="119"/>
        <v>Corner Rendah</v>
      </c>
      <c r="Y756" t="str">
        <f t="shared" si="115"/>
        <v>Yellow Card Rendah</v>
      </c>
      <c r="Z756" t="str">
        <f t="shared" si="116"/>
        <v>Red Card Tinggi</v>
      </c>
    </row>
    <row r="757" spans="1:26" x14ac:dyDescent="0.25">
      <c r="A757" t="s">
        <v>44</v>
      </c>
      <c r="B757">
        <v>1.2</v>
      </c>
      <c r="C757">
        <v>35</v>
      </c>
      <c r="D757">
        <v>318</v>
      </c>
      <c r="E757">
        <v>240</v>
      </c>
      <c r="F757">
        <v>1</v>
      </c>
      <c r="G757" t="s">
        <v>40</v>
      </c>
      <c r="H757">
        <v>0</v>
      </c>
      <c r="I757" t="s">
        <v>36</v>
      </c>
      <c r="J757">
        <v>14</v>
      </c>
      <c r="K757">
        <v>6</v>
      </c>
      <c r="L757">
        <v>9</v>
      </c>
      <c r="M757">
        <v>3</v>
      </c>
      <c r="N757">
        <v>4</v>
      </c>
      <c r="O757">
        <v>0</v>
      </c>
      <c r="Q757" t="str">
        <f t="shared" si="110"/>
        <v>xG Sangat Sedikit</v>
      </c>
      <c r="R757" t="str">
        <f t="shared" si="111"/>
        <v>Possession Sangat Sedikit</v>
      </c>
      <c r="S757" t="str">
        <f t="shared" si="112"/>
        <v>Total Pass Sangat Sedikit</v>
      </c>
      <c r="T757" t="str">
        <f t="shared" si="113"/>
        <v>Pass Sukses Sangat Sedikit</v>
      </c>
      <c r="U757" t="str">
        <f t="shared" si="114"/>
        <v>Total Shot Cukup Sedikit</v>
      </c>
      <c r="V757" t="str">
        <f t="shared" si="117"/>
        <v>Shot on Target Tinggi</v>
      </c>
      <c r="W757" t="str">
        <f t="shared" si="118"/>
        <v>Fouls Normal</v>
      </c>
      <c r="X757" t="str">
        <f t="shared" si="119"/>
        <v>Corner Rendah</v>
      </c>
      <c r="Y757" t="str">
        <f t="shared" si="115"/>
        <v>Yellow Card Tinggi</v>
      </c>
      <c r="Z757" t="str">
        <f t="shared" si="116"/>
        <v>Red Card Rendah</v>
      </c>
    </row>
    <row r="758" spans="1:26" x14ac:dyDescent="0.25">
      <c r="A758" t="s">
        <v>57</v>
      </c>
      <c r="B758">
        <v>1.1000000000000001</v>
      </c>
      <c r="C758">
        <v>48</v>
      </c>
      <c r="D758">
        <v>443</v>
      </c>
      <c r="E758">
        <v>347</v>
      </c>
      <c r="F758">
        <v>1</v>
      </c>
      <c r="G758" t="s">
        <v>40</v>
      </c>
      <c r="H758">
        <v>0</v>
      </c>
      <c r="I758" t="s">
        <v>36</v>
      </c>
      <c r="J758">
        <v>6</v>
      </c>
      <c r="K758">
        <v>2</v>
      </c>
      <c r="L758">
        <v>11</v>
      </c>
      <c r="M758">
        <v>4</v>
      </c>
      <c r="N758">
        <v>2</v>
      </c>
      <c r="O758">
        <v>0</v>
      </c>
      <c r="Q758" t="str">
        <f t="shared" si="110"/>
        <v>xG Sangat Sedikit</v>
      </c>
      <c r="R758" t="str">
        <f t="shared" si="111"/>
        <v>Possession Cukup Sedikit</v>
      </c>
      <c r="S758" t="str">
        <f t="shared" si="112"/>
        <v>Total Pass Cukup Sedikit</v>
      </c>
      <c r="T758" t="str">
        <f t="shared" si="113"/>
        <v>Pass Sukses Cukup Sedikit</v>
      </c>
      <c r="U758" t="str">
        <f t="shared" si="114"/>
        <v>Total Shot Sangat Sedikit</v>
      </c>
      <c r="V758" t="str">
        <f t="shared" si="117"/>
        <v>Shot on Target Rendah</v>
      </c>
      <c r="W758" t="str">
        <f t="shared" si="118"/>
        <v>Fouls Normal</v>
      </c>
      <c r="X758" t="str">
        <f t="shared" si="119"/>
        <v>Corner Rendah</v>
      </c>
      <c r="Y758" t="str">
        <f t="shared" si="115"/>
        <v>Yellow Card Rendah</v>
      </c>
      <c r="Z758" t="str">
        <f t="shared" si="116"/>
        <v>Red Card Rendah</v>
      </c>
    </row>
    <row r="759" spans="1:26" x14ac:dyDescent="0.25">
      <c r="A759" t="s">
        <v>42</v>
      </c>
      <c r="B759">
        <v>2.2999999999999998</v>
      </c>
      <c r="C759">
        <v>62</v>
      </c>
      <c r="D759">
        <v>581</v>
      </c>
      <c r="E759">
        <v>509</v>
      </c>
      <c r="F759">
        <v>2</v>
      </c>
      <c r="G759" t="s">
        <v>40</v>
      </c>
      <c r="H759">
        <v>1</v>
      </c>
      <c r="I759" t="s">
        <v>40</v>
      </c>
      <c r="J759">
        <v>23</v>
      </c>
      <c r="K759">
        <v>8</v>
      </c>
      <c r="L759">
        <v>8</v>
      </c>
      <c r="M759">
        <v>8</v>
      </c>
      <c r="N759">
        <v>0</v>
      </c>
      <c r="O759">
        <v>0</v>
      </c>
      <c r="Q759" t="str">
        <f t="shared" si="110"/>
        <v>xG Cukup Sedikit</v>
      </c>
      <c r="R759" t="str">
        <f t="shared" si="111"/>
        <v>Possession Cukup Banyak</v>
      </c>
      <c r="S759" t="str">
        <f t="shared" si="112"/>
        <v>Total Pass Cukup Banyak</v>
      </c>
      <c r="T759" t="str">
        <f t="shared" si="113"/>
        <v>Pass Sukses Cukup Banyak</v>
      </c>
      <c r="U759" t="str">
        <f t="shared" si="114"/>
        <v>Total Shot Cukup Banyak</v>
      </c>
      <c r="V759" t="str">
        <f t="shared" si="117"/>
        <v>Shot on Target Tinggi</v>
      </c>
      <c r="W759" t="str">
        <f t="shared" si="118"/>
        <v>Fouls Rendah</v>
      </c>
      <c r="X759" t="str">
        <f t="shared" si="119"/>
        <v>Corner Tinggi</v>
      </c>
      <c r="Y759" t="str">
        <f t="shared" si="115"/>
        <v>Yellow Card Rendah</v>
      </c>
      <c r="Z759" t="str">
        <f t="shared" si="116"/>
        <v>Red Card Rendah</v>
      </c>
    </row>
    <row r="760" spans="1:26" x14ac:dyDescent="0.25">
      <c r="A760" t="s">
        <v>45</v>
      </c>
      <c r="B760">
        <v>2.2000000000000002</v>
      </c>
      <c r="C760">
        <v>66</v>
      </c>
      <c r="D760">
        <v>592</v>
      </c>
      <c r="E760">
        <v>509</v>
      </c>
      <c r="F760">
        <v>4</v>
      </c>
      <c r="G760" t="s">
        <v>40</v>
      </c>
      <c r="H760">
        <v>0</v>
      </c>
      <c r="I760" t="s">
        <v>35</v>
      </c>
      <c r="J760">
        <v>23</v>
      </c>
      <c r="K760">
        <v>8</v>
      </c>
      <c r="L760">
        <v>8</v>
      </c>
      <c r="M760">
        <v>11</v>
      </c>
      <c r="N760">
        <v>1</v>
      </c>
      <c r="O760">
        <v>0</v>
      </c>
      <c r="Q760" t="str">
        <f t="shared" si="110"/>
        <v>xG Cukup Sedikit</v>
      </c>
      <c r="R760" t="str">
        <f t="shared" si="111"/>
        <v>Possession Sangat Banyak</v>
      </c>
      <c r="S760" t="str">
        <f t="shared" si="112"/>
        <v>Total Pass Cukup Banyak</v>
      </c>
      <c r="T760" t="str">
        <f t="shared" si="113"/>
        <v>Pass Sukses Cukup Banyak</v>
      </c>
      <c r="U760" t="str">
        <f t="shared" si="114"/>
        <v>Total Shot Cukup Banyak</v>
      </c>
      <c r="V760" t="str">
        <f t="shared" si="117"/>
        <v>Shot on Target Tinggi</v>
      </c>
      <c r="W760" t="str">
        <f t="shared" si="118"/>
        <v>Fouls Rendah</v>
      </c>
      <c r="X760" t="str">
        <f t="shared" si="119"/>
        <v>Corner Tinggi</v>
      </c>
      <c r="Y760" t="str">
        <f t="shared" si="115"/>
        <v>Yellow Card Rendah</v>
      </c>
      <c r="Z760" t="str">
        <f t="shared" si="116"/>
        <v>Red Card Rendah</v>
      </c>
    </row>
    <row r="761" spans="1:26" x14ac:dyDescent="0.25">
      <c r="A761" t="s">
        <v>54</v>
      </c>
      <c r="B761">
        <v>1.4</v>
      </c>
      <c r="C761">
        <v>51</v>
      </c>
      <c r="D761">
        <v>490</v>
      </c>
      <c r="E761">
        <v>402</v>
      </c>
      <c r="F761">
        <v>1</v>
      </c>
      <c r="G761" t="s">
        <v>36</v>
      </c>
      <c r="H761">
        <v>1</v>
      </c>
      <c r="I761" t="s">
        <v>40</v>
      </c>
      <c r="J761">
        <v>13</v>
      </c>
      <c r="K761">
        <v>7</v>
      </c>
      <c r="L761">
        <v>9</v>
      </c>
      <c r="M761">
        <v>3</v>
      </c>
      <c r="N761">
        <v>1</v>
      </c>
      <c r="O761">
        <v>0</v>
      </c>
      <c r="Q761" t="str">
        <f t="shared" si="110"/>
        <v>xG Sangat Sedikit</v>
      </c>
      <c r="R761" t="str">
        <f t="shared" si="111"/>
        <v>Possession Cukup Banyak</v>
      </c>
      <c r="S761" t="str">
        <f t="shared" si="112"/>
        <v>Total Pass Cukup Sedikit</v>
      </c>
      <c r="T761" t="str">
        <f t="shared" si="113"/>
        <v>Pass Sukses Cukup Sedikit</v>
      </c>
      <c r="U761" t="str">
        <f t="shared" si="114"/>
        <v>Total Shot Cukup Sedikit</v>
      </c>
      <c r="V761" t="str">
        <f t="shared" si="117"/>
        <v>Shot on Target Tinggi</v>
      </c>
      <c r="W761" t="str">
        <f t="shared" si="118"/>
        <v>Fouls Normal</v>
      </c>
      <c r="X761" t="str">
        <f t="shared" si="119"/>
        <v>Corner Rendah</v>
      </c>
      <c r="Y761" t="str">
        <f t="shared" si="115"/>
        <v>Yellow Card Rendah</v>
      </c>
      <c r="Z761" t="str">
        <f t="shared" si="116"/>
        <v>Red Card Rendah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5A5E4-7986-4F3B-94CB-BACFA63ADBF2}">
  <dimension ref="A1:K28"/>
  <sheetViews>
    <sheetView tabSelected="1" workbookViewId="0">
      <selection activeCell="H27" sqref="H27"/>
    </sheetView>
  </sheetViews>
  <sheetFormatPr defaultRowHeight="15" x14ac:dyDescent="0.25"/>
  <cols>
    <col min="1" max="1" width="15.42578125" bestFit="1" customWidth="1"/>
    <col min="5" max="5" width="32" bestFit="1" customWidth="1"/>
    <col min="6" max="6" width="11.7109375" bestFit="1" customWidth="1"/>
    <col min="7" max="7" width="16.140625" bestFit="1" customWidth="1"/>
    <col min="8" max="8" width="11.140625" bestFit="1" customWidth="1"/>
    <col min="10" max="11" width="11.7109375" bestFit="1" customWidth="1"/>
  </cols>
  <sheetData>
    <row r="1" spans="1:11" x14ac:dyDescent="0.25">
      <c r="A1" t="s">
        <v>117</v>
      </c>
      <c r="B1" t="s">
        <v>72</v>
      </c>
      <c r="C1" t="s">
        <v>110</v>
      </c>
      <c r="D1" t="s">
        <v>118</v>
      </c>
      <c r="F1" t="s">
        <v>72</v>
      </c>
      <c r="G1" t="s">
        <v>110</v>
      </c>
      <c r="H1" t="s">
        <v>118</v>
      </c>
    </row>
    <row r="2" spans="1:11" x14ac:dyDescent="0.25">
      <c r="A2" t="s">
        <v>33</v>
      </c>
      <c r="B2">
        <v>55</v>
      </c>
      <c r="C2" s="11">
        <v>82.061068702290072</v>
      </c>
      <c r="D2" t="s">
        <v>119</v>
      </c>
      <c r="F2" t="str">
        <f>_xlfn.LET(
    _xlpm.x, B2,
    _xlpm.min, MIN($B$2:$B$11),
    _xlpm.max, MAX($B$2:$B$11),
    _xlpm.persen, IF(_xlpm.max=_xlpm.min,0,(_xlpm.x-_xlpm.min)/(_xlpm.max-_xlpm.min)*100),
    IF(_xlpm.persen&lt;=50,"Poss Sedikit","Poss Banyak")
)</f>
        <v>Poss Banyak</v>
      </c>
      <c r="G2" t="str">
        <f>_xlfn.LET(
    _xlpm.x, C2,
    _xlpm.min, MIN($C$2:$C$11),
    _xlpm.max, MAX($C$2:$C$11),
    _xlpm.persen, IF(_xlpm.max=_xlpm.min,0,(_xlpm.x-_xlpm.min)/(_xlpm.max-_xlpm.min)*100),
    IF(_xlpm.persen&lt;=50,"Pass Rate Sedikit","Pass Rate Banyak")
)</f>
        <v>Pass Rate Banyak</v>
      </c>
      <c r="H2" t="s">
        <v>119</v>
      </c>
      <c r="J2" t="str">
        <f>_xlfn.LET(
    _xlpm.x, B2,
    _xlpm.avg, AVERAGE(B$2:B$11),
    IF(_xlpm.x&lt;_xlpm.avg,"Poss Sedikit","Poss Banyak")
)</f>
        <v>Poss Banyak</v>
      </c>
      <c r="K2" t="str">
        <f>_xlfn.LET(
    _xlpm.x, C2,
    _xlpm.avg, AVERAGE(C$2:C$11),
    IF(_xlpm.x&lt;_xlpm.avg,"Poss Sedikit","Poss Banyak")
)</f>
        <v>Poss Banyak</v>
      </c>
    </row>
    <row r="3" spans="1:11" x14ac:dyDescent="0.25">
      <c r="A3" t="s">
        <v>38</v>
      </c>
      <c r="B3">
        <v>38</v>
      </c>
      <c r="C3" s="11">
        <v>76.115485564304464</v>
      </c>
      <c r="D3" t="s">
        <v>120</v>
      </c>
      <c r="F3" t="str">
        <f t="shared" ref="F3:F11" si="0">_xlfn.LET(
    _xlpm.x, B3,
    _xlpm.min, MIN($B$2:$B$11),
    _xlpm.max, MAX($B$2:$B$11),
    _xlpm.persen, IF(_xlpm.max=_xlpm.min,0,(_xlpm.x-_xlpm.min)/(_xlpm.max-_xlpm.min)*100),
    IF(_xlpm.persen&lt;=50,"Poss Sedikit","Poss Banyak")
)</f>
        <v>Poss Sedikit</v>
      </c>
      <c r="G3" t="str">
        <f t="shared" ref="G3:G11" si="1">_xlfn.LET(
    _xlpm.x, C3,
    _xlpm.min, MIN($C$2:$C$11),
    _xlpm.max, MAX($C$2:$C$11),
    _xlpm.persen, IF(_xlpm.max=_xlpm.min,0,(_xlpm.x-_xlpm.min)/(_xlpm.max-_xlpm.min)*100),
    IF(_xlpm.persen&lt;=50,"Pass Rate Sedikit","Pass Rate Banyak")
)</f>
        <v>Pass Rate Banyak</v>
      </c>
      <c r="H3" t="s">
        <v>120</v>
      </c>
      <c r="J3" t="str">
        <f t="shared" ref="J3:J11" si="2">_xlfn.LET(
    _xlpm.x, B3,
    _xlpm.avg, AVERAGE($B$2:$B$11),
    IF(_xlpm.x&lt;_xlpm.avg,"Poss Sedikit","Poss Banyak")
)</f>
        <v>Poss Sedikit</v>
      </c>
      <c r="K3" t="str">
        <f>_xlfn.LET(
    _xlpm.x, C3,
    _xlpm.avg, AVERAGE(C$2:C$11),
    IF(_xlpm.x&lt;_xlpm.avg,"Poss Sedikit","Poss Banyak")
)</f>
        <v>Poss Sedikit</v>
      </c>
    </row>
    <row r="4" spans="1:11" x14ac:dyDescent="0.25">
      <c r="A4" t="s">
        <v>42</v>
      </c>
      <c r="B4">
        <v>53</v>
      </c>
      <c r="C4" s="11">
        <v>83.406113537117903</v>
      </c>
      <c r="D4" t="s">
        <v>119</v>
      </c>
      <c r="F4" t="str">
        <f t="shared" si="0"/>
        <v>Poss Banyak</v>
      </c>
      <c r="G4" t="str">
        <f t="shared" si="1"/>
        <v>Pass Rate Banyak</v>
      </c>
      <c r="H4" t="s">
        <v>119</v>
      </c>
      <c r="J4" t="str">
        <f t="shared" si="2"/>
        <v>Poss Banyak</v>
      </c>
      <c r="K4" t="str">
        <f t="shared" ref="K3:K11" si="3">_xlfn.LET(
    _xlpm.x, C4,
    _xlpm.avg, AVERAGE(C$2:C$11),
    IF(_xlpm.x&lt;_xlpm.avg,"Poss Sedikit","Poss Banyak")
)</f>
        <v>Poss Banyak</v>
      </c>
    </row>
    <row r="5" spans="1:11" x14ac:dyDescent="0.25">
      <c r="A5" t="s">
        <v>44</v>
      </c>
      <c r="B5">
        <v>40</v>
      </c>
      <c r="C5" s="11">
        <v>74.686716791979947</v>
      </c>
      <c r="D5" t="s">
        <v>120</v>
      </c>
      <c r="F5" t="str">
        <f t="shared" si="0"/>
        <v>Poss Banyak</v>
      </c>
      <c r="G5" t="str">
        <f t="shared" si="1"/>
        <v>Pass Rate Banyak</v>
      </c>
      <c r="H5" t="s">
        <v>120</v>
      </c>
      <c r="J5" t="str">
        <f t="shared" si="2"/>
        <v>Poss Sedikit</v>
      </c>
      <c r="K5" t="str">
        <f t="shared" si="3"/>
        <v>Poss Sedikit</v>
      </c>
    </row>
    <row r="6" spans="1:11" x14ac:dyDescent="0.25">
      <c r="A6" t="s">
        <v>46</v>
      </c>
      <c r="B6">
        <v>23</v>
      </c>
      <c r="C6" s="11">
        <v>61.835748792270529</v>
      </c>
      <c r="D6" t="s">
        <v>119</v>
      </c>
      <c r="F6" t="str">
        <f t="shared" si="0"/>
        <v>Poss Sedikit</v>
      </c>
      <c r="G6" t="str">
        <f t="shared" si="1"/>
        <v>Pass Rate Sedikit</v>
      </c>
      <c r="H6" t="s">
        <v>119</v>
      </c>
      <c r="J6" t="str">
        <f t="shared" si="2"/>
        <v>Poss Sedikit</v>
      </c>
      <c r="K6" t="str">
        <f t="shared" si="3"/>
        <v>Poss Sedikit</v>
      </c>
    </row>
    <row r="7" spans="1:11" x14ac:dyDescent="0.25">
      <c r="A7" t="s">
        <v>48</v>
      </c>
      <c r="B7">
        <v>53</v>
      </c>
      <c r="C7" s="11">
        <v>77.348066298342545</v>
      </c>
      <c r="D7" t="s">
        <v>121</v>
      </c>
      <c r="F7" t="str">
        <f t="shared" si="0"/>
        <v>Poss Banyak</v>
      </c>
      <c r="G7" t="str">
        <f t="shared" si="1"/>
        <v>Pass Rate Banyak</v>
      </c>
      <c r="H7" t="s">
        <v>121</v>
      </c>
      <c r="J7" t="str">
        <f t="shared" si="2"/>
        <v>Poss Banyak</v>
      </c>
      <c r="K7" t="str">
        <f t="shared" si="3"/>
        <v>Poss Sedikit</v>
      </c>
    </row>
    <row r="8" spans="1:11" x14ac:dyDescent="0.25">
      <c r="A8" t="s">
        <v>51</v>
      </c>
      <c r="B8">
        <v>52</v>
      </c>
      <c r="C8" s="11">
        <v>81.25</v>
      </c>
      <c r="D8" t="s">
        <v>120</v>
      </c>
      <c r="F8" t="str">
        <f t="shared" si="0"/>
        <v>Poss Banyak</v>
      </c>
      <c r="G8" t="str">
        <f t="shared" si="1"/>
        <v>Pass Rate Banyak</v>
      </c>
      <c r="H8" t="s">
        <v>120</v>
      </c>
      <c r="J8" t="str">
        <f t="shared" si="2"/>
        <v>Poss Banyak</v>
      </c>
      <c r="K8" t="str">
        <f t="shared" si="3"/>
        <v>Poss Banyak</v>
      </c>
    </row>
    <row r="9" spans="1:11" x14ac:dyDescent="0.25">
      <c r="A9" t="s">
        <v>54</v>
      </c>
      <c r="B9">
        <v>46</v>
      </c>
      <c r="C9" s="11">
        <v>75.227272727272734</v>
      </c>
      <c r="D9" t="s">
        <v>119</v>
      </c>
      <c r="F9" t="str">
        <f t="shared" si="0"/>
        <v>Poss Banyak</v>
      </c>
      <c r="G9" t="str">
        <f t="shared" si="1"/>
        <v>Pass Rate Banyak</v>
      </c>
      <c r="H9" t="s">
        <v>119</v>
      </c>
      <c r="J9" t="str">
        <f t="shared" si="2"/>
        <v>Poss Banyak</v>
      </c>
      <c r="K9" t="str">
        <f t="shared" si="3"/>
        <v>Poss Sedikit</v>
      </c>
    </row>
    <row r="10" spans="1:11" x14ac:dyDescent="0.25">
      <c r="A10" t="s">
        <v>57</v>
      </c>
      <c r="B10">
        <v>48</v>
      </c>
      <c r="C10" s="11">
        <v>86.817325800376636</v>
      </c>
      <c r="D10" t="s">
        <v>120</v>
      </c>
      <c r="F10" t="str">
        <f t="shared" si="0"/>
        <v>Poss Banyak</v>
      </c>
      <c r="G10" t="str">
        <f t="shared" si="1"/>
        <v>Pass Rate Banyak</v>
      </c>
      <c r="H10" t="s">
        <v>120</v>
      </c>
      <c r="J10" t="str">
        <f t="shared" si="2"/>
        <v>Poss Banyak</v>
      </c>
      <c r="K10" t="str">
        <f t="shared" si="3"/>
        <v>Poss Banyak</v>
      </c>
    </row>
    <row r="11" spans="1:11" x14ac:dyDescent="0.25">
      <c r="A11" t="s">
        <v>59</v>
      </c>
      <c r="B11">
        <v>30</v>
      </c>
      <c r="C11" s="11">
        <v>75.718849840255587</v>
      </c>
      <c r="D11" t="s">
        <v>121</v>
      </c>
      <c r="F11" t="str">
        <f t="shared" si="0"/>
        <v>Poss Sedikit</v>
      </c>
      <c r="G11" t="str">
        <f t="shared" si="1"/>
        <v>Pass Rate Banyak</v>
      </c>
      <c r="H11" t="s">
        <v>121</v>
      </c>
      <c r="J11" t="str">
        <f t="shared" si="2"/>
        <v>Poss Sedikit</v>
      </c>
      <c r="K11" t="str">
        <f t="shared" si="3"/>
        <v>Poss Sedikit</v>
      </c>
    </row>
    <row r="13" spans="1:11" x14ac:dyDescent="0.25">
      <c r="F13">
        <f>COUNTIF(F2:F11,"Poss Sedikit")/COUNTA(F2:F11)*100</f>
        <v>30</v>
      </c>
      <c r="G13">
        <f>COUNTIF(G2:G11,"Pass Rate Sedikit")/COUNTA(G2:G11)*100</f>
        <v>10</v>
      </c>
      <c r="H13">
        <f>COUNTIF(H2:H11,"Win")/COUNTA(H2:H11)*100</f>
        <v>40</v>
      </c>
    </row>
    <row r="14" spans="1:11" x14ac:dyDescent="0.25">
      <c r="F14">
        <f>COUNTIF(F2:F11,"Poss Banyak")/COUNTA(F2:F11)*100</f>
        <v>70</v>
      </c>
      <c r="G14">
        <v>90</v>
      </c>
      <c r="H14">
        <f>COUNTIF(H2:H11,"Lose")/COUNTA(H2:H11)*100</f>
        <v>40</v>
      </c>
    </row>
    <row r="15" spans="1:11" x14ac:dyDescent="0.25">
      <c r="H15">
        <v>20</v>
      </c>
    </row>
    <row r="16" spans="1:11" x14ac:dyDescent="0.25">
      <c r="F16" t="s">
        <v>135</v>
      </c>
      <c r="G16" t="s">
        <v>136</v>
      </c>
      <c r="H16" t="s">
        <v>134</v>
      </c>
      <c r="I16" t="s">
        <v>137</v>
      </c>
    </row>
    <row r="17" spans="5:9" x14ac:dyDescent="0.25">
      <c r="E17" t="s">
        <v>122</v>
      </c>
      <c r="F17">
        <f>COUNTIFS($F$2:$F$11,"Poss Sedikit",G2:G11,"Pass Rate Sedikit",H2:H11,"Win")/COUNTA(F2:F11)*100</f>
        <v>10</v>
      </c>
      <c r="G17" s="9">
        <f>COUNTIFS($F$2:$F$11,"Poss Sedikit",G2:G11,"Pass Rate Sedikit")/COUNTA(F2:F11)*100</f>
        <v>10</v>
      </c>
      <c r="H17">
        <f>F17/$G$17*100</f>
        <v>100</v>
      </c>
      <c r="I17">
        <f>H17/H13</f>
        <v>2.5</v>
      </c>
    </row>
    <row r="18" spans="5:9" x14ac:dyDescent="0.25">
      <c r="E18" t="s">
        <v>124</v>
      </c>
      <c r="F18">
        <f>COUNTIFS($F$2:$F$11,"Poss Sedikit",$G$2:$G$11,"Pass Rate Sedikit",$H$2:$H$11,"Draw")/COUNTA($F$2:$F$11)*100</f>
        <v>0</v>
      </c>
      <c r="H18">
        <f>F18/$G$17*100</f>
        <v>0</v>
      </c>
      <c r="I18">
        <f t="shared" ref="I18:I19" si="4">H18/H14</f>
        <v>0</v>
      </c>
    </row>
    <row r="19" spans="5:9" x14ac:dyDescent="0.25">
      <c r="E19" t="s">
        <v>125</v>
      </c>
      <c r="F19">
        <f>COUNTIFS($F$2:$F$11,"Poss Sedikit",$G$2:$G$11,"Pass Rate Sedikit",$H$2:$H$11,"Lose")/COUNTA($F$2:$F$11)*100</f>
        <v>0</v>
      </c>
      <c r="H19">
        <f>F19/$G$17*100</f>
        <v>0</v>
      </c>
      <c r="I19">
        <f t="shared" si="4"/>
        <v>0</v>
      </c>
    </row>
    <row r="20" spans="5:9" x14ac:dyDescent="0.25">
      <c r="E20" t="s">
        <v>123</v>
      </c>
      <c r="F20">
        <f>COUNTIFS($F$2:$F$11,"Poss Sedikit",$G$2:$G$11,"Pass Rate Banyak",$H$2:$H$11,"Win")/COUNTA($F$2:$F$11)*100</f>
        <v>0</v>
      </c>
      <c r="G20" s="9">
        <f>COUNTIFS($F$2:$F$11,"Poss Sedikit",$G$2:$G$11,"Pass Rate Banyak")/COUNTA($F$2:$F$11)*100</f>
        <v>20</v>
      </c>
      <c r="H20">
        <f>F20/$G$20*100</f>
        <v>0</v>
      </c>
      <c r="I20">
        <f>H20/H13</f>
        <v>0</v>
      </c>
    </row>
    <row r="21" spans="5:9" x14ac:dyDescent="0.25">
      <c r="E21" t="s">
        <v>126</v>
      </c>
      <c r="F21">
        <f>COUNTIFS($F$2:$F$11,"Poss Sedikit",$G$2:$G$11,"Pass Rate Banyak",$H$2:$H$11,"Draw")/COUNTA($F$2:$F$11)*100</f>
        <v>10</v>
      </c>
      <c r="H21">
        <f t="shared" ref="H21:H22" si="5">F21/$G$20*100</f>
        <v>50</v>
      </c>
      <c r="I21">
        <f t="shared" ref="I21:I22" si="6">H21/H14</f>
        <v>1.25</v>
      </c>
    </row>
    <row r="22" spans="5:9" x14ac:dyDescent="0.25">
      <c r="E22" t="s">
        <v>127</v>
      </c>
      <c r="F22">
        <f>COUNTIFS($F$2:$F$11,"Poss Sedikit",G2:G11,"Pass Rate Banyak",H2:H11,"Lose")/COUNTA(F2:F11)*100</f>
        <v>10</v>
      </c>
      <c r="H22">
        <f t="shared" si="5"/>
        <v>50</v>
      </c>
      <c r="I22">
        <f t="shared" si="6"/>
        <v>2.5</v>
      </c>
    </row>
    <row r="23" spans="5:9" x14ac:dyDescent="0.25">
      <c r="E23" t="s">
        <v>128</v>
      </c>
      <c r="F23">
        <f>COUNTIFS($F$2:$F$11,"Poss Banyak",$G$2:$G$11,"Pass Rate Sedikit",$H$2:$H$11,"Win")/COUNTA($F$2:$F$11)*100</f>
        <v>0</v>
      </c>
      <c r="G23" s="9">
        <f>COUNTIFS($F$2:$F$11,"Poss Banyak",$G$2:$G$11,"Pass Rate Sedikit")/COUNTA($F$2:$F$11)*100</f>
        <v>0</v>
      </c>
      <c r="H23" t="e">
        <f>F23/$G$23*100</f>
        <v>#DIV/0!</v>
      </c>
      <c r="I23" t="e">
        <f>H23/H16</f>
        <v>#DIV/0!</v>
      </c>
    </row>
    <row r="24" spans="5:9" x14ac:dyDescent="0.25">
      <c r="E24" t="s">
        <v>129</v>
      </c>
      <c r="F24">
        <f>COUNTIFS($F$2:$F$11,"Poss Banyak",G2:G11,"Pass Rate Sedikit",H2:H11,"Draw")/COUNTA(F2:F11)*100</f>
        <v>0</v>
      </c>
      <c r="H24" t="e">
        <f t="shared" ref="H24:H25" si="7">F24/$G$23</f>
        <v>#DIV/0!</v>
      </c>
      <c r="I24" t="e">
        <f t="shared" ref="I24:I25" si="8">H24/H17</f>
        <v>#DIV/0!</v>
      </c>
    </row>
    <row r="25" spans="5:9" x14ac:dyDescent="0.25">
      <c r="E25" t="s">
        <v>130</v>
      </c>
      <c r="F25">
        <f>COUNTIFS($F$2:$F$11,"Poss Banyak",G2:G11,"Pass Rate Sedikit",H2:H11,"Lose")/COUNTA(F2:F11)*100</f>
        <v>0</v>
      </c>
      <c r="H25" t="e">
        <f t="shared" si="7"/>
        <v>#DIV/0!</v>
      </c>
      <c r="I25" t="e">
        <f t="shared" si="8"/>
        <v>#DIV/0!</v>
      </c>
    </row>
    <row r="26" spans="5:9" x14ac:dyDescent="0.25">
      <c r="E26" t="s">
        <v>131</v>
      </c>
      <c r="F26">
        <f>COUNTIFS($F$2:$F$11,"Poss Banyak",$G$2:$G$11,"Pass Rate Banyak",$H$2:$H$11,"Win")/COUNTA($F$2:$F$11)*100</f>
        <v>30</v>
      </c>
      <c r="G26" s="9">
        <f>COUNTIFS($F$2:$F$11,"Poss Banyak",$G$2:$G$11,"Pass Rate Banyak")/COUNTA($F$2:$F$11)*100</f>
        <v>70</v>
      </c>
      <c r="H26" s="7">
        <f>F26/$G$26*100</f>
        <v>42.857142857142854</v>
      </c>
      <c r="I26" s="7">
        <f>H26/H13</f>
        <v>1.0714285714285714</v>
      </c>
    </row>
    <row r="27" spans="5:9" x14ac:dyDescent="0.25">
      <c r="E27" t="s">
        <v>132</v>
      </c>
      <c r="F27">
        <f>COUNTIFS($F$2:$F$11,"Poss Banyak",G2:G11,"Pass Rate Banyak",H2:H11,"Draw")/COUNTA(F2:F11)*100</f>
        <v>10</v>
      </c>
      <c r="H27" s="7">
        <f t="shared" ref="H27:H28" si="9">F27/$G$26*100</f>
        <v>14.285714285714285</v>
      </c>
      <c r="I27" s="7">
        <f t="shared" ref="I27:I28" si="10">H27/H14</f>
        <v>0.3571428571428571</v>
      </c>
    </row>
    <row r="28" spans="5:9" x14ac:dyDescent="0.25">
      <c r="E28" t="s">
        <v>133</v>
      </c>
      <c r="F28">
        <f>COUNTIFS($F$2:$F$11,"Poss Banyak",G2:G11,"Pass Rate Banyak",H2:H11,"Lose")/COUNTA(F2:F11)*100</f>
        <v>30</v>
      </c>
      <c r="H28" s="7">
        <f t="shared" si="9"/>
        <v>42.857142857142854</v>
      </c>
      <c r="I28" s="7">
        <f t="shared" si="10"/>
        <v>2.1428571428571428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Hasil Match</vt:lpstr>
      <vt:lpstr>Per Team</vt:lpstr>
      <vt:lpstr>Elbow Method</vt:lpstr>
      <vt:lpstr>K-Means</vt:lpstr>
      <vt:lpstr>Z Score</vt:lpstr>
      <vt:lpstr>Silhouette</vt:lpstr>
      <vt:lpstr>Contoh Apriori</vt:lpstr>
      <vt:lpstr>Apriori</vt:lpstr>
      <vt:lpstr>Contoh Apriori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SOUWIKO</cp:lastModifiedBy>
  <dcterms:created xsi:type="dcterms:W3CDTF">2025-08-10T09:26:59Z</dcterms:created>
  <dcterms:modified xsi:type="dcterms:W3CDTF">2025-09-20T16:36:01Z</dcterms:modified>
</cp:coreProperties>
</file>