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definedNames>
    <definedName name="anncostpermember">Sheet1!$D$4</definedName>
    <definedName name="annfee">Sheet1!$D$5</definedName>
    <definedName name="annfixedcost">Sheet1!$D$6</definedName>
    <definedName name="buildcost">Sheet1!$D$3</definedName>
    <definedName name="discountrate">Sheet1!$D$9</definedName>
    <definedName name="newmembersperyear">Sheet1!$D$7</definedName>
    <definedName name="retentionrate">Sheet1!$D$8</definedName>
    <definedName name="taxrate">Sheet1!$D$11</definedName>
    <definedName name="workingcappercentage">Sheet1!$D$10</definedName>
  </definedNames>
  <calcPr calcId="145621"/>
</workbook>
</file>

<file path=xl/calcChain.xml><?xml version="1.0" encoding="utf-8"?>
<calcChain xmlns="http://schemas.openxmlformats.org/spreadsheetml/2006/main">
  <c r="G22" i="1" l="1"/>
  <c r="H22" i="1"/>
  <c r="I22" i="1"/>
  <c r="J22" i="1"/>
  <c r="K22" i="1"/>
  <c r="L22" i="1"/>
  <c r="M22" i="1"/>
  <c r="N22" i="1"/>
  <c r="O22" i="1"/>
  <c r="F22" i="1"/>
  <c r="G20" i="1"/>
  <c r="H20" i="1"/>
  <c r="I20" i="1"/>
  <c r="J20" i="1"/>
  <c r="K20" i="1"/>
  <c r="L20" i="1"/>
  <c r="M20" i="1"/>
  <c r="N20" i="1"/>
  <c r="O20" i="1"/>
  <c r="F20" i="1"/>
  <c r="F16" i="1"/>
  <c r="F17" i="1"/>
  <c r="F18" i="1" s="1"/>
  <c r="H16" i="1"/>
  <c r="I16" i="1"/>
  <c r="J16" i="1"/>
  <c r="K16" i="1"/>
  <c r="L16" i="1"/>
  <c r="M16" i="1"/>
  <c r="N16" i="1"/>
  <c r="O16" i="1"/>
  <c r="G16" i="1"/>
  <c r="E14" i="1"/>
  <c r="E27" i="1" s="1"/>
  <c r="F19" i="1" l="1"/>
  <c r="G15" i="1"/>
  <c r="F21" i="1"/>
  <c r="F23" i="1" l="1"/>
  <c r="F24" i="1" s="1"/>
  <c r="G17" i="1"/>
  <c r="G18" i="1" s="1"/>
  <c r="H15" i="1" s="1"/>
  <c r="F25" i="1"/>
  <c r="F26" i="1" s="1"/>
  <c r="F27" i="1" l="1"/>
  <c r="H17" i="1"/>
  <c r="H18" i="1" s="1"/>
  <c r="I15" i="1" s="1"/>
  <c r="G21" i="1"/>
  <c r="G19" i="1"/>
  <c r="G23" i="1" l="1"/>
  <c r="G24" i="1" s="1"/>
  <c r="H21" i="1"/>
  <c r="I17" i="1"/>
  <c r="I18" i="1"/>
  <c r="J15" i="1" s="1"/>
  <c r="G25" i="1"/>
  <c r="G26" i="1" s="1"/>
  <c r="H19" i="1"/>
  <c r="I19" i="1" l="1"/>
  <c r="I25" i="1" s="1"/>
  <c r="H23" i="1"/>
  <c r="H24" i="1" s="1"/>
  <c r="J17" i="1"/>
  <c r="J18" i="1" s="1"/>
  <c r="K15" i="1" s="1"/>
  <c r="H25" i="1"/>
  <c r="H26" i="1" s="1"/>
  <c r="G27" i="1"/>
  <c r="I21" i="1"/>
  <c r="I23" i="1" l="1"/>
  <c r="I24" i="1" s="1"/>
  <c r="I26" i="1"/>
  <c r="H27" i="1"/>
  <c r="K17" i="1"/>
  <c r="K18" i="1" s="1"/>
  <c r="L15" i="1" s="1"/>
  <c r="J21" i="1"/>
  <c r="J19" i="1"/>
  <c r="I27" i="1" l="1"/>
  <c r="J23" i="1"/>
  <c r="J24" i="1" s="1"/>
  <c r="J25" i="1"/>
  <c r="J26" i="1" s="1"/>
  <c r="L17" i="1"/>
  <c r="L18" i="1" s="1"/>
  <c r="M15" i="1" s="1"/>
  <c r="K21" i="1"/>
  <c r="K19" i="1"/>
  <c r="J27" i="1" l="1"/>
  <c r="K23" i="1"/>
  <c r="K24" i="1" s="1"/>
  <c r="K25" i="1"/>
  <c r="K26" i="1" s="1"/>
  <c r="L21" i="1"/>
  <c r="L19" i="1"/>
  <c r="M17" i="1"/>
  <c r="M18" i="1" s="1"/>
  <c r="N15" i="1" s="1"/>
  <c r="L23" i="1" l="1"/>
  <c r="L24" i="1" s="1"/>
  <c r="M19" i="1"/>
  <c r="M25" i="1" s="1"/>
  <c r="M21" i="1"/>
  <c r="L25" i="1"/>
  <c r="L26" i="1" s="1"/>
  <c r="N17" i="1"/>
  <c r="N18" i="1" s="1"/>
  <c r="K27" i="1"/>
  <c r="M23" i="1" l="1"/>
  <c r="M24" i="1" s="1"/>
  <c r="L27" i="1"/>
  <c r="M26" i="1"/>
  <c r="O15" i="1"/>
  <c r="N19" i="1"/>
  <c r="N21" i="1"/>
  <c r="M27" i="1" l="1"/>
  <c r="N23" i="1"/>
  <c r="N24" i="1" s="1"/>
  <c r="N25" i="1"/>
  <c r="N26" i="1" s="1"/>
  <c r="O17" i="1"/>
  <c r="O18" i="1" s="1"/>
  <c r="O19" i="1" s="1"/>
  <c r="O25" i="1" l="1"/>
  <c r="O26" i="1" s="1"/>
  <c r="O21" i="1"/>
  <c r="O23" i="1" s="1"/>
  <c r="O24" i="1" s="1"/>
  <c r="N27" i="1"/>
  <c r="O27" i="1" l="1"/>
  <c r="F30" i="1" l="1"/>
  <c r="L2" i="1" s="1"/>
  <c r="F29" i="1"/>
  <c r="K2" i="1" s="1"/>
</calcChain>
</file>

<file path=xl/sharedStrings.xml><?xml version="1.0" encoding="utf-8"?>
<sst xmlns="http://schemas.openxmlformats.org/spreadsheetml/2006/main" count="29" uniqueCount="27">
  <si>
    <t>fixedcost</t>
  </si>
  <si>
    <t>anncostpermember</t>
  </si>
  <si>
    <t>annfee</t>
  </si>
  <si>
    <t>annfixedcost</t>
  </si>
  <si>
    <t>buildcost</t>
  </si>
  <si>
    <t>newmembersperyear</t>
  </si>
  <si>
    <t>discountrate</t>
  </si>
  <si>
    <t>workingcappercentage</t>
  </si>
  <si>
    <t>revenue</t>
  </si>
  <si>
    <t>beginning customers</t>
  </si>
  <si>
    <t>quits</t>
  </si>
  <si>
    <t>depreciation</t>
  </si>
  <si>
    <t>taxrate</t>
  </si>
  <si>
    <t>new customers</t>
  </si>
  <si>
    <t>end customers</t>
  </si>
  <si>
    <t>variable cost</t>
  </si>
  <si>
    <t>before tax profits</t>
  </si>
  <si>
    <t>after tax profits</t>
  </si>
  <si>
    <t>working capital</t>
  </si>
  <si>
    <t>change in working capital</t>
  </si>
  <si>
    <t>cash flow</t>
  </si>
  <si>
    <t>NPV</t>
  </si>
  <si>
    <t>retentionrate</t>
  </si>
  <si>
    <t>IRR</t>
  </si>
  <si>
    <t xml:space="preserve">retention </t>
  </si>
  <si>
    <t>rate</t>
  </si>
  <si>
    <t>Annual 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</si>
</sst>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1"/>
  <sheetViews>
    <sheetView tabSelected="1" zoomScale="90" zoomScaleNormal="90" workbookViewId="0">
      <selection activeCell="G7" sqref="G7"/>
    </sheetView>
  </sheetViews>
  <sheetFormatPr defaultRowHeight="15" x14ac:dyDescent="0.25"/>
  <cols>
    <col min="1" max="2" width="9.140625" style="1"/>
    <col min="3" max="3" width="23.42578125" style="1" customWidth="1"/>
    <col min="4" max="4" width="22.42578125" style="1" customWidth="1"/>
    <col min="5" max="5" width="13.140625" style="1" customWidth="1"/>
    <col min="6" max="8" width="13.5703125" style="1" bestFit="1" customWidth="1"/>
    <col min="9" max="9" width="13.42578125" style="1" customWidth="1"/>
    <col min="10" max="15" width="13.5703125" style="1" bestFit="1" customWidth="1"/>
    <col min="16" max="16384" width="9.140625" style="1"/>
  </cols>
  <sheetData>
    <row r="1" spans="3:15" x14ac:dyDescent="0.25">
      <c r="K1" s="1" t="s">
        <v>21</v>
      </c>
      <c r="L1" s="1" t="s">
        <v>23</v>
      </c>
    </row>
    <row r="2" spans="3:15" x14ac:dyDescent="0.25">
      <c r="K2" s="4">
        <f>F29</f>
        <v>4924240.4054994984</v>
      </c>
      <c r="L2" s="5">
        <f>F30</f>
        <v>0.61599746346473705</v>
      </c>
    </row>
    <row r="3" spans="3:15" x14ac:dyDescent="0.25">
      <c r="C3" s="1" t="s">
        <v>4</v>
      </c>
      <c r="D3" s="4">
        <v>900000</v>
      </c>
      <c r="J3" s="1">
        <v>0.7</v>
      </c>
      <c r="K3" s="4">
        <f t="dataTable" ref="K3:L8" dt2D="0" dtr="0" r1="D8"/>
        <v>3717373.1583788893</v>
      </c>
      <c r="L3" s="6">
        <v>0.55104244351387033</v>
      </c>
    </row>
    <row r="4" spans="3:15" x14ac:dyDescent="0.25">
      <c r="C4" s="1" t="s">
        <v>1</v>
      </c>
      <c r="D4" s="4">
        <v>100</v>
      </c>
      <c r="J4" s="1">
        <v>0.75</v>
      </c>
      <c r="K4" s="4">
        <v>4273371.9951207368</v>
      </c>
      <c r="L4" s="6">
        <v>0.58311380743980401</v>
      </c>
    </row>
    <row r="5" spans="3:15" x14ac:dyDescent="0.25">
      <c r="C5" s="1" t="s">
        <v>2</v>
      </c>
      <c r="D5" s="4">
        <v>400</v>
      </c>
      <c r="I5" s="1" t="s">
        <v>24</v>
      </c>
      <c r="J5" s="1">
        <v>0.8</v>
      </c>
      <c r="K5" s="4">
        <v>4924240.4054994984</v>
      </c>
      <c r="L5" s="6">
        <v>0.61599746346473705</v>
      </c>
    </row>
    <row r="6" spans="3:15" x14ac:dyDescent="0.25">
      <c r="C6" s="1" t="s">
        <v>3</v>
      </c>
      <c r="D6" s="4">
        <v>350000</v>
      </c>
      <c r="I6" s="1" t="s">
        <v>25</v>
      </c>
      <c r="J6" s="1">
        <v>0.85</v>
      </c>
      <c r="K6" s="4">
        <v>5689690.655342455</v>
      </c>
      <c r="L6" s="6">
        <v>0.64966220259666463</v>
      </c>
    </row>
    <row r="7" spans="3:15" x14ac:dyDescent="0.25">
      <c r="C7" s="1" t="s">
        <v>5</v>
      </c>
      <c r="D7" s="1">
        <v>1000</v>
      </c>
      <c r="J7" s="1">
        <v>0.9</v>
      </c>
      <c r="K7" s="4">
        <v>6593601.5998103153</v>
      </c>
      <c r="L7" s="6">
        <v>0.6840731441974639</v>
      </c>
    </row>
    <row r="8" spans="3:15" x14ac:dyDescent="0.25">
      <c r="C8" s="1" t="s">
        <v>22</v>
      </c>
      <c r="D8" s="1">
        <v>0.8</v>
      </c>
      <c r="J8" s="1">
        <v>0.95</v>
      </c>
      <c r="K8" s="4">
        <v>7664818.7981154574</v>
      </c>
      <c r="L8" s="6">
        <v>0.71919265985488878</v>
      </c>
    </row>
    <row r="9" spans="3:15" x14ac:dyDescent="0.25">
      <c r="C9" s="1" t="s">
        <v>6</v>
      </c>
      <c r="D9" s="1">
        <v>0.1</v>
      </c>
    </row>
    <row r="10" spans="3:15" x14ac:dyDescent="0.25">
      <c r="C10" s="1" t="s">
        <v>7</v>
      </c>
      <c r="D10" s="1">
        <v>0.1</v>
      </c>
    </row>
    <row r="11" spans="3:15" x14ac:dyDescent="0.25">
      <c r="C11" s="1" t="s">
        <v>12</v>
      </c>
      <c r="D11" s="1">
        <v>0.4</v>
      </c>
    </row>
    <row r="13" spans="3:15" x14ac:dyDescent="0.25">
      <c r="E13" s="2">
        <v>41640</v>
      </c>
      <c r="F13" s="2">
        <v>41821</v>
      </c>
      <c r="G13" s="2">
        <v>42186</v>
      </c>
      <c r="H13" s="2">
        <v>42552</v>
      </c>
      <c r="I13" s="2">
        <v>42917</v>
      </c>
      <c r="J13" s="2">
        <v>43282</v>
      </c>
      <c r="K13" s="2">
        <v>43647</v>
      </c>
      <c r="L13" s="2">
        <v>44013</v>
      </c>
      <c r="M13" s="2">
        <v>44378</v>
      </c>
      <c r="N13" s="2">
        <v>44743</v>
      </c>
      <c r="O13" s="2">
        <v>45108</v>
      </c>
    </row>
    <row r="14" spans="3:15" x14ac:dyDescent="0.25">
      <c r="D14" s="1" t="s">
        <v>0</v>
      </c>
      <c r="E14" s="4">
        <f>buildcost</f>
        <v>900000</v>
      </c>
    </row>
    <row r="15" spans="3:15" x14ac:dyDescent="0.25">
      <c r="D15" s="1" t="s">
        <v>9</v>
      </c>
      <c r="F15" s="1">
        <v>0</v>
      </c>
      <c r="G15" s="1">
        <f>F18</f>
        <v>1000</v>
      </c>
      <c r="H15" s="1">
        <f t="shared" ref="H15:O15" si="0">G18</f>
        <v>1800</v>
      </c>
      <c r="I15" s="1">
        <f t="shared" si="0"/>
        <v>2440</v>
      </c>
      <c r="J15" s="1">
        <f t="shared" si="0"/>
        <v>2952</v>
      </c>
      <c r="K15" s="1">
        <f t="shared" si="0"/>
        <v>3361.6000000000004</v>
      </c>
      <c r="L15" s="1">
        <f t="shared" si="0"/>
        <v>3689.2800000000007</v>
      </c>
      <c r="M15" s="1">
        <f t="shared" si="0"/>
        <v>3951.4240000000009</v>
      </c>
      <c r="N15" s="1">
        <f t="shared" si="0"/>
        <v>4161.1392000000005</v>
      </c>
      <c r="O15" s="1">
        <f t="shared" si="0"/>
        <v>4328.911360000001</v>
      </c>
    </row>
    <row r="16" spans="3:15" x14ac:dyDescent="0.25">
      <c r="D16" s="1" t="s">
        <v>13</v>
      </c>
      <c r="F16" s="1">
        <f t="shared" ref="F16:O16" si="1">newmembersperyear</f>
        <v>1000</v>
      </c>
      <c r="G16" s="1">
        <f t="shared" si="1"/>
        <v>1000</v>
      </c>
      <c r="H16" s="1">
        <f t="shared" si="1"/>
        <v>1000</v>
      </c>
      <c r="I16" s="1">
        <f t="shared" si="1"/>
        <v>1000</v>
      </c>
      <c r="J16" s="1">
        <f t="shared" si="1"/>
        <v>1000</v>
      </c>
      <c r="K16" s="1">
        <f t="shared" si="1"/>
        <v>1000</v>
      </c>
      <c r="L16" s="1">
        <f t="shared" si="1"/>
        <v>1000</v>
      </c>
      <c r="M16" s="1">
        <f t="shared" si="1"/>
        <v>1000</v>
      </c>
      <c r="N16" s="1">
        <f t="shared" si="1"/>
        <v>1000</v>
      </c>
      <c r="O16" s="1">
        <f t="shared" si="1"/>
        <v>1000</v>
      </c>
    </row>
    <row r="17" spans="3:16" x14ac:dyDescent="0.25">
      <c r="D17" s="1" t="s">
        <v>10</v>
      </c>
      <c r="F17" s="1">
        <f t="shared" ref="F17:O17" si="2">(1-retentionrate)*F15</f>
        <v>0</v>
      </c>
      <c r="G17" s="1">
        <f t="shared" si="2"/>
        <v>199.99999999999994</v>
      </c>
      <c r="H17" s="1">
        <f t="shared" si="2"/>
        <v>359.99999999999994</v>
      </c>
      <c r="I17" s="1">
        <f t="shared" si="2"/>
        <v>487.99999999999989</v>
      </c>
      <c r="J17" s="1">
        <f t="shared" si="2"/>
        <v>590.39999999999986</v>
      </c>
      <c r="K17" s="1">
        <f t="shared" si="2"/>
        <v>672.31999999999994</v>
      </c>
      <c r="L17" s="1">
        <f t="shared" si="2"/>
        <v>737.85599999999999</v>
      </c>
      <c r="M17" s="1">
        <f t="shared" si="2"/>
        <v>790.28480000000002</v>
      </c>
      <c r="N17" s="1">
        <f t="shared" si="2"/>
        <v>832.2278399999999</v>
      </c>
      <c r="O17" s="1">
        <f t="shared" si="2"/>
        <v>865.78227200000003</v>
      </c>
    </row>
    <row r="18" spans="3:16" x14ac:dyDescent="0.25">
      <c r="D18" s="1" t="s">
        <v>14</v>
      </c>
      <c r="F18" s="1">
        <f>F15+F16-F17</f>
        <v>1000</v>
      </c>
      <c r="G18" s="1">
        <f t="shared" ref="G18:O18" si="3">G15+G16-G17</f>
        <v>1800</v>
      </c>
      <c r="H18" s="1">
        <f t="shared" si="3"/>
        <v>2440</v>
      </c>
      <c r="I18" s="1">
        <f t="shared" si="3"/>
        <v>2952</v>
      </c>
      <c r="J18" s="1">
        <f t="shared" si="3"/>
        <v>3361.6000000000004</v>
      </c>
      <c r="K18" s="1">
        <f t="shared" si="3"/>
        <v>3689.2800000000007</v>
      </c>
      <c r="L18" s="1">
        <f t="shared" si="3"/>
        <v>3951.4240000000009</v>
      </c>
      <c r="M18" s="1">
        <f t="shared" si="3"/>
        <v>4161.1392000000005</v>
      </c>
      <c r="N18" s="1">
        <f t="shared" si="3"/>
        <v>4328.911360000001</v>
      </c>
      <c r="O18" s="1">
        <f t="shared" si="3"/>
        <v>4463.1290880000006</v>
      </c>
    </row>
    <row r="19" spans="3:16" x14ac:dyDescent="0.25">
      <c r="D19" s="1" t="s">
        <v>8</v>
      </c>
      <c r="F19" s="4">
        <f t="shared" ref="F19:O19" si="4">annfee*(F15+F18)</f>
        <v>400000</v>
      </c>
      <c r="G19" s="4">
        <f t="shared" si="4"/>
        <v>1120000</v>
      </c>
      <c r="H19" s="4">
        <f t="shared" si="4"/>
        <v>1696000</v>
      </c>
      <c r="I19" s="4">
        <f t="shared" si="4"/>
        <v>2156800</v>
      </c>
      <c r="J19" s="4">
        <f t="shared" si="4"/>
        <v>2525440</v>
      </c>
      <c r="K19" s="4">
        <f t="shared" si="4"/>
        <v>2820352.0000000005</v>
      </c>
      <c r="L19" s="4">
        <f t="shared" si="4"/>
        <v>3056281.6000000006</v>
      </c>
      <c r="M19" s="4">
        <f t="shared" si="4"/>
        <v>3245025.2800000007</v>
      </c>
      <c r="N19" s="4">
        <f t="shared" si="4"/>
        <v>3396020.2240000004</v>
      </c>
      <c r="O19" s="4">
        <f t="shared" si="4"/>
        <v>3516816.1792000006</v>
      </c>
      <c r="P19" s="4"/>
    </row>
    <row r="20" spans="3:16" x14ac:dyDescent="0.25">
      <c r="D20" s="1" t="s">
        <v>26</v>
      </c>
      <c r="F20" s="4">
        <f t="shared" ref="F20:O20" si="5">annfixedcost</f>
        <v>350000</v>
      </c>
      <c r="G20" s="4">
        <f t="shared" si="5"/>
        <v>350000</v>
      </c>
      <c r="H20" s="4">
        <f t="shared" si="5"/>
        <v>350000</v>
      </c>
      <c r="I20" s="4">
        <f t="shared" si="5"/>
        <v>350000</v>
      </c>
      <c r="J20" s="4">
        <f t="shared" si="5"/>
        <v>350000</v>
      </c>
      <c r="K20" s="4">
        <f t="shared" si="5"/>
        <v>350000</v>
      </c>
      <c r="L20" s="4">
        <f t="shared" si="5"/>
        <v>350000</v>
      </c>
      <c r="M20" s="4">
        <f t="shared" si="5"/>
        <v>350000</v>
      </c>
      <c r="N20" s="4">
        <f t="shared" si="5"/>
        <v>350000</v>
      </c>
      <c r="O20" s="4">
        <f t="shared" si="5"/>
        <v>350000</v>
      </c>
      <c r="P20" s="4"/>
    </row>
    <row r="21" spans="3:16" x14ac:dyDescent="0.25">
      <c r="D21" s="1" t="s">
        <v>15</v>
      </c>
      <c r="F21" s="4">
        <f t="shared" ref="F21:O21" si="6">0.5*(F15+F18)*anncostpermember</f>
        <v>50000</v>
      </c>
      <c r="G21" s="4">
        <f t="shared" si="6"/>
        <v>140000</v>
      </c>
      <c r="H21" s="4">
        <f t="shared" si="6"/>
        <v>212000</v>
      </c>
      <c r="I21" s="4">
        <f t="shared" si="6"/>
        <v>269600</v>
      </c>
      <c r="J21" s="4">
        <f t="shared" si="6"/>
        <v>315680</v>
      </c>
      <c r="K21" s="4">
        <f t="shared" si="6"/>
        <v>352544.00000000006</v>
      </c>
      <c r="L21" s="4">
        <f t="shared" si="6"/>
        <v>382035.20000000007</v>
      </c>
      <c r="M21" s="4">
        <f t="shared" si="6"/>
        <v>405628.16000000009</v>
      </c>
      <c r="N21" s="4">
        <f t="shared" si="6"/>
        <v>424502.52800000005</v>
      </c>
      <c r="O21" s="4">
        <f t="shared" si="6"/>
        <v>439602.02240000007</v>
      </c>
      <c r="P21" s="4"/>
    </row>
    <row r="22" spans="3:16" x14ac:dyDescent="0.25">
      <c r="D22" s="1" t="s">
        <v>11</v>
      </c>
      <c r="F22" s="4">
        <f t="shared" ref="F22:O22" si="7">buildcost/10</f>
        <v>90000</v>
      </c>
      <c r="G22" s="4">
        <f t="shared" si="7"/>
        <v>90000</v>
      </c>
      <c r="H22" s="4">
        <f t="shared" si="7"/>
        <v>90000</v>
      </c>
      <c r="I22" s="4">
        <f t="shared" si="7"/>
        <v>90000</v>
      </c>
      <c r="J22" s="4">
        <f t="shared" si="7"/>
        <v>90000</v>
      </c>
      <c r="K22" s="4">
        <f t="shared" si="7"/>
        <v>90000</v>
      </c>
      <c r="L22" s="4">
        <f t="shared" si="7"/>
        <v>90000</v>
      </c>
      <c r="M22" s="4">
        <f t="shared" si="7"/>
        <v>90000</v>
      </c>
      <c r="N22" s="4">
        <f t="shared" si="7"/>
        <v>90000</v>
      </c>
      <c r="O22" s="4">
        <f t="shared" si="7"/>
        <v>90000</v>
      </c>
      <c r="P22" s="4"/>
    </row>
    <row r="23" spans="3:16" x14ac:dyDescent="0.25">
      <c r="D23" s="1" t="s">
        <v>16</v>
      </c>
      <c r="F23" s="4">
        <f>F19-F20-F21-F22</f>
        <v>-90000</v>
      </c>
      <c r="G23" s="4">
        <f t="shared" ref="G23:O23" si="8">G19-G20-G21-G22</f>
        <v>540000</v>
      </c>
      <c r="H23" s="4">
        <f t="shared" si="8"/>
        <v>1044000</v>
      </c>
      <c r="I23" s="4">
        <f t="shared" si="8"/>
        <v>1447200</v>
      </c>
      <c r="J23" s="4">
        <f t="shared" si="8"/>
        <v>1769760</v>
      </c>
      <c r="K23" s="4">
        <f t="shared" si="8"/>
        <v>2027808.0000000005</v>
      </c>
      <c r="L23" s="4">
        <f t="shared" si="8"/>
        <v>2234246.4000000004</v>
      </c>
      <c r="M23" s="4">
        <f t="shared" si="8"/>
        <v>2399397.1200000006</v>
      </c>
      <c r="N23" s="4">
        <f t="shared" si="8"/>
        <v>2531517.6960000005</v>
      </c>
      <c r="O23" s="4">
        <f t="shared" si="8"/>
        <v>2637214.1568000005</v>
      </c>
      <c r="P23" s="4"/>
    </row>
    <row r="24" spans="3:16" x14ac:dyDescent="0.25">
      <c r="D24" s="1" t="s">
        <v>17</v>
      </c>
      <c r="F24" s="4">
        <f t="shared" ref="F24:O24" si="9">(1-taxrate)*F23</f>
        <v>-54000</v>
      </c>
      <c r="G24" s="4">
        <f t="shared" si="9"/>
        <v>324000</v>
      </c>
      <c r="H24" s="4">
        <f t="shared" si="9"/>
        <v>626400</v>
      </c>
      <c r="I24" s="4">
        <f t="shared" si="9"/>
        <v>868320</v>
      </c>
      <c r="J24" s="4">
        <f t="shared" si="9"/>
        <v>1061856</v>
      </c>
      <c r="K24" s="4">
        <f t="shared" si="9"/>
        <v>1216684.8000000003</v>
      </c>
      <c r="L24" s="4">
        <f t="shared" si="9"/>
        <v>1340547.8400000001</v>
      </c>
      <c r="M24" s="4">
        <f t="shared" si="9"/>
        <v>1439638.2720000003</v>
      </c>
      <c r="N24" s="4">
        <f t="shared" si="9"/>
        <v>1518910.6176000002</v>
      </c>
      <c r="O24" s="4">
        <f t="shared" si="9"/>
        <v>1582328.4940800003</v>
      </c>
      <c r="P24" s="4"/>
    </row>
    <row r="25" spans="3:16" x14ac:dyDescent="0.25">
      <c r="D25" s="1" t="s">
        <v>18</v>
      </c>
      <c r="E25" s="4">
        <v>0</v>
      </c>
      <c r="F25" s="4">
        <f t="shared" ref="F25:O25" si="10">workingcappercentage*F19</f>
        <v>40000</v>
      </c>
      <c r="G25" s="4">
        <f t="shared" si="10"/>
        <v>112000</v>
      </c>
      <c r="H25" s="4">
        <f t="shared" si="10"/>
        <v>169600</v>
      </c>
      <c r="I25" s="4">
        <f t="shared" si="10"/>
        <v>215680</v>
      </c>
      <c r="J25" s="4">
        <f t="shared" si="10"/>
        <v>252544</v>
      </c>
      <c r="K25" s="4">
        <f t="shared" si="10"/>
        <v>282035.20000000007</v>
      </c>
      <c r="L25" s="4">
        <f t="shared" si="10"/>
        <v>305628.16000000009</v>
      </c>
      <c r="M25" s="4">
        <f t="shared" si="10"/>
        <v>324502.52800000011</v>
      </c>
      <c r="N25" s="4">
        <f t="shared" si="10"/>
        <v>339602.02240000007</v>
      </c>
      <c r="O25" s="4">
        <f t="shared" si="10"/>
        <v>351681.61792000011</v>
      </c>
      <c r="P25" s="4"/>
    </row>
    <row r="26" spans="3:16" x14ac:dyDescent="0.25">
      <c r="D26" s="1" t="s">
        <v>19</v>
      </c>
      <c r="E26" s="4"/>
      <c r="F26" s="4">
        <f>F25-E25</f>
        <v>40000</v>
      </c>
      <c r="G26" s="4">
        <f t="shared" ref="G26:O26" si="11">G25-F25</f>
        <v>72000</v>
      </c>
      <c r="H26" s="4">
        <f t="shared" si="11"/>
        <v>57600</v>
      </c>
      <c r="I26" s="4">
        <f t="shared" si="11"/>
        <v>46080</v>
      </c>
      <c r="J26" s="4">
        <f t="shared" si="11"/>
        <v>36864</v>
      </c>
      <c r="K26" s="4">
        <f t="shared" si="11"/>
        <v>29491.20000000007</v>
      </c>
      <c r="L26" s="4">
        <f t="shared" si="11"/>
        <v>23592.960000000021</v>
      </c>
      <c r="M26" s="4">
        <f t="shared" si="11"/>
        <v>18874.368000000017</v>
      </c>
      <c r="N26" s="4">
        <f t="shared" si="11"/>
        <v>15099.494399999967</v>
      </c>
      <c r="O26" s="4">
        <f t="shared" si="11"/>
        <v>12079.595520000032</v>
      </c>
      <c r="P26" s="4"/>
    </row>
    <row r="27" spans="3:16" x14ac:dyDescent="0.25">
      <c r="D27" s="1" t="s">
        <v>20</v>
      </c>
      <c r="E27" s="4">
        <f>-E14</f>
        <v>-900000</v>
      </c>
      <c r="F27" s="4">
        <f>F24-F26+F22</f>
        <v>-4000</v>
      </c>
      <c r="G27" s="4">
        <f t="shared" ref="G27:O27" si="12">G24-G26+G22</f>
        <v>342000</v>
      </c>
      <c r="H27" s="4">
        <f t="shared" si="12"/>
        <v>658800</v>
      </c>
      <c r="I27" s="4">
        <f t="shared" si="12"/>
        <v>912240</v>
      </c>
      <c r="J27" s="4">
        <f t="shared" si="12"/>
        <v>1114992</v>
      </c>
      <c r="K27" s="4">
        <f t="shared" si="12"/>
        <v>1277193.6000000001</v>
      </c>
      <c r="L27" s="4">
        <f t="shared" si="12"/>
        <v>1406954.8800000001</v>
      </c>
      <c r="M27" s="4">
        <f t="shared" si="12"/>
        <v>1510763.9040000003</v>
      </c>
      <c r="N27" s="4">
        <f t="shared" si="12"/>
        <v>1593811.1232000003</v>
      </c>
      <c r="O27" s="4">
        <f t="shared" si="12"/>
        <v>1660248.8985600004</v>
      </c>
      <c r="P27" s="4"/>
    </row>
    <row r="29" spans="3:16" x14ac:dyDescent="0.25">
      <c r="E29" s="1" t="s">
        <v>21</v>
      </c>
      <c r="F29" s="4">
        <f>XNPV(discountrate,E27:O27,E13:O13)</f>
        <v>4924240.4054994984</v>
      </c>
    </row>
    <row r="30" spans="3:16" x14ac:dyDescent="0.25">
      <c r="C30" s="4"/>
      <c r="E30" s="1" t="s">
        <v>23</v>
      </c>
      <c r="F30" s="5">
        <f>XIRR(E27:O27,E13:O13)</f>
        <v>0.61599746346473705</v>
      </c>
    </row>
    <row r="31" spans="3:16" x14ac:dyDescent="0.25">
      <c r="C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anncostpermember</vt:lpstr>
      <vt:lpstr>annfee</vt:lpstr>
      <vt:lpstr>annfixedcost</vt:lpstr>
      <vt:lpstr>buildcost</vt:lpstr>
      <vt:lpstr>discountrate</vt:lpstr>
      <vt:lpstr>newmembersperyear</vt:lpstr>
      <vt:lpstr>retentionrate</vt:lpstr>
      <vt:lpstr>taxrate</vt:lpstr>
      <vt:lpstr>workingcappercentage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2012-12-20T20:26:46Z</dcterms:created>
  <dcterms:modified xsi:type="dcterms:W3CDTF">2012-12-21T15:50:58Z</dcterms:modified>
</cp:coreProperties>
</file>