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56" i="1" l="1"/>
  <c r="P36" i="1"/>
  <c r="P35" i="1"/>
  <c r="P6" i="1"/>
  <c r="C56" i="1" l="1"/>
  <c r="C36" i="1"/>
  <c r="P13" i="1" l="1"/>
  <c r="P59" i="1"/>
  <c r="C59" i="1"/>
  <c r="P34" i="1" l="1"/>
  <c r="P4" i="1"/>
  <c r="P5" i="1"/>
  <c r="P11" i="1"/>
  <c r="P15" i="1"/>
  <c r="P16" i="1"/>
  <c r="P17" i="1"/>
  <c r="P18" i="1"/>
  <c r="P25" i="1"/>
  <c r="P61" i="1"/>
  <c r="P70" i="1"/>
  <c r="P71" i="1"/>
  <c r="P72" i="1"/>
  <c r="P73" i="1"/>
  <c r="P75" i="1"/>
  <c r="P21" i="1"/>
  <c r="P47" i="1"/>
  <c r="P43" i="1"/>
  <c r="P44" i="1"/>
  <c r="P54" i="1"/>
  <c r="P2" i="1"/>
  <c r="P3" i="1"/>
  <c r="C4" i="1"/>
  <c r="C3" i="1"/>
  <c r="C5" i="1"/>
  <c r="P7" i="1"/>
  <c r="P8" i="1"/>
  <c r="P9" i="1"/>
  <c r="P10" i="1"/>
  <c r="P12" i="1"/>
  <c r="P14" i="1"/>
  <c r="P19" i="1"/>
  <c r="P20" i="1"/>
  <c r="P22" i="1"/>
  <c r="P23" i="1"/>
  <c r="P24" i="1"/>
  <c r="P26" i="1"/>
  <c r="P27" i="1"/>
  <c r="P28" i="1"/>
  <c r="P29" i="1"/>
  <c r="P30" i="1"/>
  <c r="P31" i="1"/>
  <c r="P32" i="1"/>
  <c r="P33" i="1"/>
  <c r="P37" i="1"/>
  <c r="P38" i="1"/>
  <c r="P39" i="1"/>
  <c r="P40" i="1"/>
  <c r="P41" i="1"/>
  <c r="P42" i="1"/>
  <c r="P45" i="1"/>
  <c r="P46" i="1"/>
  <c r="P48" i="1"/>
  <c r="P49" i="1"/>
  <c r="P50" i="1"/>
  <c r="P51" i="1"/>
  <c r="P52" i="1"/>
  <c r="P53" i="1"/>
  <c r="P55" i="1"/>
  <c r="P57" i="1"/>
  <c r="P58" i="1"/>
  <c r="P60" i="1"/>
  <c r="P62" i="1"/>
  <c r="P63" i="1"/>
  <c r="P64" i="1"/>
  <c r="P65" i="1"/>
  <c r="P66" i="1"/>
  <c r="P67" i="1"/>
  <c r="P68" i="1"/>
  <c r="C7" i="1"/>
  <c r="C8" i="1"/>
  <c r="C9" i="1"/>
  <c r="C10" i="1"/>
  <c r="C11" i="1"/>
  <c r="C12" i="1"/>
  <c r="C13" i="1"/>
  <c r="C15" i="1"/>
  <c r="C14" i="1"/>
  <c r="C16" i="1"/>
  <c r="C17" i="1"/>
  <c r="C18" i="1"/>
  <c r="C19" i="1"/>
  <c r="C20" i="1"/>
  <c r="C21" i="1"/>
  <c r="C22" i="1"/>
  <c r="C23" i="1"/>
  <c r="C24" i="1"/>
  <c r="C25" i="1"/>
  <c r="C26" i="1"/>
  <c r="C27" i="1"/>
  <c r="C28" i="1"/>
  <c r="C29" i="1"/>
  <c r="C30" i="1"/>
  <c r="C31" i="1"/>
  <c r="C32" i="1"/>
  <c r="C33" i="1"/>
  <c r="C37" i="1"/>
  <c r="C38" i="1"/>
  <c r="C39" i="1"/>
  <c r="C40" i="1"/>
  <c r="C41" i="1"/>
  <c r="C42" i="1"/>
  <c r="C45" i="1"/>
  <c r="C46" i="1"/>
  <c r="C47" i="1"/>
  <c r="C48" i="1"/>
  <c r="C49" i="1"/>
  <c r="C50" i="1"/>
  <c r="C51" i="1"/>
  <c r="C52" i="1"/>
  <c r="C53" i="1"/>
  <c r="C54" i="1"/>
  <c r="C55" i="1"/>
  <c r="C57" i="1"/>
  <c r="C58" i="1"/>
  <c r="F59" i="1"/>
  <c r="C61" i="1"/>
  <c r="C62" i="1"/>
  <c r="C63" i="1"/>
  <c r="C64" i="1"/>
  <c r="C65" i="1"/>
  <c r="C66" i="1"/>
  <c r="C67" i="1"/>
  <c r="C68" i="1"/>
  <c r="C69" i="1"/>
  <c r="C70" i="1"/>
  <c r="C71" i="1"/>
  <c r="C72" i="1"/>
  <c r="C73" i="1"/>
  <c r="C74" i="1"/>
  <c r="C75" i="1"/>
  <c r="C76" i="1"/>
  <c r="C77" i="1"/>
  <c r="C2" i="1"/>
  <c r="P69" i="1"/>
  <c r="P74" i="1"/>
  <c r="P76" i="1"/>
  <c r="P77" i="1"/>
  <c r="C34" i="1"/>
  <c r="F34" i="1"/>
  <c r="F42" i="1"/>
  <c r="F43" i="1"/>
  <c r="F44" i="1"/>
  <c r="F77" i="1"/>
  <c r="F13" i="1"/>
  <c r="D73" i="1" l="1"/>
  <c r="F73" i="1" s="1"/>
  <c r="D74" i="1"/>
  <c r="F74" i="1" s="1"/>
  <c r="D67" i="1"/>
  <c r="F67" i="1" s="1"/>
  <c r="D32" i="1"/>
  <c r="F32" i="1" s="1"/>
  <c r="D17" i="1"/>
  <c r="F17" i="1" s="1"/>
  <c r="D8" i="1"/>
  <c r="F8" i="1" s="1"/>
  <c r="D5" i="1"/>
  <c r="F5" i="1" s="1"/>
  <c r="D52" i="1"/>
  <c r="F52" i="1" s="1"/>
  <c r="D33" i="1"/>
  <c r="F33" i="1" s="1"/>
  <c r="D26" i="1"/>
  <c r="F26" i="1" s="1"/>
  <c r="D18" i="1"/>
  <c r="F18" i="1" s="1"/>
  <c r="D10" i="1"/>
  <c r="F10" i="1" s="1"/>
  <c r="D3" i="1"/>
  <c r="F3" i="1" s="1"/>
  <c r="D69" i="1"/>
  <c r="F69" i="1" s="1"/>
  <c r="D54" i="1"/>
  <c r="F54" i="1" s="1"/>
  <c r="D12" i="1"/>
  <c r="F12" i="1" s="1"/>
  <c r="D66" i="1"/>
  <c r="F66" i="1" s="1"/>
  <c r="D49" i="1"/>
  <c r="F49" i="1" s="1"/>
  <c r="D41" i="1"/>
  <c r="F41" i="1" s="1"/>
  <c r="D30" i="1"/>
  <c r="F30" i="1" s="1"/>
  <c r="D23" i="1"/>
  <c r="F23" i="1" s="1"/>
  <c r="D15" i="1"/>
  <c r="F15" i="1" s="1"/>
  <c r="D61" i="1"/>
  <c r="F61" i="1" s="1"/>
  <c r="D46" i="1"/>
  <c r="F46" i="1" s="1"/>
  <c r="D37" i="1"/>
  <c r="F37" i="1" s="1"/>
  <c r="F27" i="1"/>
  <c r="D19" i="1"/>
  <c r="F19" i="1" s="1"/>
  <c r="D11" i="1"/>
  <c r="F11" i="1" s="1"/>
  <c r="D76" i="1"/>
  <c r="F76" i="1" s="1"/>
  <c r="D70" i="1"/>
  <c r="F70" i="1" s="1"/>
  <c r="D64" i="1"/>
  <c r="F64" i="1" s="1"/>
  <c r="D48" i="1"/>
  <c r="F48" i="1" s="1"/>
  <c r="D40" i="1"/>
  <c r="F40" i="1" s="1"/>
  <c r="D29" i="1"/>
  <c r="F29" i="1" s="1"/>
  <c r="D22" i="1"/>
  <c r="F22" i="1" s="1"/>
  <c r="D14" i="1"/>
  <c r="F14" i="1" s="1"/>
  <c r="D63" i="1"/>
  <c r="F63" i="1" s="1"/>
  <c r="F2" i="1"/>
  <c r="D50" i="1"/>
  <c r="F50" i="1" s="1"/>
  <c r="D75" i="1"/>
  <c r="F75" i="1" s="1"/>
  <c r="D25" i="1"/>
  <c r="F25" i="1" s="1"/>
  <c r="D16" i="1"/>
  <c r="F16" i="1" s="1"/>
  <c r="D53" i="1"/>
  <c r="F53" i="1" s="1"/>
  <c r="D72" i="1"/>
  <c r="F72" i="1" s="1"/>
  <c r="D47" i="1"/>
  <c r="F47" i="1" s="1"/>
  <c r="D39" i="1"/>
  <c r="F39" i="1" s="1"/>
  <c r="D28" i="1"/>
  <c r="F28" i="1" s="1"/>
  <c r="D65" i="1"/>
  <c r="F65" i="1" s="1"/>
  <c r="D57" i="1"/>
  <c r="F57" i="1" s="1"/>
  <c r="D20" i="1"/>
  <c r="F20" i="1" s="1"/>
  <c r="S6" i="1"/>
  <c r="S11" i="1"/>
  <c r="D9" i="1"/>
  <c r="F9" i="1" s="1"/>
  <c r="D21" i="1"/>
  <c r="F21" i="1" s="1"/>
  <c r="D7" i="1"/>
  <c r="F7" i="1" s="1"/>
  <c r="D4" i="1"/>
  <c r="F4" i="1" s="1"/>
  <c r="D68" i="1"/>
  <c r="F68" i="1" s="1"/>
  <c r="D45" i="1"/>
  <c r="F45" i="1" s="1"/>
  <c r="D31" i="1"/>
  <c r="F31" i="1" s="1"/>
  <c r="D71" i="1"/>
  <c r="F71" i="1" s="1"/>
  <c r="D62" i="1"/>
  <c r="F62" i="1" s="1"/>
  <c r="D51" i="1"/>
  <c r="F51" i="1" s="1"/>
  <c r="F55" i="1"/>
  <c r="D38" i="1"/>
  <c r="F38" i="1" s="1"/>
  <c r="F58" i="1"/>
  <c r="F60" i="1"/>
  <c r="S5" i="1"/>
  <c r="D24" i="1"/>
  <c r="F24" i="1" s="1"/>
  <c r="S10" i="1"/>
  <c r="S7" i="1"/>
  <c r="S4" i="1"/>
  <c r="S9" i="1"/>
  <c r="S8" i="1"/>
  <c r="S3" i="1"/>
  <c r="R8" i="1" l="1"/>
  <c r="T8" i="1" s="1"/>
  <c r="K82" i="1" a="1"/>
  <c r="K82" i="1" s="1"/>
  <c r="M79" i="1" a="1"/>
  <c r="M79" i="1" s="1"/>
  <c r="R6" i="1"/>
  <c r="T6" i="1" s="1"/>
  <c r="R7" i="1"/>
  <c r="T7" i="1" s="1"/>
  <c r="R9" i="1"/>
  <c r="T9" i="1" s="1"/>
  <c r="R10" i="1"/>
  <c r="T10" i="1" s="1"/>
  <c r="R11" i="1"/>
  <c r="T11" i="1" s="1"/>
  <c r="R5" i="1"/>
  <c r="T5" i="1" s="1"/>
  <c r="R3" i="1"/>
  <c r="T3" i="1" s="1"/>
  <c r="O85" i="1" a="1"/>
  <c r="O85" i="1" s="1"/>
  <c r="O84" i="1" a="1"/>
  <c r="O84" i="1" s="1"/>
  <c r="J80" i="1" a="1"/>
  <c r="J80" i="1" s="1"/>
  <c r="R4" i="1"/>
  <c r="T4" i="1" s="1"/>
  <c r="J83" i="1" a="1"/>
  <c r="J83" i="1" s="1"/>
  <c r="M80" i="1" a="1"/>
  <c r="M80" i="1" s="1"/>
  <c r="M82" i="1" a="1"/>
  <c r="M82" i="1" s="1"/>
  <c r="K79" i="1" a="1"/>
  <c r="K79" i="1" s="1"/>
  <c r="J79" i="1" a="1"/>
  <c r="J79" i="1" s="1"/>
  <c r="L79" i="1" a="1"/>
  <c r="L79" i="1" s="1"/>
  <c r="M83" i="1" a="1"/>
  <c r="M83" i="1" s="1"/>
  <c r="J82" i="1" a="1"/>
  <c r="J82" i="1" s="1"/>
  <c r="K80" i="1" a="1"/>
  <c r="K80" i="1" s="1"/>
  <c r="L82" i="1" a="1"/>
  <c r="L82" i="1" s="1"/>
  <c r="L83" i="1" a="1"/>
  <c r="L83" i="1" s="1"/>
  <c r="K83" i="1" a="1"/>
  <c r="K83" i="1" s="1"/>
  <c r="O83" i="1" a="1"/>
  <c r="O83" i="1" s="1"/>
  <c r="L80" i="1" a="1"/>
  <c r="L80" i="1" s="1"/>
  <c r="L81" i="1" s="1"/>
  <c r="J81" i="1" l="1"/>
  <c r="M81" i="1"/>
  <c r="K81" i="1"/>
</calcChain>
</file>

<file path=xl/comments1.xml><?xml version="1.0" encoding="utf-8"?>
<comments xmlns="http://schemas.openxmlformats.org/spreadsheetml/2006/main">
  <authors>
    <author>Matt Trawick</author>
  </authors>
  <commentList>
    <comment ref="Q1" authorId="0" shapeId="0">
      <text>
        <r>
          <rPr>
            <b/>
            <sz val="9"/>
            <color indexed="81"/>
            <rFont val="Tahoma"/>
            <family val="2"/>
          </rPr>
          <t>Matt Trawick:</t>
        </r>
        <r>
          <rPr>
            <sz val="9"/>
            <color indexed="81"/>
            <rFont val="Tahoma"/>
            <family val="2"/>
          </rPr>
          <t xml:space="preserve">
Input minimum number of instructors using the lab for inclusion in manual.</t>
        </r>
      </text>
    </comment>
    <comment ref="R1" authorId="0" shapeId="0">
      <text>
        <r>
          <rPr>
            <b/>
            <sz val="9"/>
            <color indexed="81"/>
            <rFont val="Tahoma"/>
            <family val="2"/>
          </rPr>
          <t>Matt Trawick:</t>
        </r>
        <r>
          <rPr>
            <sz val="9"/>
            <color indexed="81"/>
            <rFont val="Tahoma"/>
            <family val="2"/>
          </rPr>
          <t xml:space="preserve">
Resulting number of pages in the manual.</t>
        </r>
      </text>
    </comment>
    <comment ref="T1" authorId="0" shapeId="0">
      <text>
        <r>
          <rPr>
            <b/>
            <sz val="9"/>
            <color indexed="81"/>
            <rFont val="Tahoma"/>
            <family val="2"/>
          </rPr>
          <t>Matt Trawick:</t>
        </r>
        <r>
          <rPr>
            <sz val="9"/>
            <color indexed="81"/>
            <rFont val="Tahoma"/>
            <family val="2"/>
          </rPr>
          <t xml:space="preserve">
Estimated
</t>
        </r>
      </text>
    </comment>
    <comment ref="J2" authorId="0" shapeId="0">
      <text>
        <r>
          <rPr>
            <b/>
            <sz val="9"/>
            <color indexed="81"/>
            <rFont val="Tahoma"/>
            <family val="2"/>
          </rPr>
          <t>Matt Trawick:</t>
        </r>
        <r>
          <rPr>
            <sz val="9"/>
            <color indexed="81"/>
            <rFont val="Tahoma"/>
            <family val="2"/>
          </rPr>
          <t xml:space="preserve">
Write "1" if you will use the lab.  
Leave blank or write "0" if you will not use the lab.  
Write "0.5" for maybe, or any other probability between 0 and 1 for "probably yes" or "probably no".</t>
        </r>
      </text>
    </comment>
    <comment ref="J5" authorId="0" shapeId="0">
      <text>
        <r>
          <rPr>
            <b/>
            <sz val="9"/>
            <color indexed="81"/>
            <rFont val="Tahoma"/>
            <family val="2"/>
          </rPr>
          <t>Matt Trawick:</t>
        </r>
        <r>
          <rPr>
            <sz val="9"/>
            <color indexed="81"/>
            <rFont val="Tahoma"/>
            <family val="2"/>
          </rPr>
          <t xml:space="preserve">
I do this lab, but without using the lab manual.  Each lab group has the equipment, and I have a setup at the front too.  I say "let's try rubbing the glass rod with the silk cloth, like this…." and lead them through the basic phenomena.  This solves two problems: first, it keeps them from seeing the wrong thing, which they often seem to in this lab.  (Maybe they short things out with their fingers or something.)  Second, it bypasses all of the stupid stuff in the lab that intentionally does NOT work, like rubbing the metal directly with the cloth.  I also don't care all that much about charging by induction, so I'm happy enough to skip that part.</t>
        </r>
      </text>
    </comment>
    <comment ref="O5" authorId="0" shapeId="0">
      <text>
        <r>
          <rPr>
            <b/>
            <sz val="9"/>
            <color indexed="81"/>
            <rFont val="Tahoma"/>
            <family val="2"/>
          </rPr>
          <t xml:space="preserve">Ovidiu will do 4 or 5, but not both
</t>
        </r>
      </text>
    </comment>
    <comment ref="I12" authorId="0" shapeId="0">
      <text>
        <r>
          <rPr>
            <b/>
            <sz val="9"/>
            <color indexed="81"/>
            <rFont val="Tahoma"/>
            <family val="2"/>
          </rPr>
          <t>Matt Trawick:</t>
        </r>
        <r>
          <rPr>
            <sz val="9"/>
            <color indexed="81"/>
            <rFont val="Tahoma"/>
            <family val="2"/>
          </rPr>
          <t xml:space="preserve">
I'll admit that this one's pretty weak.</t>
        </r>
      </text>
    </comment>
    <comment ref="L15" authorId="0" shapeId="0">
      <text>
        <r>
          <rPr>
            <b/>
            <sz val="9"/>
            <color indexed="81"/>
            <rFont val="Tahoma"/>
            <family val="2"/>
          </rPr>
          <t>Matt Trawick:</t>
        </r>
        <r>
          <rPr>
            <sz val="9"/>
            <color indexed="81"/>
            <rFont val="Tahoma"/>
            <family val="2"/>
          </rPr>
          <t xml:space="preserve">
Con asks: New labs replace these?
</t>
        </r>
      </text>
    </comment>
    <comment ref="I24" authorId="0" shape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I25" authorId="0" shape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O28" authorId="0" shapeId="0">
      <text>
        <r>
          <rPr>
            <b/>
            <sz val="9"/>
            <color indexed="81"/>
            <rFont val="Tahoma"/>
            <family val="2"/>
          </rPr>
          <t xml:space="preserve">Ovidiu sez: needs changing.
</t>
        </r>
      </text>
    </comment>
    <comment ref="O29" authorId="0" shapeId="0">
      <text>
        <r>
          <rPr>
            <b/>
            <sz val="9"/>
            <color indexed="81"/>
            <rFont val="Tahoma"/>
            <family val="2"/>
          </rPr>
          <t xml:space="preserve">Needs changing
</t>
        </r>
      </text>
    </comment>
    <comment ref="I30" authorId="0" shapeId="0">
      <text>
        <r>
          <rPr>
            <b/>
            <sz val="9"/>
            <color indexed="81"/>
            <rFont val="Tahoma"/>
            <family val="2"/>
          </rPr>
          <t>Matt Trawick:</t>
        </r>
        <r>
          <rPr>
            <sz val="9"/>
            <color indexed="81"/>
            <rFont val="Tahoma"/>
            <family val="2"/>
          </rPr>
          <t xml:space="preserve">
Was "magnetism 1"</t>
        </r>
      </text>
    </comment>
    <comment ref="I31" authorId="0" shapeId="0">
      <text>
        <r>
          <rPr>
            <b/>
            <sz val="9"/>
            <color indexed="81"/>
            <rFont val="Tahoma"/>
            <family val="2"/>
          </rPr>
          <t>Matt Trawick:</t>
        </r>
        <r>
          <rPr>
            <sz val="9"/>
            <color indexed="81"/>
            <rFont val="Tahoma"/>
            <family val="2"/>
          </rPr>
          <t xml:space="preserve">
was "magnetism 2"
</t>
        </r>
      </text>
    </comment>
    <comment ref="I32" authorId="0" shapeId="0">
      <text>
        <r>
          <rPr>
            <b/>
            <sz val="9"/>
            <color indexed="81"/>
            <rFont val="Tahoma"/>
            <family val="2"/>
          </rPr>
          <t>Matt Trawick:</t>
        </r>
        <r>
          <rPr>
            <sz val="9"/>
            <color indexed="81"/>
            <rFont val="Tahoma"/>
            <family val="2"/>
          </rPr>
          <t xml:space="preserve">
Was "magnetism 3"
</t>
        </r>
      </text>
    </comment>
    <comment ref="G38" authorId="0" shapeId="0">
      <text>
        <r>
          <rPr>
            <b/>
            <sz val="9"/>
            <color indexed="81"/>
            <rFont val="Tahoma"/>
            <family val="2"/>
          </rPr>
          <t>Matt Trawick:</t>
        </r>
        <r>
          <rPr>
            <sz val="9"/>
            <color indexed="81"/>
            <rFont val="Tahoma"/>
            <family val="2"/>
          </rPr>
          <t xml:space="preserve">
Content significantly changed from last time.
</t>
        </r>
      </text>
    </comment>
    <comment ref="J38"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2" authorId="0" shapeId="0">
      <text>
        <r>
          <rPr>
            <b/>
            <sz val="9"/>
            <color indexed="81"/>
            <rFont val="Tahoma"/>
            <family val="2"/>
          </rPr>
          <t>Matt Trawick:</t>
        </r>
        <r>
          <rPr>
            <sz val="9"/>
            <color indexed="81"/>
            <rFont val="Tahoma"/>
            <family val="2"/>
          </rPr>
          <t xml:space="preserve">
Lots of new content here.  
</t>
        </r>
      </text>
    </comment>
    <comment ref="J43" authorId="0" shapeId="0">
      <text>
        <r>
          <rPr>
            <b/>
            <sz val="9"/>
            <color indexed="81"/>
            <rFont val="Tahoma"/>
            <family val="2"/>
          </rPr>
          <t>Matt Trawick:</t>
        </r>
        <r>
          <rPr>
            <sz val="9"/>
            <color indexed="81"/>
            <rFont val="Tahoma"/>
            <family val="2"/>
          </rPr>
          <t xml:space="preserve">
More likely than not.
</t>
        </r>
      </text>
    </comment>
    <comment ref="J70"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<sst xmlns="http://schemas.openxmlformats.org/spreadsheetml/2006/main" count="217" uniqueCount="161">
  <si>
    <t>title</t>
  </si>
  <si>
    <t>notes</t>
  </si>
  <si>
    <t>2016 Matt?</t>
  </si>
  <si>
    <t>2016 Jack?</t>
  </si>
  <si>
    <t>2016 Con?</t>
  </si>
  <si>
    <t>2016 Ted?</t>
  </si>
  <si>
    <t>new, by MT</t>
  </si>
  <si>
    <t>Now obsolete?</t>
  </si>
  <si>
    <t>Lab #, spr '15</t>
  </si>
  <si>
    <t>TOTAL PAGES</t>
  </si>
  <si>
    <t>Cost to Students</t>
  </si>
  <si>
    <t>Minimum users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</si>
  <si>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</si>
  <si>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</si>
  <si>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</si>
  <si>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</si>
  <si>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</si>
  <si>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</si>
  <si>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</si>
  <si>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</si>
  <si>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</si>
  <si>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</si>
  <si>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</si>
  <si>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</si>
  <si>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</si>
  <si>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</si>
  <si>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</si>
  <si>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</si>
  <si>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</si>
  <si>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</si>
  <si>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</si>
  <si>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</si>
  <si>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</si>
  <si>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</si>
  <si>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</si>
  <si>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</si>
  <si>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</si>
  <si>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</si>
  <si>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</si>
  <si>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</si>
  <si>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</si>
  <si>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</si>
  <si>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</si>
  <si>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</si>
  <si>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</si>
  <si>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</si>
  <si>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</si>
  <si>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</si>
  <si>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</si>
  <si>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</si>
  <si>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</si>
  <si>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</si>
  <si>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</si>
  <si>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</si>
  <si>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</si>
  <si>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</si>
  <si>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</si>
  <si>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</si>
  <si>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</si>
  <si>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</si>
  <si>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</si>
  <si>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</si>
  <si>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</si>
  <si>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</si>
  <si>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</si>
  <si>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</si>
  <si>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</si>
  <si>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</si>
  <si>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</si>
  <si>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</si>
  <si>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</si>
  <si>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</si>
  <si>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</si>
  <si>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</si>
  <si>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</si>
  <si>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</si>
  <si>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</si>
  <si>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</si>
  <si>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</si>
  <si>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</si>
  <si>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</si>
  <si>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</si>
  <si>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</si>
  <si>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</si>
  <si>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</si>
  <si>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42 The Diffraction Grating 173</t>
  </si>
  <si>
    <t>35*</t>
  </si>
  <si>
    <t>Mechanical Waves</t>
  </si>
  <si>
    <t>Electrostatics</t>
  </si>
  <si>
    <t>Circuits</t>
  </si>
  <si>
    <t>Topic</t>
  </si>
  <si>
    <t>Magnetism</t>
  </si>
  <si>
    <t>Induction, EM waves</t>
  </si>
  <si>
    <t>Wave Optics</t>
  </si>
  <si>
    <t>Geometric Optics</t>
  </si>
  <si>
    <t>Thermodynamics</t>
  </si>
  <si>
    <t>Quantum Mechanics</t>
  </si>
  <si>
    <t>Misc</t>
  </si>
  <si>
    <t>Appendices</t>
  </si>
  <si>
    <t>first 
page</t>
  </si>
  <si>
    <t>newish, by MT</t>
  </si>
  <si>
    <t>page
count</t>
  </si>
  <si>
    <t>43 Refraction of Light 175</t>
  </si>
  <si>
    <t>44 Refraction at Spherical Surfaces: Thin Lenses 178</t>
  </si>
  <si>
    <t>45 Heat, Temperature, and Internal Energy 180</t>
  </si>
  <si>
    <t>48 Charles' Law 189</t>
  </si>
  <si>
    <t>49 The P-T Relationship of a Gas 192</t>
  </si>
  <si>
    <t>50 Kinetic Theory of Ideal Gases 194</t>
  </si>
  <si>
    <t>51 Applying the Kinetic Theory 199</t>
  </si>
  <si>
    <t>52 Heat of Vaporization of Nitrogen 204</t>
  </si>
  <si>
    <t>54 Cyclic Processes with an Ideal Gas 207</t>
  </si>
  <si>
    <t>55 Einstein Solid 212</t>
  </si>
  <si>
    <t>56 Entropy and Temperature 221</t>
  </si>
  <si>
    <t>57 The Optical Spectrum of Hydrogen 228</t>
  </si>
  <si>
    <t>58 A Theory for the Hydrogen Atom 231</t>
  </si>
  <si>
    <t>59 Where's the Electron? 238</t>
  </si>
  <si>
    <t>60 Nuclear Decay and Radiocarbon Dating 245</t>
  </si>
  <si>
    <t>61 Centripetal Force 255</t>
  </si>
  <si>
    <t>62 Conservation of Angular Momentum 261</t>
  </si>
  <si>
    <t>63 Impulse, Momentum, and Interactions 264</t>
  </si>
  <si>
    <t>64 Galilean Relativity 268</t>
  </si>
  <si>
    <t>65 The Twins Paradox 272</t>
  </si>
  <si>
    <t>A Treatment of Experimental Data 275</t>
  </si>
  <si>
    <t>B Introduction to DataStudio 277</t>
  </si>
  <si>
    <t>C Introduction to Excel 279</t>
  </si>
  <si>
    <t>D A Single-Page Summary on Handling Uncertainties 283</t>
  </si>
  <si>
    <t>E Video Analysis Using VideoPoint 284</t>
  </si>
  <si>
    <t>F Video Analysis Using Tracker 286</t>
  </si>
  <si>
    <t>G Nuclear Safety 289</t>
  </si>
  <si>
    <t>H Instrumentation 290</t>
  </si>
  <si>
    <t>47 Boyle's Law 186</t>
  </si>
  <si>
    <t>Ovidiu</t>
  </si>
  <si>
    <t>46 Calorimetry 182</t>
  </si>
  <si>
    <t># users for 2016</t>
  </si>
  <si>
    <t>color pages</t>
  </si>
  <si>
    <t>Color Pages</t>
  </si>
  <si>
    <t>page cost</t>
  </si>
  <si>
    <t>b&amp;w</t>
  </si>
  <si>
    <t>binder</t>
  </si>
  <si>
    <t>pagecosts:</t>
  </si>
  <si>
    <t>color</t>
  </si>
  <si>
    <t>new by MT, 2015</t>
  </si>
  <si>
    <t>Min manual pages</t>
  </si>
  <si>
    <t>Max manual pages</t>
  </si>
  <si>
    <t>expected extra pages</t>
  </si>
  <si>
    <t>expected manual pages</t>
  </si>
  <si>
    <t>Min votes to include:</t>
  </si>
  <si>
    <t>expected percent</t>
  </si>
  <si>
    <t>by MT, 2015</t>
  </si>
  <si>
    <t>39 Interference of Light from Multiple Slits</t>
  </si>
  <si>
    <t>Diffraction of Light through a Single Slit</t>
  </si>
  <si>
    <t>2nd half new by MT, 2016</t>
  </si>
  <si>
    <t>56 Entropy Is It Possible?</t>
  </si>
  <si>
    <t>new by MT, 2016</t>
  </si>
  <si>
    <t>2016 fall 
Henry</t>
  </si>
  <si>
    <t>New by Ted, 2016</t>
  </si>
  <si>
    <t>New Version of Electrostatics Lab</t>
  </si>
  <si>
    <t>Ampere's law for infinite sheet</t>
  </si>
  <si>
    <t>Expansion of a gas at constant pressure</t>
  </si>
  <si>
    <t>Biot Savart Law for straight wire</t>
  </si>
  <si>
    <t>Biot Savart Law Above Current Loops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</si>
</sst>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wrapText="1"/>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16" fillId="0" borderId="14" xfId="42" applyFont="1" applyBorder="1"/>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64" fontId="0" fillId="0" borderId="17" xfId="0" applyNumberFormat="1" applyBorder="1" applyAlignment="1">
      <alignment horizontal="center"/>
    </xf>
    <xf numFmtId="164" fontId="0" fillId="0" borderId="0" xfId="0" applyNumberFormat="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0" fontId="16" fillId="0" borderId="18" xfId="0" applyFont="1" applyBorder="1" applyAlignment="1">
      <alignment horizontal="center"/>
    </xf>
    <xf numFmtId="1" fontId="16" fillId="0" borderId="0" xfId="0" applyNumberFormat="1" applyFont="1" applyBorder="1" applyAlignment="1">
      <alignment horizontal="center" wrapText="1"/>
    </xf>
    <xf numFmtId="0" fontId="0" fillId="0" borderId="20" xfId="0" applyBorder="1"/>
    <xf numFmtId="44" fontId="0" fillId="0" borderId="21" xfId="42" applyFont="1" applyBorder="1"/>
    <xf numFmtId="44" fontId="0" fillId="0" borderId="0" xfId="42" applyFont="1" applyBorder="1" applyAlignment="1">
      <alignment horizontal="center"/>
    </xf>
    <xf numFmtId="44" fontId="0" fillId="0" borderId="12" xfId="42" applyFont="1" applyBorder="1"/>
    <xf numFmtId="44" fontId="16" fillId="0" borderId="20" xfId="42" applyFont="1" applyBorder="1" applyAlignment="1">
      <alignment horizontal="center" wrapText="1"/>
    </xf>
    <xf numFmtId="44" fontId="0" fillId="0" borderId="20" xfId="42" applyFont="1" applyBorder="1" applyAlignment="1">
      <alignment horizontal="center"/>
    </xf>
    <xf numFmtId="0" fontId="16" fillId="0" borderId="10" xfId="0" applyFont="1" applyBorder="1"/>
    <xf numFmtId="0" fontId="16" fillId="0" borderId="13" xfId="0" applyFont="1" applyBorder="1"/>
    <xf numFmtId="0" fontId="16" fillId="0" borderId="15" xfId="0" applyFont="1" applyBorder="1"/>
    <xf numFmtId="0" fontId="16" fillId="0" borderId="0" xfId="0" applyFont="1" applyBorder="1" applyAlignment="1">
      <alignment horizontal="center"/>
    </xf>
    <xf numFmtId="0" fontId="0" fillId="0" borderId="0" xfId="0" applyBorder="1" applyAlignment="1">
      <alignment horizontal="center"/>
    </xf>
    <xf numFmtId="0" fontId="16" fillId="0" borderId="22" xfId="0" applyFont="1"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0" fillId="0" borderId="20" xfId="0" applyFont="1" applyBorder="1"/>
    <xf numFmtId="0" fontId="16" fillId="0" borderId="22" xfId="0" applyFont="1" applyBorder="1" applyAlignment="1">
      <alignment horizontal="center" wrapText="1"/>
    </xf>
    <xf numFmtId="0" fontId="0" fillId="0" borderId="23" xfId="0" applyFont="1" applyBorder="1"/>
    <xf numFmtId="0" fontId="0" fillId="0" borderId="22" xfId="0" applyFont="1" applyBorder="1"/>
    <xf numFmtId="44" fontId="0" fillId="0" borderId="22" xfId="42" applyFont="1" applyBorder="1" applyAlignment="1">
      <alignment horizontal="center"/>
    </xf>
    <xf numFmtId="44" fontId="0" fillId="0" borderId="25" xfId="42" applyFont="1" applyBorder="1" applyAlignment="1">
      <alignment horizontal="center"/>
    </xf>
    <xf numFmtId="0" fontId="16" fillId="0" borderId="19" xfId="0" applyFont="1" applyBorder="1" applyAlignment="1">
      <alignment horizontal="center"/>
    </xf>
    <xf numFmtId="0" fontId="16" fillId="0" borderId="24" xfId="0" applyFont="1" applyBorder="1" applyAlignment="1">
      <alignment horizontal="center"/>
    </xf>
    <xf numFmtId="0" fontId="0" fillId="0" borderId="0" xfId="0" applyFill="1"/>
    <xf numFmtId="0" fontId="0" fillId="0" borderId="20" xfId="0" applyFill="1" applyBorder="1"/>
    <xf numFmtId="0" fontId="16" fillId="0" borderId="20" xfId="0" applyFont="1" applyFill="1" applyBorder="1" applyAlignment="1">
      <alignment horizontal="center"/>
    </xf>
    <xf numFmtId="0" fontId="0" fillId="0" borderId="17" xfId="0" applyFill="1" applyBorder="1"/>
    <xf numFmtId="164" fontId="0" fillId="0" borderId="20" xfId="0" applyNumberFormat="1" applyBorder="1" applyAlignment="1">
      <alignment horizontal="center"/>
    </xf>
    <xf numFmtId="1" fontId="0" fillId="0" borderId="20" xfId="0" applyNumberFormat="1" applyBorder="1" applyAlignment="1">
      <alignment horizontal="center"/>
    </xf>
    <xf numFmtId="0" fontId="0" fillId="0" borderId="20" xfId="0" applyBorder="1" applyAlignment="1">
      <alignment horizontal="center"/>
    </xf>
    <xf numFmtId="0" fontId="0" fillId="0" borderId="25" xfId="0" applyBorder="1" applyAlignment="1">
      <alignment horizontal="center"/>
    </xf>
    <xf numFmtId="0" fontId="0" fillId="0" borderId="25" xfId="0" applyFont="1" applyBorder="1"/>
    <xf numFmtId="0" fontId="16" fillId="0" borderId="0" xfId="0" applyFont="1" applyFill="1" applyBorder="1"/>
    <xf numFmtId="9" fontId="0" fillId="0" borderId="0" xfId="43" applyFont="1" applyBorder="1" applyAlignment="1">
      <alignment horizontal="center"/>
    </xf>
    <xf numFmtId="9" fontId="0" fillId="0" borderId="22" xfId="43" applyFont="1" applyBorder="1" applyAlignment="1">
      <alignment horizontal="center"/>
    </xf>
    <xf numFmtId="0" fontId="16" fillId="0" borderId="0" xfId="0" applyFont="1" applyBorder="1" applyAlignment="1">
      <alignment horizontal="right"/>
    </xf>
    <xf numFmtId="0" fontId="0" fillId="33" borderId="0" xfId="0" applyFill="1"/>
    <xf numFmtId="164" fontId="0" fillId="33" borderId="0" xfId="0" applyNumberFormat="1" applyFill="1" applyBorder="1" applyAlignment="1">
      <alignment horizontal="center"/>
    </xf>
    <xf numFmtId="1" fontId="0" fillId="33" borderId="0" xfId="0" applyNumberFormat="1" applyFill="1" applyBorder="1" applyAlignment="1">
      <alignment horizontal="center"/>
    </xf>
    <xf numFmtId="44" fontId="0" fillId="33" borderId="0" xfId="42" applyFont="1" applyFill="1" applyBorder="1" applyAlignment="1">
      <alignment horizontal="center"/>
    </xf>
    <xf numFmtId="0" fontId="0" fillId="33" borderId="0" xfId="0" applyFill="1" applyBorder="1" applyAlignment="1">
      <alignment horizontal="center"/>
    </xf>
    <xf numFmtId="0" fontId="0" fillId="33" borderId="22" xfId="0" applyFill="1" applyBorder="1" applyAlignment="1">
      <alignment horizontal="center"/>
    </xf>
    <xf numFmtId="0" fontId="0" fillId="33" borderId="22" xfId="0" applyFont="1" applyFill="1" applyBorder="1"/>
    <xf numFmtId="0" fontId="0" fillId="0" borderId="0" xfId="0" applyFont="1" applyFill="1" applyBorder="1"/>
    <xf numFmtId="0" fontId="0" fillId="0" borderId="0" xfId="0" applyFill="1" applyBorder="1"/>
    <xf numFmtId="44" fontId="0" fillId="0" borderId="14" xfId="42" applyFont="1" applyFill="1" applyBorder="1"/>
    <xf numFmtId="164" fontId="0" fillId="33" borderId="0" xfId="0" applyNumberFormat="1" applyFill="1" applyAlignment="1">
      <alignment horizontal="center"/>
    </xf>
    <xf numFmtId="0" fontId="0" fillId="33" borderId="0" xfId="0"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85"/>
  <sheetViews>
    <sheetView tabSelected="1" zoomScaleNormal="100" workbookViewId="0">
      <pane ySplit="864"/>
      <selection activeCell="C1" sqref="C1:M1048576"/>
      <selection pane="bottomLeft" activeCell="D57" sqref="D57"/>
    </sheetView>
  </sheetViews>
  <sheetFormatPr defaultRowHeight="14.4" x14ac:dyDescent="0.3"/>
  <cols>
    <col min="1" max="1" width="18.77734375" style="13" bestFit="1" customWidth="1"/>
    <col min="2" max="2" width="48.88671875" style="45" customWidth="1"/>
    <col min="3" max="3" width="7.109375" style="3" hidden="1" customWidth="1"/>
    <col min="4" max="4" width="8.109375" style="19" hidden="1" customWidth="1"/>
    <col min="5" max="5" width="5.88671875" style="19" hidden="1" customWidth="1"/>
    <col min="6" max="6" width="8.109375" style="25" hidden="1" customWidth="1"/>
    <col min="7" max="8" width="8.6640625" style="3" hidden="1" customWidth="1"/>
    <col min="9" max="9" width="21" style="33" hidden="1" customWidth="1"/>
    <col min="10" max="10" width="10.44140625" style="33" hidden="1" customWidth="1"/>
    <col min="11" max="11" width="9.88671875" style="3" hidden="1" customWidth="1"/>
    <col min="12" max="12" width="9.6640625" style="3" hidden="1" customWidth="1"/>
    <col min="13" max="13" width="9.44140625" style="3" hidden="1" customWidth="1"/>
    <col min="14" max="14" width="9.44140625" style="3" customWidth="1"/>
    <col min="15" max="15" width="8.21875" style="3" customWidth="1"/>
    <col min="16" max="16" width="8.88671875" style="5"/>
    <col min="17" max="17" width="10.33203125" style="5" customWidth="1"/>
    <col min="20" max="20" width="10.109375" bestFit="1" customWidth="1"/>
  </cols>
  <sheetData>
    <row r="1" spans="1:20" s="1" customFormat="1" ht="28.8" x14ac:dyDescent="0.3">
      <c r="A1" s="13" t="s">
        <v>90</v>
      </c>
      <c r="B1" s="47" t="s">
        <v>0</v>
      </c>
      <c r="C1" s="4" t="s">
        <v>99</v>
      </c>
      <c r="D1" s="22" t="s">
        <v>101</v>
      </c>
      <c r="E1" s="22" t="s">
        <v>134</v>
      </c>
      <c r="F1" s="27" t="s">
        <v>136</v>
      </c>
      <c r="G1" s="4" t="s">
        <v>8</v>
      </c>
      <c r="H1" s="4"/>
      <c r="I1" s="34" t="s">
        <v>1</v>
      </c>
      <c r="J1" s="32" t="s">
        <v>2</v>
      </c>
      <c r="K1" s="2" t="s">
        <v>3</v>
      </c>
      <c r="L1" s="2" t="s">
        <v>4</v>
      </c>
      <c r="M1" s="2" t="s">
        <v>5</v>
      </c>
      <c r="N1" s="4" t="s">
        <v>154</v>
      </c>
      <c r="O1" s="2" t="s">
        <v>131</v>
      </c>
      <c r="P1" s="38" t="s">
        <v>133</v>
      </c>
      <c r="Q1" s="6" t="s">
        <v>11</v>
      </c>
      <c r="R1" s="6" t="s">
        <v>9</v>
      </c>
      <c r="S1" s="6" t="s">
        <v>135</v>
      </c>
      <c r="T1" s="9" t="s">
        <v>10</v>
      </c>
    </row>
    <row r="2" spans="1:20" s="1" customFormat="1" x14ac:dyDescent="0.3">
      <c r="A2" s="14" t="s">
        <v>87</v>
      </c>
      <c r="B2" s="45" t="s">
        <v>12</v>
      </c>
      <c r="C2" s="16" t="str">
        <f>RIGHT(B2,1)</f>
        <v>7</v>
      </c>
      <c r="D2" s="18">
        <v>5</v>
      </c>
      <c r="E2" s="18">
        <v>0</v>
      </c>
      <c r="F2" s="25">
        <f>$S$14*D2+($S$15-$S$14)*E2</f>
        <v>0.25</v>
      </c>
      <c r="G2" s="15">
        <v>12</v>
      </c>
      <c r="H2" s="15"/>
      <c r="I2" s="35" t="s">
        <v>151</v>
      </c>
      <c r="J2" s="15">
        <v>1</v>
      </c>
      <c r="K2" s="15">
        <v>1</v>
      </c>
      <c r="L2" s="15"/>
      <c r="M2" s="15">
        <v>1</v>
      </c>
      <c r="N2" s="15"/>
      <c r="O2" s="15"/>
      <c r="P2" s="39">
        <f t="shared" ref="P2:P36" si="0">SUM(J2:M2)</f>
        <v>3</v>
      </c>
      <c r="Q2" s="20"/>
      <c r="R2" s="7"/>
      <c r="S2" s="7"/>
      <c r="T2" s="10"/>
    </row>
    <row r="3" spans="1:20" x14ac:dyDescent="0.3">
      <c r="B3" s="45" t="s">
        <v>13</v>
      </c>
      <c r="C3" s="17" t="str">
        <f>RIGHT(B3,2)</f>
        <v>13</v>
      </c>
      <c r="D3" s="19">
        <f t="shared" ref="D3:D70" si="1">C4-C3</f>
        <v>2</v>
      </c>
      <c r="E3" s="19">
        <v>0</v>
      </c>
      <c r="F3" s="25">
        <f>$S$14*D3+($S$15-$S$14)*E3</f>
        <v>0.1</v>
      </c>
      <c r="G3" s="3">
        <v>13</v>
      </c>
      <c r="I3" s="36"/>
      <c r="J3" s="33">
        <v>1</v>
      </c>
      <c r="K3" s="3">
        <v>1</v>
      </c>
      <c r="M3" s="3">
        <v>1</v>
      </c>
      <c r="P3" s="40">
        <f t="shared" si="0"/>
        <v>3</v>
      </c>
      <c r="Q3" s="20">
        <v>0</v>
      </c>
      <c r="R3" s="8">
        <f>SUMIF(P$2:P$78,"&gt;=" &amp; Q3,D$2:D$78)</f>
        <v>300</v>
      </c>
      <c r="S3" s="8">
        <f>SUMIF(P$2:P$78,"&gt;=" &amp; Q3,E$2:E$78)</f>
        <v>20</v>
      </c>
      <c r="T3" s="11">
        <f t="shared" ref="T3:T11" si="2">$S$16 + $S$14*R3+($S$15-$S$14)*S3</f>
        <v>24</v>
      </c>
    </row>
    <row r="4" spans="1:20" x14ac:dyDescent="0.3">
      <c r="B4" s="46" t="s">
        <v>14</v>
      </c>
      <c r="C4" s="17" t="str">
        <f t="shared" ref="C4:C25" si="3">RIGHT(B4,2)</f>
        <v>15</v>
      </c>
      <c r="D4" s="19">
        <f>C5-C4</f>
        <v>2</v>
      </c>
      <c r="E4" s="19">
        <v>0</v>
      </c>
      <c r="F4" s="28">
        <f>$S$14*D4+($S$15-$S$14)*E4</f>
        <v>0.1</v>
      </c>
      <c r="I4" s="36" t="s">
        <v>148</v>
      </c>
      <c r="J4" s="33">
        <v>1</v>
      </c>
      <c r="M4" s="3">
        <v>1</v>
      </c>
      <c r="P4" s="40">
        <f t="shared" si="0"/>
        <v>2</v>
      </c>
      <c r="Q4" s="20">
        <v>0.5</v>
      </c>
      <c r="R4" s="8">
        <f>SUMIF(P$2:P$78,"&gt;=" &amp; Q4,D$2:D$78)</f>
        <v>208</v>
      </c>
      <c r="S4" s="8">
        <f>SUMIF(P$2:P$78,"&gt;=" &amp; Q4,E$2:E$78)</f>
        <v>12</v>
      </c>
      <c r="T4" s="11">
        <f t="shared" si="2"/>
        <v>17</v>
      </c>
    </row>
    <row r="5" spans="1:20" x14ac:dyDescent="0.3">
      <c r="A5" s="14" t="s">
        <v>88</v>
      </c>
      <c r="B5" s="45" t="s">
        <v>15</v>
      </c>
      <c r="C5" s="16" t="str">
        <f t="shared" si="3"/>
        <v>17</v>
      </c>
      <c r="D5" s="18">
        <f>C7-C5</f>
        <v>4</v>
      </c>
      <c r="E5" s="18">
        <v>0</v>
      </c>
      <c r="F5" s="25">
        <f>$S$14*D5+($S$15-$S$14)*E5</f>
        <v>0.2</v>
      </c>
      <c r="G5" s="15">
        <v>14</v>
      </c>
      <c r="H5" s="15"/>
      <c r="I5" s="35"/>
      <c r="J5" s="15">
        <v>0</v>
      </c>
      <c r="K5" s="15"/>
      <c r="L5" s="15">
        <v>1</v>
      </c>
      <c r="M5" s="15">
        <v>0</v>
      </c>
      <c r="N5" s="15"/>
      <c r="O5" s="15">
        <v>0.5</v>
      </c>
      <c r="P5" s="39">
        <f>SUM(J5:M5)</f>
        <v>1</v>
      </c>
      <c r="Q5" s="20">
        <v>1</v>
      </c>
      <c r="R5" s="8">
        <f>SUMIF(P$2:P$78,"&gt;=" &amp; Q5,D$2:D$78)</f>
        <v>203</v>
      </c>
      <c r="S5" s="8">
        <f>SUMIF(P$2:P$78,"&gt;=" &amp; Q5,E$2:E$78)</f>
        <v>12</v>
      </c>
      <c r="T5" s="11">
        <f t="shared" si="2"/>
        <v>16.75</v>
      </c>
    </row>
    <row r="6" spans="1:20" x14ac:dyDescent="0.3">
      <c r="A6" s="57"/>
      <c r="B6" s="58" t="s">
        <v>156</v>
      </c>
      <c r="C6" s="59"/>
      <c r="D6" s="60">
        <v>4</v>
      </c>
      <c r="E6" s="60">
        <v>0</v>
      </c>
      <c r="F6" s="61"/>
      <c r="G6" s="62"/>
      <c r="H6" s="62"/>
      <c r="I6" s="63" t="s">
        <v>155</v>
      </c>
      <c r="J6" s="62"/>
      <c r="K6" s="62"/>
      <c r="L6" s="62"/>
      <c r="M6" s="62"/>
      <c r="N6" s="62"/>
      <c r="O6" s="62"/>
      <c r="P6" s="64">
        <f t="shared" si="0"/>
        <v>0</v>
      </c>
      <c r="Q6" s="65">
        <v>1.5</v>
      </c>
      <c r="R6" s="66">
        <f>SUMIF(P$2:P$78,"&gt;=" &amp; Q6,D$2:D$78)</f>
        <v>155</v>
      </c>
      <c r="S6" s="66">
        <f>SUMIF(P$2:P$78,"&gt;=" &amp; Q6,E$2:E$78)</f>
        <v>9</v>
      </c>
      <c r="T6" s="67">
        <f t="shared" si="2"/>
        <v>13.45</v>
      </c>
    </row>
    <row r="7" spans="1:20" x14ac:dyDescent="0.3">
      <c r="B7" s="45" t="s">
        <v>16</v>
      </c>
      <c r="C7" s="17" t="str">
        <f t="shared" si="3"/>
        <v>21</v>
      </c>
      <c r="D7" s="19">
        <f t="shared" si="1"/>
        <v>7</v>
      </c>
      <c r="E7" s="19">
        <v>0</v>
      </c>
      <c r="F7" s="25">
        <f>$S$14*D7+($S$15-$S$14)*E7</f>
        <v>0.35000000000000003</v>
      </c>
      <c r="I7" s="36"/>
      <c r="O7" s="3">
        <v>0.5</v>
      </c>
      <c r="P7" s="40">
        <f t="shared" si="0"/>
        <v>0</v>
      </c>
      <c r="Q7" s="20">
        <v>2</v>
      </c>
      <c r="R7" s="8">
        <f>SUMIF(P$2:P$78,"&gt;=" &amp; Q7,D$2:D$78)</f>
        <v>155</v>
      </c>
      <c r="S7" s="8">
        <f>SUMIF(P$2:P$78,"&gt;=" &amp; Q7,E$2:E$78)</f>
        <v>9</v>
      </c>
      <c r="T7" s="11">
        <f t="shared" si="2"/>
        <v>13.45</v>
      </c>
    </row>
    <row r="8" spans="1:20" x14ac:dyDescent="0.3">
      <c r="B8" s="45" t="s">
        <v>17</v>
      </c>
      <c r="C8" s="17" t="str">
        <f t="shared" si="3"/>
        <v>28</v>
      </c>
      <c r="D8" s="19">
        <f t="shared" si="1"/>
        <v>2</v>
      </c>
      <c r="E8" s="19">
        <v>0</v>
      </c>
      <c r="F8" s="25">
        <f>$S$14*D8+($S$15-$S$14)*E8</f>
        <v>0.1</v>
      </c>
      <c r="I8" s="36" t="s">
        <v>6</v>
      </c>
      <c r="J8" s="33">
        <v>1</v>
      </c>
      <c r="L8"/>
      <c r="M8" s="3">
        <v>1</v>
      </c>
      <c r="O8" s="3">
        <v>1</v>
      </c>
      <c r="P8" s="40">
        <f t="shared" si="0"/>
        <v>2</v>
      </c>
      <c r="Q8" s="20">
        <v>2.5</v>
      </c>
      <c r="R8" s="8">
        <f>SUMIF(P$2:P$78,"&gt;=" &amp; Q8,D$2:D$78)</f>
        <v>109</v>
      </c>
      <c r="S8" s="8">
        <f>SUMIF(P$2:P$78,"&gt;=" &amp; Q8,E$2:E$78)</f>
        <v>7</v>
      </c>
      <c r="T8" s="11">
        <f t="shared" si="2"/>
        <v>10.549999999999999</v>
      </c>
    </row>
    <row r="9" spans="1:20" x14ac:dyDescent="0.3">
      <c r="B9" s="45" t="s">
        <v>18</v>
      </c>
      <c r="C9" s="17" t="str">
        <f t="shared" si="3"/>
        <v>30</v>
      </c>
      <c r="D9" s="19">
        <f t="shared" si="1"/>
        <v>5</v>
      </c>
      <c r="E9" s="19">
        <v>0</v>
      </c>
      <c r="F9" s="25">
        <f>$S$14*D9+($S$15-$S$14)*E9</f>
        <v>0.25</v>
      </c>
      <c r="G9" s="3">
        <v>15</v>
      </c>
      <c r="I9" s="36"/>
      <c r="K9" s="3">
        <v>1</v>
      </c>
      <c r="L9" s="3">
        <v>1</v>
      </c>
      <c r="P9" s="40">
        <f t="shared" si="0"/>
        <v>2</v>
      </c>
      <c r="Q9" s="20">
        <v>3</v>
      </c>
      <c r="R9" s="8">
        <f>SUMIF(P$2:P$78,"&gt;=" &amp; Q9,D$2:D$78)</f>
        <v>81</v>
      </c>
      <c r="S9" s="8">
        <f>SUMIF(P$2:P$78,"&gt;=" &amp; Q9,E$2:E$78)</f>
        <v>5</v>
      </c>
      <c r="T9" s="11">
        <f t="shared" si="2"/>
        <v>8.5500000000000007</v>
      </c>
    </row>
    <row r="10" spans="1:20" x14ac:dyDescent="0.3">
      <c r="B10" s="45" t="s">
        <v>19</v>
      </c>
      <c r="C10" s="17" t="str">
        <f t="shared" si="3"/>
        <v>35</v>
      </c>
      <c r="D10" s="19">
        <f t="shared" si="1"/>
        <v>3</v>
      </c>
      <c r="E10" s="19">
        <v>0</v>
      </c>
      <c r="F10" s="25">
        <f>$S$14*D10+($S$15-$S$14)*E10</f>
        <v>0.15000000000000002</v>
      </c>
      <c r="G10" s="3">
        <v>17</v>
      </c>
      <c r="I10" s="36"/>
      <c r="J10" s="33">
        <v>1</v>
      </c>
      <c r="K10" s="3">
        <v>1</v>
      </c>
      <c r="L10" s="3">
        <v>1</v>
      </c>
      <c r="M10" s="3">
        <v>1</v>
      </c>
      <c r="O10" s="3">
        <v>1</v>
      </c>
      <c r="P10" s="40">
        <f t="shared" si="0"/>
        <v>4</v>
      </c>
      <c r="Q10" s="20">
        <v>3.5</v>
      </c>
      <c r="R10" s="8">
        <f>SUMIF(P$2:P$78,"&gt;=" &amp; Q10,D$2:D$78)</f>
        <v>54</v>
      </c>
      <c r="S10" s="8">
        <f>SUMIF(P$2:P$78,"&gt;=" &amp; Q10,E$2:E$78)</f>
        <v>4</v>
      </c>
      <c r="T10" s="11">
        <f t="shared" si="2"/>
        <v>6.9</v>
      </c>
    </row>
    <row r="11" spans="1:20" x14ac:dyDescent="0.3">
      <c r="B11" s="45" t="s">
        <v>20</v>
      </c>
      <c r="C11" s="17" t="str">
        <f t="shared" si="3"/>
        <v>38</v>
      </c>
      <c r="D11" s="19">
        <f t="shared" si="1"/>
        <v>2</v>
      </c>
      <c r="E11" s="19">
        <v>0</v>
      </c>
      <c r="F11" s="25">
        <f>$S$14*D11+($S$15-$S$14)*E11</f>
        <v>0.1</v>
      </c>
      <c r="I11" s="36" t="s">
        <v>6</v>
      </c>
      <c r="J11" s="33">
        <v>1</v>
      </c>
      <c r="L11" s="3">
        <v>1</v>
      </c>
      <c r="M11" s="3">
        <v>1</v>
      </c>
      <c r="O11" s="3">
        <v>1</v>
      </c>
      <c r="P11" s="40">
        <f t="shared" si="0"/>
        <v>3</v>
      </c>
      <c r="Q11" s="37">
        <v>4</v>
      </c>
      <c r="R11" s="23">
        <f>SUMIF(P$2:P$78,"&gt;=" &amp; Q11,D$2:D$78)</f>
        <v>39</v>
      </c>
      <c r="S11" s="23">
        <f>SUMIF(P$2:P$78,"&gt;=" &amp; Q11,E$2:E$78)</f>
        <v>4</v>
      </c>
      <c r="T11" s="24">
        <f t="shared" si="2"/>
        <v>6.15</v>
      </c>
    </row>
    <row r="12" spans="1:20" x14ac:dyDescent="0.3">
      <c r="B12" s="45" t="s">
        <v>21</v>
      </c>
      <c r="C12" s="17" t="str">
        <f t="shared" si="3"/>
        <v>40</v>
      </c>
      <c r="D12" s="19">
        <f t="shared" si="1"/>
        <v>1</v>
      </c>
      <c r="E12" s="19">
        <v>0</v>
      </c>
      <c r="F12" s="25">
        <f>$S$14*D12+($S$15-$S$14)*E12</f>
        <v>0.05</v>
      </c>
      <c r="I12" s="36" t="s">
        <v>6</v>
      </c>
      <c r="J12" s="33">
        <v>1</v>
      </c>
      <c r="L12" s="3">
        <v>0.5</v>
      </c>
      <c r="M12" s="3">
        <v>1</v>
      </c>
      <c r="P12" s="40">
        <f t="shared" si="0"/>
        <v>2.5</v>
      </c>
    </row>
    <row r="13" spans="1:20" ht="15" thickBot="1" x14ac:dyDescent="0.35">
      <c r="B13" s="45" t="s">
        <v>22</v>
      </c>
      <c r="C13" s="17" t="str">
        <f t="shared" si="3"/>
        <v>41</v>
      </c>
      <c r="D13" s="19">
        <v>6</v>
      </c>
      <c r="E13" s="19">
        <v>0</v>
      </c>
      <c r="F13" s="25">
        <f>$S$14*D13+($S$15-$S$14)*E13</f>
        <v>0.30000000000000004</v>
      </c>
      <c r="G13" s="3">
        <v>16</v>
      </c>
      <c r="I13" s="36"/>
      <c r="J13" s="33">
        <v>1</v>
      </c>
      <c r="L13" s="3">
        <v>0.5</v>
      </c>
      <c r="M13" s="3">
        <v>1</v>
      </c>
      <c r="O13" s="3">
        <v>1</v>
      </c>
      <c r="P13" s="40">
        <f>SUM(J13:M13)</f>
        <v>2.5</v>
      </c>
      <c r="R13" s="1" t="s">
        <v>139</v>
      </c>
    </row>
    <row r="14" spans="1:20" x14ac:dyDescent="0.3">
      <c r="B14" s="45" t="s">
        <v>23</v>
      </c>
      <c r="C14" s="17" t="str">
        <f t="shared" si="3"/>
        <v>48</v>
      </c>
      <c r="D14" s="19">
        <f t="shared" si="1"/>
        <v>5</v>
      </c>
      <c r="E14" s="19">
        <v>0</v>
      </c>
      <c r="F14" s="25">
        <f>$S$14*D14+($S$15-$S$14)*E14</f>
        <v>0.25</v>
      </c>
      <c r="I14" s="36" t="s">
        <v>6</v>
      </c>
      <c r="J14" s="33">
        <v>1</v>
      </c>
      <c r="L14" s="3">
        <v>1</v>
      </c>
      <c r="M14" s="3">
        <v>1</v>
      </c>
      <c r="O14" s="3">
        <v>1</v>
      </c>
      <c r="P14" s="40">
        <f t="shared" si="0"/>
        <v>3</v>
      </c>
      <c r="R14" s="29" t="s">
        <v>137</v>
      </c>
      <c r="S14" s="26">
        <v>0.05</v>
      </c>
    </row>
    <row r="15" spans="1:20" x14ac:dyDescent="0.3">
      <c r="B15" s="45" t="s">
        <v>24</v>
      </c>
      <c r="C15" s="17" t="str">
        <f t="shared" si="3"/>
        <v>53</v>
      </c>
      <c r="D15" s="19">
        <f t="shared" si="1"/>
        <v>4</v>
      </c>
      <c r="E15" s="19">
        <v>1</v>
      </c>
      <c r="F15" s="25">
        <f>$S$14*D15+($S$15-$S$14)*E15</f>
        <v>0.5</v>
      </c>
      <c r="G15" s="3">
        <v>18</v>
      </c>
      <c r="I15" s="36"/>
      <c r="K15" s="3">
        <v>1</v>
      </c>
      <c r="L15" s="3">
        <v>1</v>
      </c>
      <c r="O15" s="3">
        <v>1</v>
      </c>
      <c r="P15" s="40">
        <f t="shared" si="0"/>
        <v>2</v>
      </c>
      <c r="R15" s="30" t="s">
        <v>140</v>
      </c>
      <c r="S15" s="11">
        <v>0.35</v>
      </c>
    </row>
    <row r="16" spans="1:20" ht="15" thickBot="1" x14ac:dyDescent="0.35">
      <c r="B16" s="45" t="s">
        <v>25</v>
      </c>
      <c r="C16" s="17" t="str">
        <f t="shared" si="3"/>
        <v>57</v>
      </c>
      <c r="D16" s="19">
        <f t="shared" si="1"/>
        <v>3</v>
      </c>
      <c r="E16" s="19">
        <v>0</v>
      </c>
      <c r="F16" s="25">
        <f>$S$14*D16+($S$15-$S$14)*E16</f>
        <v>0.15000000000000002</v>
      </c>
      <c r="G16" s="3">
        <v>19</v>
      </c>
      <c r="I16" s="36"/>
      <c r="K16" s="3">
        <v>1</v>
      </c>
      <c r="L16" s="3">
        <v>1</v>
      </c>
      <c r="O16" s="3">
        <v>1</v>
      </c>
      <c r="P16" s="40">
        <f t="shared" si="0"/>
        <v>2</v>
      </c>
      <c r="R16" s="31" t="s">
        <v>138</v>
      </c>
      <c r="S16" s="12">
        <v>3</v>
      </c>
    </row>
    <row r="17" spans="1:18" x14ac:dyDescent="0.3">
      <c r="B17" s="45" t="s">
        <v>26</v>
      </c>
      <c r="C17" s="17" t="str">
        <f t="shared" si="3"/>
        <v>60</v>
      </c>
      <c r="D17" s="19">
        <f t="shared" si="1"/>
        <v>3</v>
      </c>
      <c r="E17" s="19">
        <v>0</v>
      </c>
      <c r="F17" s="25">
        <f>$S$14*D17+($S$15-$S$14)*E17</f>
        <v>0.15000000000000002</v>
      </c>
      <c r="G17" s="3">
        <v>20</v>
      </c>
      <c r="I17" s="36"/>
      <c r="K17" s="3">
        <v>1</v>
      </c>
      <c r="L17" s="3">
        <v>1</v>
      </c>
      <c r="O17" s="3">
        <v>1</v>
      </c>
      <c r="P17" s="40">
        <f t="shared" si="0"/>
        <v>2</v>
      </c>
    </row>
    <row r="18" spans="1:18" x14ac:dyDescent="0.3">
      <c r="B18" s="45" t="s">
        <v>27</v>
      </c>
      <c r="C18" s="17" t="str">
        <f t="shared" si="3"/>
        <v>63</v>
      </c>
      <c r="D18" s="19">
        <f t="shared" si="1"/>
        <v>3</v>
      </c>
      <c r="E18" s="19">
        <v>0</v>
      </c>
      <c r="F18" s="25">
        <f>$S$14*D18+($S$15-$S$14)*E18</f>
        <v>0.15000000000000002</v>
      </c>
      <c r="G18" s="3">
        <v>21</v>
      </c>
      <c r="I18" s="36"/>
      <c r="K18" s="3">
        <v>1</v>
      </c>
      <c r="L18" s="3">
        <v>1</v>
      </c>
      <c r="O18" s="3">
        <v>1</v>
      </c>
      <c r="P18" s="40">
        <f t="shared" si="0"/>
        <v>2</v>
      </c>
      <c r="R18" s="54" t="s">
        <v>146</v>
      </c>
    </row>
    <row r="19" spans="1:18" x14ac:dyDescent="0.3">
      <c r="B19" s="45" t="s">
        <v>28</v>
      </c>
      <c r="C19" s="17" t="str">
        <f t="shared" si="3"/>
        <v>66</v>
      </c>
      <c r="D19" s="19">
        <f t="shared" si="1"/>
        <v>3</v>
      </c>
      <c r="E19" s="19">
        <v>0</v>
      </c>
      <c r="F19" s="25">
        <f>$S$14*D19+($S$15-$S$14)*E19</f>
        <v>0.15000000000000002</v>
      </c>
      <c r="G19" s="3">
        <v>22</v>
      </c>
      <c r="I19" s="36"/>
      <c r="P19" s="40">
        <f t="shared" si="0"/>
        <v>0</v>
      </c>
      <c r="R19">
        <v>1.5</v>
      </c>
    </row>
    <row r="20" spans="1:18" x14ac:dyDescent="0.3">
      <c r="B20" s="45" t="s">
        <v>29</v>
      </c>
      <c r="C20" s="17" t="str">
        <f t="shared" si="3"/>
        <v>69</v>
      </c>
      <c r="D20" s="19">
        <f t="shared" si="1"/>
        <v>4</v>
      </c>
      <c r="E20" s="19">
        <v>0</v>
      </c>
      <c r="F20" s="25">
        <f>$S$14*D20+($S$15-$S$14)*E20</f>
        <v>0.2</v>
      </c>
      <c r="G20" s="3">
        <v>23</v>
      </c>
      <c r="I20" s="36"/>
      <c r="O20" s="3">
        <v>1</v>
      </c>
      <c r="P20" s="40">
        <f t="shared" si="0"/>
        <v>0</v>
      </c>
    </row>
    <row r="21" spans="1:18" s="8" customFormat="1" x14ac:dyDescent="0.3">
      <c r="A21" s="13"/>
      <c r="B21" s="45" t="s">
        <v>30</v>
      </c>
      <c r="C21" s="17" t="str">
        <f t="shared" si="3"/>
        <v>73</v>
      </c>
      <c r="D21" s="19">
        <f t="shared" si="1"/>
        <v>2</v>
      </c>
      <c r="E21" s="19">
        <v>0</v>
      </c>
      <c r="F21" s="28">
        <f>$S$14*D21+($S$15-$S$14)*E21</f>
        <v>0.1</v>
      </c>
      <c r="G21" s="3">
        <v>24</v>
      </c>
      <c r="H21" s="3"/>
      <c r="I21" s="36"/>
      <c r="J21" s="33"/>
      <c r="K21" s="3">
        <v>1</v>
      </c>
      <c r="L21" s="3"/>
      <c r="M21" s="3"/>
      <c r="N21" s="3"/>
      <c r="O21" s="3">
        <v>1</v>
      </c>
      <c r="P21" s="40">
        <f t="shared" si="0"/>
        <v>1</v>
      </c>
      <c r="Q21" s="20"/>
    </row>
    <row r="22" spans="1:18" x14ac:dyDescent="0.3">
      <c r="A22" s="14" t="s">
        <v>89</v>
      </c>
      <c r="B22" s="48" t="s">
        <v>31</v>
      </c>
      <c r="C22" s="16" t="str">
        <f t="shared" si="3"/>
        <v>75</v>
      </c>
      <c r="D22" s="18">
        <f t="shared" si="1"/>
        <v>10</v>
      </c>
      <c r="E22" s="18">
        <v>0</v>
      </c>
      <c r="F22" s="25">
        <f>$S$14*D22+($S$15-$S$14)*E22</f>
        <v>0.5</v>
      </c>
      <c r="G22" s="15"/>
      <c r="H22" s="15"/>
      <c r="I22" s="35" t="s">
        <v>6</v>
      </c>
      <c r="J22" s="15">
        <v>1</v>
      </c>
      <c r="K22" s="15"/>
      <c r="L22" s="15">
        <v>0.7</v>
      </c>
      <c r="M22" s="15">
        <v>1</v>
      </c>
      <c r="N22" s="15"/>
      <c r="O22" s="15">
        <v>1</v>
      </c>
      <c r="P22" s="39">
        <f t="shared" si="0"/>
        <v>2.7</v>
      </c>
    </row>
    <row r="23" spans="1:18" x14ac:dyDescent="0.3">
      <c r="B23" s="45" t="s">
        <v>32</v>
      </c>
      <c r="C23" s="17" t="str">
        <f t="shared" si="3"/>
        <v>85</v>
      </c>
      <c r="D23" s="19">
        <f t="shared" si="1"/>
        <v>8</v>
      </c>
      <c r="E23" s="19">
        <v>0</v>
      </c>
      <c r="F23" s="25">
        <f>$S$14*D23+($S$15-$S$14)*E23</f>
        <v>0.4</v>
      </c>
      <c r="I23" s="36" t="s">
        <v>6</v>
      </c>
      <c r="J23" s="33">
        <v>1</v>
      </c>
      <c r="K23" s="3">
        <v>1</v>
      </c>
      <c r="L23" s="3">
        <v>1</v>
      </c>
      <c r="M23" s="3">
        <v>1</v>
      </c>
      <c r="O23" s="3">
        <v>1</v>
      </c>
      <c r="P23" s="40">
        <f t="shared" si="0"/>
        <v>4</v>
      </c>
      <c r="R23" s="45"/>
    </row>
    <row r="24" spans="1:18" x14ac:dyDescent="0.3">
      <c r="B24" s="45" t="s">
        <v>33</v>
      </c>
      <c r="C24" s="17" t="str">
        <f t="shared" si="3"/>
        <v>93</v>
      </c>
      <c r="D24" s="19">
        <f t="shared" si="1"/>
        <v>5</v>
      </c>
      <c r="E24" s="19">
        <v>0</v>
      </c>
      <c r="F24" s="25">
        <f>$S$14*D24+($S$15-$S$14)*E24</f>
        <v>0.25</v>
      </c>
      <c r="G24" s="3">
        <v>25</v>
      </c>
      <c r="I24" s="36" t="s">
        <v>7</v>
      </c>
      <c r="L24" s="3">
        <v>0.5</v>
      </c>
      <c r="P24" s="40">
        <f t="shared" si="0"/>
        <v>0.5</v>
      </c>
    </row>
    <row r="25" spans="1:18" x14ac:dyDescent="0.3">
      <c r="B25" s="45" t="s">
        <v>58</v>
      </c>
      <c r="C25" s="17" t="str">
        <f t="shared" si="3"/>
        <v>98</v>
      </c>
      <c r="D25" s="19">
        <f t="shared" si="1"/>
        <v>3</v>
      </c>
      <c r="E25" s="19">
        <v>0</v>
      </c>
      <c r="F25" s="25">
        <f>$S$14*D25+($S$15-$S$14)*E25</f>
        <v>0.15000000000000002</v>
      </c>
      <c r="G25" s="3">
        <v>26</v>
      </c>
      <c r="I25" s="36" t="s">
        <v>7</v>
      </c>
      <c r="P25" s="40">
        <f t="shared" si="0"/>
        <v>0</v>
      </c>
    </row>
    <row r="26" spans="1:18" x14ac:dyDescent="0.3">
      <c r="B26" s="45" t="s">
        <v>34</v>
      </c>
      <c r="C26" s="17" t="str">
        <f>RIGHT(B26,3)</f>
        <v>101</v>
      </c>
      <c r="D26" s="19">
        <f t="shared" si="1"/>
        <v>3</v>
      </c>
      <c r="E26" s="19">
        <v>0</v>
      </c>
      <c r="F26" s="25">
        <f>$S$14*D26+($S$15-$S$14)*E26</f>
        <v>0.15000000000000002</v>
      </c>
      <c r="I26" s="36" t="s">
        <v>6</v>
      </c>
      <c r="J26" s="33">
        <v>1</v>
      </c>
      <c r="K26" s="3">
        <v>0.5</v>
      </c>
      <c r="L26" s="3">
        <v>1</v>
      </c>
      <c r="M26" s="3">
        <v>1</v>
      </c>
      <c r="O26" s="3">
        <v>1</v>
      </c>
      <c r="P26" s="40">
        <f t="shared" si="0"/>
        <v>3.5</v>
      </c>
    </row>
    <row r="27" spans="1:18" x14ac:dyDescent="0.3">
      <c r="B27" s="45" t="s">
        <v>35</v>
      </c>
      <c r="C27" s="17" t="str">
        <f t="shared" ref="C27:C77" si="4">RIGHT(B27,3)</f>
        <v>104</v>
      </c>
      <c r="D27" s="19">
        <v>3</v>
      </c>
      <c r="E27" s="19">
        <v>0</v>
      </c>
      <c r="F27" s="25">
        <f>$S$14*D27+($S$15-$S$14)*E27</f>
        <v>0.15000000000000002</v>
      </c>
      <c r="I27" s="36" t="s">
        <v>6</v>
      </c>
      <c r="J27" s="33">
        <v>1</v>
      </c>
      <c r="K27" s="3">
        <v>1</v>
      </c>
      <c r="L27" s="3">
        <v>1</v>
      </c>
      <c r="M27" s="3">
        <v>1</v>
      </c>
      <c r="O27" s="3">
        <v>1</v>
      </c>
      <c r="P27" s="40">
        <f t="shared" si="0"/>
        <v>4</v>
      </c>
    </row>
    <row r="28" spans="1:18" x14ac:dyDescent="0.3">
      <c r="B28" s="45" t="s">
        <v>37</v>
      </c>
      <c r="C28" s="17" t="str">
        <f t="shared" si="4"/>
        <v>110</v>
      </c>
      <c r="D28" s="19">
        <f t="shared" si="1"/>
        <v>5</v>
      </c>
      <c r="E28" s="19">
        <v>0</v>
      </c>
      <c r="F28" s="25">
        <f>$S$14*D28+($S$15-$S$14)*E28</f>
        <v>0.25</v>
      </c>
      <c r="G28" s="3">
        <v>37</v>
      </c>
      <c r="I28" s="36"/>
      <c r="O28" s="3">
        <v>1</v>
      </c>
      <c r="P28" s="40">
        <f t="shared" si="0"/>
        <v>0</v>
      </c>
    </row>
    <row r="29" spans="1:18" s="8" customFormat="1" x14ac:dyDescent="0.3">
      <c r="A29" s="13"/>
      <c r="B29" s="45" t="s">
        <v>38</v>
      </c>
      <c r="C29" s="17" t="str">
        <f t="shared" si="4"/>
        <v>115</v>
      </c>
      <c r="D29" s="19">
        <f t="shared" si="1"/>
        <v>5</v>
      </c>
      <c r="E29" s="19">
        <v>0</v>
      </c>
      <c r="F29" s="28">
        <f>$S$14*D29+($S$15-$S$14)*E29</f>
        <v>0.25</v>
      </c>
      <c r="G29" s="3"/>
      <c r="H29" s="3"/>
      <c r="I29" s="36"/>
      <c r="J29" s="33"/>
      <c r="K29" s="3"/>
      <c r="L29" s="3"/>
      <c r="M29" s="3"/>
      <c r="N29" s="3"/>
      <c r="O29" s="3">
        <v>1</v>
      </c>
      <c r="P29" s="40">
        <f t="shared" si="0"/>
        <v>0</v>
      </c>
      <c r="Q29" s="20"/>
    </row>
    <row r="30" spans="1:18" x14ac:dyDescent="0.3">
      <c r="A30" s="14" t="s">
        <v>91</v>
      </c>
      <c r="B30" s="48" t="s">
        <v>39</v>
      </c>
      <c r="C30" s="16" t="str">
        <f t="shared" si="4"/>
        <v>120</v>
      </c>
      <c r="D30" s="18">
        <f t="shared" si="1"/>
        <v>3</v>
      </c>
      <c r="E30" s="18">
        <v>0</v>
      </c>
      <c r="F30" s="25">
        <f>$S$14*D30+($S$15-$S$14)*E30</f>
        <v>0.15000000000000002</v>
      </c>
      <c r="G30" s="15">
        <v>28</v>
      </c>
      <c r="H30" s="15"/>
      <c r="I30" s="35"/>
      <c r="J30" s="15"/>
      <c r="K30" s="15"/>
      <c r="L30" s="15"/>
      <c r="M30" s="15">
        <v>0.4</v>
      </c>
      <c r="N30" s="15"/>
      <c r="O30" s="15"/>
      <c r="P30" s="39">
        <f t="shared" si="0"/>
        <v>0.4</v>
      </c>
    </row>
    <row r="31" spans="1:18" x14ac:dyDescent="0.3">
      <c r="B31" s="45" t="s">
        <v>40</v>
      </c>
      <c r="C31" s="17" t="str">
        <f t="shared" si="4"/>
        <v>123</v>
      </c>
      <c r="D31" s="19">
        <f t="shared" si="1"/>
        <v>3</v>
      </c>
      <c r="E31" s="19">
        <v>0</v>
      </c>
      <c r="F31" s="25">
        <f>$S$14*D31+($S$15-$S$14)*E31</f>
        <v>0.15000000000000002</v>
      </c>
      <c r="G31" s="3">
        <v>29</v>
      </c>
      <c r="I31" s="36"/>
      <c r="J31" s="33">
        <v>1</v>
      </c>
      <c r="K31" s="3">
        <v>1</v>
      </c>
      <c r="M31" s="3">
        <v>1</v>
      </c>
      <c r="P31" s="40">
        <f t="shared" si="0"/>
        <v>3</v>
      </c>
    </row>
    <row r="32" spans="1:18" x14ac:dyDescent="0.3">
      <c r="B32" s="45" t="s">
        <v>41</v>
      </c>
      <c r="C32" s="17" t="str">
        <f t="shared" si="4"/>
        <v>126</v>
      </c>
      <c r="D32" s="19">
        <f t="shared" si="1"/>
        <v>3</v>
      </c>
      <c r="E32" s="19">
        <v>0</v>
      </c>
      <c r="F32" s="25">
        <f>$S$14*D32+($S$15-$S$14)*E32</f>
        <v>0.15000000000000002</v>
      </c>
      <c r="G32" s="3">
        <v>30</v>
      </c>
      <c r="I32" s="36"/>
      <c r="J32" s="33">
        <v>1</v>
      </c>
      <c r="K32" s="3">
        <v>1</v>
      </c>
      <c r="L32" s="3">
        <v>1</v>
      </c>
      <c r="M32" s="3">
        <v>1</v>
      </c>
      <c r="O32" s="3">
        <v>1</v>
      </c>
      <c r="P32" s="40">
        <f t="shared" si="0"/>
        <v>4</v>
      </c>
    </row>
    <row r="33" spans="1:17" x14ac:dyDescent="0.3">
      <c r="B33" s="45" t="s">
        <v>42</v>
      </c>
      <c r="C33" s="17" t="str">
        <f t="shared" si="4"/>
        <v>129</v>
      </c>
      <c r="D33" s="19">
        <f>C37-C33</f>
        <v>3</v>
      </c>
      <c r="E33" s="19">
        <v>0</v>
      </c>
      <c r="F33" s="25">
        <f>$S$14*D33+($S$15-$S$14)*E33</f>
        <v>0.15000000000000002</v>
      </c>
      <c r="G33" s="3">
        <v>31</v>
      </c>
      <c r="I33" s="36"/>
      <c r="M33" s="3">
        <v>1</v>
      </c>
      <c r="O33" s="3">
        <v>1</v>
      </c>
      <c r="P33" s="40">
        <f t="shared" si="0"/>
        <v>1</v>
      </c>
    </row>
    <row r="34" spans="1:17" x14ac:dyDescent="0.3">
      <c r="B34" s="45" t="s">
        <v>159</v>
      </c>
      <c r="C34" s="17" t="str">
        <f t="shared" si="4"/>
        <v>ire</v>
      </c>
      <c r="D34" s="19">
        <v>2</v>
      </c>
      <c r="E34" s="19">
        <v>0</v>
      </c>
      <c r="F34" s="25">
        <f>$S$14*D34+($S$15-$S$14)*E34</f>
        <v>0.1</v>
      </c>
      <c r="I34" s="36" t="s">
        <v>141</v>
      </c>
      <c r="J34" s="33">
        <v>1</v>
      </c>
      <c r="L34" s="3">
        <v>1</v>
      </c>
      <c r="M34" s="3">
        <v>1</v>
      </c>
      <c r="P34" s="40">
        <f t="shared" si="0"/>
        <v>3</v>
      </c>
    </row>
    <row r="35" spans="1:17" x14ac:dyDescent="0.3">
      <c r="B35" s="58" t="s">
        <v>160</v>
      </c>
      <c r="C35" s="68"/>
      <c r="D35" s="60">
        <v>4</v>
      </c>
      <c r="E35" s="60"/>
      <c r="F35" s="61"/>
      <c r="G35" s="69"/>
      <c r="H35" s="69"/>
      <c r="I35" s="63" t="s">
        <v>155</v>
      </c>
      <c r="J35" s="62"/>
      <c r="K35" s="69"/>
      <c r="L35" s="69"/>
      <c r="M35" s="69"/>
      <c r="N35" s="69"/>
      <c r="O35" s="69"/>
      <c r="P35" s="64">
        <f t="shared" si="0"/>
        <v>0</v>
      </c>
    </row>
    <row r="36" spans="1:17" x14ac:dyDescent="0.3">
      <c r="B36" s="58" t="s">
        <v>157</v>
      </c>
      <c r="C36" s="68" t="str">
        <f t="shared" si="4"/>
        <v>eet</v>
      </c>
      <c r="D36" s="60">
        <v>3</v>
      </c>
      <c r="E36" s="60"/>
      <c r="F36" s="61"/>
      <c r="G36" s="69"/>
      <c r="H36" s="69"/>
      <c r="I36" s="63" t="s">
        <v>155</v>
      </c>
      <c r="J36" s="62"/>
      <c r="K36" s="69"/>
      <c r="L36" s="69"/>
      <c r="M36" s="69"/>
      <c r="N36" s="69"/>
      <c r="O36" s="69"/>
      <c r="P36" s="64">
        <f t="shared" si="0"/>
        <v>0</v>
      </c>
    </row>
    <row r="37" spans="1:17" s="8" customFormat="1" x14ac:dyDescent="0.3">
      <c r="A37" s="13"/>
      <c r="B37" s="45" t="s">
        <v>43</v>
      </c>
      <c r="C37" s="17" t="str">
        <f t="shared" si="4"/>
        <v>132</v>
      </c>
      <c r="D37" s="19">
        <f t="shared" si="1"/>
        <v>7</v>
      </c>
      <c r="E37" s="19">
        <v>0</v>
      </c>
      <c r="F37" s="28">
        <f>$S$14*D37+($S$15-$S$14)*E37</f>
        <v>0.35000000000000003</v>
      </c>
      <c r="G37" s="3">
        <v>33</v>
      </c>
      <c r="H37" s="3"/>
      <c r="I37" s="36"/>
      <c r="J37" s="33">
        <v>1</v>
      </c>
      <c r="K37" s="3">
        <v>1</v>
      </c>
      <c r="L37" s="3">
        <v>1</v>
      </c>
      <c r="M37" s="3">
        <v>1</v>
      </c>
      <c r="N37" s="3"/>
      <c r="O37" s="3">
        <v>1</v>
      </c>
      <c r="P37" s="40">
        <f t="shared" ref="P37:P68" si="5">SUM(J37:M37)</f>
        <v>4</v>
      </c>
      <c r="Q37" s="20"/>
    </row>
    <row r="38" spans="1:17" x14ac:dyDescent="0.3">
      <c r="A38" s="14" t="s">
        <v>92</v>
      </c>
      <c r="B38" s="48" t="s">
        <v>44</v>
      </c>
      <c r="C38" s="16" t="str">
        <f t="shared" si="4"/>
        <v>139</v>
      </c>
      <c r="D38" s="18">
        <f t="shared" si="1"/>
        <v>2</v>
      </c>
      <c r="E38" s="18">
        <v>0</v>
      </c>
      <c r="F38" s="25">
        <f>$S$14*D38+($S$15-$S$14)*E38</f>
        <v>0.1</v>
      </c>
      <c r="G38" s="15" t="s">
        <v>86</v>
      </c>
      <c r="H38" s="15"/>
      <c r="I38" s="35"/>
      <c r="J38" s="15">
        <v>1</v>
      </c>
      <c r="K38" s="15">
        <v>1</v>
      </c>
      <c r="L38" s="15">
        <v>0.7</v>
      </c>
      <c r="M38" s="15">
        <v>1</v>
      </c>
      <c r="N38" s="15"/>
      <c r="O38" s="15">
        <v>1</v>
      </c>
      <c r="P38" s="39">
        <f t="shared" si="5"/>
        <v>3.7</v>
      </c>
    </row>
    <row r="39" spans="1:17" x14ac:dyDescent="0.3">
      <c r="B39" s="45" t="s">
        <v>45</v>
      </c>
      <c r="C39" s="17" t="str">
        <f t="shared" si="4"/>
        <v>141</v>
      </c>
      <c r="D39" s="19">
        <f t="shared" si="1"/>
        <v>5</v>
      </c>
      <c r="E39" s="19">
        <v>0</v>
      </c>
      <c r="F39" s="25">
        <f>$S$14*D39+($S$15-$S$14)*E39</f>
        <v>0.25</v>
      </c>
      <c r="G39" s="3">
        <v>36</v>
      </c>
      <c r="I39" s="36"/>
      <c r="J39" s="33">
        <v>1</v>
      </c>
      <c r="K39" s="3">
        <v>1</v>
      </c>
      <c r="L39" s="3">
        <v>0.7</v>
      </c>
      <c r="M39" s="3">
        <v>1</v>
      </c>
      <c r="O39" s="3">
        <v>1</v>
      </c>
      <c r="P39" s="40">
        <f t="shared" si="5"/>
        <v>3.7</v>
      </c>
    </row>
    <row r="40" spans="1:17" x14ac:dyDescent="0.3">
      <c r="B40" s="45" t="s">
        <v>46</v>
      </c>
      <c r="C40" s="17" t="str">
        <f t="shared" si="4"/>
        <v>146</v>
      </c>
      <c r="D40" s="19">
        <f t="shared" si="1"/>
        <v>4</v>
      </c>
      <c r="E40" s="19">
        <v>0</v>
      </c>
      <c r="F40" s="25">
        <f>$S$14*D40+($S$15-$S$14)*E40</f>
        <v>0.2</v>
      </c>
      <c r="I40" s="36"/>
      <c r="P40" s="40">
        <f t="shared" si="5"/>
        <v>0</v>
      </c>
    </row>
    <row r="41" spans="1:17" x14ac:dyDescent="0.3">
      <c r="B41" s="45" t="s">
        <v>47</v>
      </c>
      <c r="C41" s="17" t="str">
        <f t="shared" si="4"/>
        <v>150</v>
      </c>
      <c r="D41" s="19">
        <f t="shared" si="1"/>
        <v>6</v>
      </c>
      <c r="E41" s="19">
        <v>0</v>
      </c>
      <c r="F41" s="25">
        <f>$S$14*D41+($S$15-$S$14)*E41</f>
        <v>0.30000000000000004</v>
      </c>
      <c r="I41" s="36" t="s">
        <v>6</v>
      </c>
      <c r="J41" s="33">
        <v>1</v>
      </c>
      <c r="K41" s="3">
        <v>1</v>
      </c>
      <c r="L41" s="3">
        <v>0.5</v>
      </c>
      <c r="O41" s="3">
        <v>1</v>
      </c>
      <c r="P41" s="40">
        <f t="shared" si="5"/>
        <v>2.5</v>
      </c>
    </row>
    <row r="42" spans="1:17" s="8" customFormat="1" x14ac:dyDescent="0.3">
      <c r="A42" s="13"/>
      <c r="B42" s="45" t="s">
        <v>48</v>
      </c>
      <c r="C42" s="17" t="str">
        <f t="shared" si="4"/>
        <v>156</v>
      </c>
      <c r="D42" s="19">
        <v>5</v>
      </c>
      <c r="E42" s="19">
        <v>2</v>
      </c>
      <c r="F42" s="28">
        <f>$S$14*D42+($S$15-$S$14)*E42</f>
        <v>0.85</v>
      </c>
      <c r="G42" s="3" t="s">
        <v>86</v>
      </c>
      <c r="H42" s="3"/>
      <c r="I42" s="36" t="s">
        <v>100</v>
      </c>
      <c r="J42" s="33">
        <v>1</v>
      </c>
      <c r="K42" s="3"/>
      <c r="L42" s="3">
        <v>0.5</v>
      </c>
      <c r="M42" s="3">
        <v>1</v>
      </c>
      <c r="N42" s="3"/>
      <c r="O42" s="3">
        <v>1</v>
      </c>
      <c r="P42" s="40">
        <f t="shared" si="5"/>
        <v>2.5</v>
      </c>
      <c r="Q42" s="20"/>
    </row>
    <row r="43" spans="1:17" x14ac:dyDescent="0.3">
      <c r="A43" s="14" t="s">
        <v>93</v>
      </c>
      <c r="B43" s="48" t="s">
        <v>149</v>
      </c>
      <c r="C43" s="16"/>
      <c r="D43" s="18">
        <v>6</v>
      </c>
      <c r="E43" s="18">
        <v>0</v>
      </c>
      <c r="F43" s="25">
        <f>$S$14*D43+($S$15-$S$14)*E43</f>
        <v>0.30000000000000004</v>
      </c>
      <c r="G43" s="15">
        <v>40</v>
      </c>
      <c r="H43" s="15"/>
      <c r="I43" s="35" t="s">
        <v>148</v>
      </c>
      <c r="J43" s="15">
        <v>1</v>
      </c>
      <c r="K43" s="15">
        <v>1</v>
      </c>
      <c r="L43" s="15">
        <v>1</v>
      </c>
      <c r="M43" s="15">
        <v>1</v>
      </c>
      <c r="N43" s="15"/>
      <c r="O43" s="15">
        <v>1</v>
      </c>
      <c r="P43" s="39">
        <f t="shared" si="5"/>
        <v>4</v>
      </c>
    </row>
    <row r="44" spans="1:17" x14ac:dyDescent="0.3">
      <c r="B44" s="45" t="s">
        <v>150</v>
      </c>
      <c r="C44" s="17"/>
      <c r="D44" s="19">
        <v>5</v>
      </c>
      <c r="E44" s="19">
        <v>0</v>
      </c>
      <c r="F44" s="25">
        <f>$S$14*D44+($S$15-$S$14)*E44</f>
        <v>0.25</v>
      </c>
      <c r="G44" s="3">
        <v>41</v>
      </c>
      <c r="I44" s="36" t="s">
        <v>148</v>
      </c>
      <c r="J44" s="33">
        <v>1</v>
      </c>
      <c r="K44" s="3">
        <v>1</v>
      </c>
      <c r="L44" s="3">
        <v>0.5</v>
      </c>
      <c r="M44" s="3">
        <v>1</v>
      </c>
      <c r="O44" s="3">
        <v>1</v>
      </c>
      <c r="P44" s="40">
        <f t="shared" si="5"/>
        <v>3.5</v>
      </c>
    </row>
    <row r="45" spans="1:17" s="8" customFormat="1" x14ac:dyDescent="0.3">
      <c r="A45" s="13"/>
      <c r="B45" s="45" t="s">
        <v>85</v>
      </c>
      <c r="C45" s="17" t="str">
        <f t="shared" si="4"/>
        <v>173</v>
      </c>
      <c r="D45" s="19">
        <f t="shared" si="1"/>
        <v>2</v>
      </c>
      <c r="E45" s="19">
        <v>0</v>
      </c>
      <c r="F45" s="28">
        <f>$S$14*D45+($S$15-$S$14)*E45</f>
        <v>0.1</v>
      </c>
      <c r="G45" s="3">
        <v>43</v>
      </c>
      <c r="H45" s="3"/>
      <c r="I45" s="36"/>
      <c r="J45" s="33"/>
      <c r="K45" s="3">
        <v>1</v>
      </c>
      <c r="L45" s="3">
        <v>1</v>
      </c>
      <c r="M45" s="3">
        <v>1</v>
      </c>
      <c r="N45" s="3"/>
      <c r="O45" s="3">
        <v>1</v>
      </c>
      <c r="P45" s="40">
        <f t="shared" si="5"/>
        <v>3</v>
      </c>
      <c r="Q45" s="20"/>
    </row>
    <row r="46" spans="1:17" x14ac:dyDescent="0.3">
      <c r="A46" s="14" t="s">
        <v>94</v>
      </c>
      <c r="B46" s="48" t="s">
        <v>102</v>
      </c>
      <c r="C46" s="16" t="str">
        <f t="shared" si="4"/>
        <v>175</v>
      </c>
      <c r="D46" s="18">
        <f t="shared" si="1"/>
        <v>3</v>
      </c>
      <c r="E46" s="18">
        <v>0</v>
      </c>
      <c r="F46" s="25">
        <f>$S$14*D46+($S$15-$S$14)*E46</f>
        <v>0.15000000000000002</v>
      </c>
      <c r="G46" s="15">
        <v>38</v>
      </c>
      <c r="H46" s="15"/>
      <c r="I46" s="35"/>
      <c r="J46" s="15"/>
      <c r="K46" s="15">
        <v>1</v>
      </c>
      <c r="L46" s="15">
        <v>1</v>
      </c>
      <c r="M46" s="15"/>
      <c r="N46" s="15"/>
      <c r="O46" s="15"/>
      <c r="P46" s="39">
        <f t="shared" si="5"/>
        <v>2</v>
      </c>
    </row>
    <row r="47" spans="1:17" s="8" customFormat="1" x14ac:dyDescent="0.3">
      <c r="A47" s="13"/>
      <c r="B47" s="45" t="s">
        <v>103</v>
      </c>
      <c r="C47" s="17" t="str">
        <f t="shared" si="4"/>
        <v>178</v>
      </c>
      <c r="D47" s="19">
        <f t="shared" si="1"/>
        <v>2</v>
      </c>
      <c r="E47" s="19">
        <v>0</v>
      </c>
      <c r="F47" s="28">
        <f>$S$14*D47+($S$15-$S$14)*E47</f>
        <v>0.1</v>
      </c>
      <c r="G47" s="3">
        <v>39</v>
      </c>
      <c r="H47" s="3"/>
      <c r="I47" s="36"/>
      <c r="J47" s="33"/>
      <c r="K47" s="3">
        <v>1</v>
      </c>
      <c r="L47" s="3">
        <v>1</v>
      </c>
      <c r="M47" s="3"/>
      <c r="N47" s="3"/>
      <c r="O47" s="3"/>
      <c r="P47" s="40">
        <f t="shared" si="5"/>
        <v>2</v>
      </c>
      <c r="Q47" s="20"/>
    </row>
    <row r="48" spans="1:17" x14ac:dyDescent="0.3">
      <c r="A48" s="14" t="s">
        <v>95</v>
      </c>
      <c r="B48" s="48" t="s">
        <v>104</v>
      </c>
      <c r="C48" s="16" t="str">
        <f t="shared" si="4"/>
        <v>180</v>
      </c>
      <c r="D48" s="18">
        <f t="shared" si="1"/>
        <v>2</v>
      </c>
      <c r="E48" s="18">
        <v>0</v>
      </c>
      <c r="F48" s="25">
        <f>$S$14*D48+($S$15-$S$14)*E48</f>
        <v>0.1</v>
      </c>
      <c r="G48" s="15">
        <v>1</v>
      </c>
      <c r="H48" s="15"/>
      <c r="I48" s="35"/>
      <c r="J48" s="15"/>
      <c r="K48" s="15">
        <v>1</v>
      </c>
      <c r="L48" s="15">
        <v>1</v>
      </c>
      <c r="M48" s="15"/>
      <c r="N48" s="15"/>
      <c r="O48" s="15"/>
      <c r="P48" s="39">
        <f t="shared" si="5"/>
        <v>2</v>
      </c>
    </row>
    <row r="49" spans="1:17" x14ac:dyDescent="0.3">
      <c r="B49" s="45" t="s">
        <v>132</v>
      </c>
      <c r="C49" s="17" t="str">
        <f t="shared" si="4"/>
        <v>182</v>
      </c>
      <c r="D49" s="19">
        <f t="shared" si="1"/>
        <v>4</v>
      </c>
      <c r="E49" s="19">
        <v>0</v>
      </c>
      <c r="F49" s="25">
        <f>$S$14*D49+($S$15-$S$14)*E49</f>
        <v>0.2</v>
      </c>
      <c r="G49" s="3">
        <v>2</v>
      </c>
      <c r="I49" s="36"/>
      <c r="K49" s="3">
        <v>1</v>
      </c>
      <c r="L49" s="3">
        <v>1</v>
      </c>
      <c r="P49" s="40">
        <f t="shared" si="5"/>
        <v>2</v>
      </c>
    </row>
    <row r="50" spans="1:17" x14ac:dyDescent="0.3">
      <c r="B50" s="45" t="s">
        <v>130</v>
      </c>
      <c r="C50" s="17" t="str">
        <f t="shared" si="4"/>
        <v>186</v>
      </c>
      <c r="D50" s="19">
        <f t="shared" si="1"/>
        <v>3</v>
      </c>
      <c r="E50" s="19">
        <v>0</v>
      </c>
      <c r="F50" s="25">
        <f>$S$14*D50+($S$15-$S$14)*E50</f>
        <v>0.15000000000000002</v>
      </c>
      <c r="G50" s="3">
        <v>4</v>
      </c>
      <c r="I50" s="36"/>
      <c r="K50" s="3">
        <v>1</v>
      </c>
      <c r="P50" s="40">
        <f t="shared" si="5"/>
        <v>1</v>
      </c>
    </row>
    <row r="51" spans="1:17" x14ac:dyDescent="0.3">
      <c r="B51" s="45" t="s">
        <v>105</v>
      </c>
      <c r="C51" s="17" t="str">
        <f t="shared" si="4"/>
        <v>189</v>
      </c>
      <c r="D51" s="19">
        <f t="shared" si="1"/>
        <v>3</v>
      </c>
      <c r="E51" s="19">
        <v>0</v>
      </c>
      <c r="F51" s="25">
        <f>$S$14*D51+($S$15-$S$14)*E51</f>
        <v>0.15000000000000002</v>
      </c>
      <c r="G51" s="3">
        <v>5</v>
      </c>
      <c r="I51" s="36"/>
      <c r="K51" s="3">
        <v>1</v>
      </c>
      <c r="P51" s="40">
        <f t="shared" si="5"/>
        <v>1</v>
      </c>
    </row>
    <row r="52" spans="1:17" x14ac:dyDescent="0.3">
      <c r="B52" s="45" t="s">
        <v>106</v>
      </c>
      <c r="C52" s="17" t="str">
        <f t="shared" si="4"/>
        <v>192</v>
      </c>
      <c r="D52" s="19">
        <f t="shared" si="1"/>
        <v>2</v>
      </c>
      <c r="E52" s="19">
        <v>0</v>
      </c>
      <c r="F52" s="25">
        <f>$S$14*D52+($S$15-$S$14)*E52</f>
        <v>0.1</v>
      </c>
      <c r="G52" s="3">
        <v>6</v>
      </c>
      <c r="I52" s="36"/>
      <c r="K52" s="3">
        <v>1</v>
      </c>
      <c r="P52" s="40">
        <f t="shared" si="5"/>
        <v>1</v>
      </c>
    </row>
    <row r="53" spans="1:17" x14ac:dyDescent="0.3">
      <c r="B53" s="45" t="s">
        <v>107</v>
      </c>
      <c r="C53" s="17" t="str">
        <f t="shared" si="4"/>
        <v>194</v>
      </c>
      <c r="D53" s="19">
        <f t="shared" si="1"/>
        <v>5</v>
      </c>
      <c r="E53" s="19">
        <v>1</v>
      </c>
      <c r="F53" s="25">
        <f>$S$14*D53+($S$15-$S$14)*E53</f>
        <v>0.55000000000000004</v>
      </c>
      <c r="G53" s="3">
        <v>8</v>
      </c>
      <c r="I53" s="36"/>
      <c r="J53" s="33">
        <v>1</v>
      </c>
      <c r="L53" s="3">
        <v>1</v>
      </c>
      <c r="M53" s="3">
        <v>1</v>
      </c>
      <c r="P53" s="40">
        <f t="shared" si="5"/>
        <v>3</v>
      </c>
    </row>
    <row r="54" spans="1:17" x14ac:dyDescent="0.3">
      <c r="B54" s="45" t="s">
        <v>108</v>
      </c>
      <c r="C54" s="17" t="str">
        <f t="shared" si="4"/>
        <v>199</v>
      </c>
      <c r="D54" s="19">
        <f t="shared" si="1"/>
        <v>5</v>
      </c>
      <c r="E54" s="19">
        <v>0</v>
      </c>
      <c r="F54" s="25">
        <f>$S$14*D54+($S$15-$S$14)*E54</f>
        <v>0.25</v>
      </c>
      <c r="G54" s="3">
        <v>9</v>
      </c>
      <c r="I54" s="36"/>
      <c r="J54" s="33">
        <v>0.2</v>
      </c>
      <c r="M54" s="3">
        <v>1</v>
      </c>
      <c r="P54" s="40">
        <f t="shared" si="5"/>
        <v>1.2</v>
      </c>
    </row>
    <row r="55" spans="1:17" x14ac:dyDescent="0.3">
      <c r="B55" s="45" t="s">
        <v>109</v>
      </c>
      <c r="C55" s="17" t="str">
        <f t="shared" si="4"/>
        <v>204</v>
      </c>
      <c r="D55" s="19">
        <v>1</v>
      </c>
      <c r="E55" s="19">
        <v>0</v>
      </c>
      <c r="F55" s="25">
        <f>$S$14*D55+($S$15-$S$14)*E55</f>
        <v>0.05</v>
      </c>
      <c r="I55" s="36" t="s">
        <v>6</v>
      </c>
      <c r="J55" s="33">
        <v>1</v>
      </c>
      <c r="K55" s="3">
        <v>1</v>
      </c>
      <c r="L55" s="3">
        <v>1</v>
      </c>
      <c r="M55" s="3">
        <v>1</v>
      </c>
      <c r="P55" s="40">
        <f t="shared" si="5"/>
        <v>4</v>
      </c>
    </row>
    <row r="56" spans="1:17" x14ac:dyDescent="0.3">
      <c r="B56" s="58" t="s">
        <v>158</v>
      </c>
      <c r="C56" s="68" t="str">
        <f t="shared" si="4"/>
        <v>ure</v>
      </c>
      <c r="D56" s="60">
        <v>3</v>
      </c>
      <c r="E56" s="60"/>
      <c r="F56" s="61"/>
      <c r="G56" s="69"/>
      <c r="H56" s="69"/>
      <c r="I56" s="63" t="s">
        <v>155</v>
      </c>
      <c r="J56" s="62"/>
      <c r="K56" s="69"/>
      <c r="L56" s="69"/>
      <c r="M56" s="69"/>
      <c r="N56" s="69"/>
      <c r="O56" s="69"/>
      <c r="P56" s="64">
        <f t="shared" ref="P56" si="6">SUM(J56:M56)</f>
        <v>0</v>
      </c>
    </row>
    <row r="57" spans="1:17" x14ac:dyDescent="0.3">
      <c r="B57" s="45" t="s">
        <v>110</v>
      </c>
      <c r="C57" s="17" t="str">
        <f t="shared" si="4"/>
        <v>207</v>
      </c>
      <c r="D57" s="19">
        <f t="shared" si="1"/>
        <v>5</v>
      </c>
      <c r="E57" s="19">
        <v>0</v>
      </c>
      <c r="F57" s="25">
        <f>$S$14*D57+($S$15-$S$14)*E57</f>
        <v>0.25</v>
      </c>
      <c r="I57" s="36" t="s">
        <v>6</v>
      </c>
      <c r="J57" s="33">
        <v>1</v>
      </c>
      <c r="M57" s="3">
        <v>1</v>
      </c>
      <c r="P57" s="40">
        <f t="shared" si="5"/>
        <v>2</v>
      </c>
    </row>
    <row r="58" spans="1:17" x14ac:dyDescent="0.3">
      <c r="B58" s="45" t="s">
        <v>111</v>
      </c>
      <c r="C58" s="17" t="str">
        <f t="shared" si="4"/>
        <v>212</v>
      </c>
      <c r="D58" s="19">
        <v>9</v>
      </c>
      <c r="E58" s="19">
        <v>2</v>
      </c>
      <c r="F58" s="25">
        <f>$S$14*D58+($S$15-$S$14)*E58</f>
        <v>1.05</v>
      </c>
      <c r="G58" s="3">
        <v>10</v>
      </c>
      <c r="I58" s="36"/>
      <c r="M58" s="3">
        <v>1</v>
      </c>
      <c r="P58" s="40">
        <f t="shared" si="5"/>
        <v>1</v>
      </c>
    </row>
    <row r="59" spans="1:17" x14ac:dyDescent="0.3">
      <c r="B59" s="45" t="s">
        <v>112</v>
      </c>
      <c r="C59" s="17" t="str">
        <f>RIGHT(B59,3)</f>
        <v>221</v>
      </c>
      <c r="D59" s="19">
        <v>7</v>
      </c>
      <c r="E59" s="19">
        <v>1</v>
      </c>
      <c r="F59" s="25">
        <f>$S$14*D59+($S$15-$S$14)*E59</f>
        <v>0.65</v>
      </c>
      <c r="G59" s="3">
        <v>11</v>
      </c>
      <c r="I59" s="36"/>
      <c r="M59" s="3">
        <v>1</v>
      </c>
      <c r="P59" s="40">
        <f>SUM(J59:M59)</f>
        <v>1</v>
      </c>
    </row>
    <row r="60" spans="1:17" s="8" customFormat="1" x14ac:dyDescent="0.3">
      <c r="A60" s="13"/>
      <c r="B60" s="45" t="s">
        <v>152</v>
      </c>
      <c r="C60" s="17"/>
      <c r="D60" s="19">
        <v>5</v>
      </c>
      <c r="E60" s="19">
        <v>1</v>
      </c>
      <c r="F60" s="28">
        <f>$S$14*D60+($S$15-$S$14)*E60</f>
        <v>0.55000000000000004</v>
      </c>
      <c r="G60" s="3">
        <v>11</v>
      </c>
      <c r="H60" s="3"/>
      <c r="I60" s="36" t="s">
        <v>153</v>
      </c>
      <c r="J60" s="33">
        <v>1</v>
      </c>
      <c r="K60" s="3"/>
      <c r="L60" s="3"/>
      <c r="M60" s="3">
        <v>1</v>
      </c>
      <c r="N60" s="3"/>
      <c r="O60" s="3"/>
      <c r="P60" s="40">
        <f t="shared" si="5"/>
        <v>2</v>
      </c>
      <c r="Q60" s="20"/>
    </row>
    <row r="61" spans="1:17" x14ac:dyDescent="0.3">
      <c r="A61" s="14" t="s">
        <v>96</v>
      </c>
      <c r="B61" s="48" t="s">
        <v>113</v>
      </c>
      <c r="C61" s="16" t="str">
        <f t="shared" si="4"/>
        <v>228</v>
      </c>
      <c r="D61" s="18">
        <f t="shared" si="1"/>
        <v>3</v>
      </c>
      <c r="E61" s="18">
        <v>0</v>
      </c>
      <c r="F61" s="25">
        <f>$S$14*D61+($S$15-$S$14)*E61</f>
        <v>0.15000000000000002</v>
      </c>
      <c r="G61" s="15">
        <v>45</v>
      </c>
      <c r="H61" s="15"/>
      <c r="I61" s="35"/>
      <c r="J61" s="15"/>
      <c r="K61" s="15">
        <v>1</v>
      </c>
      <c r="L61" s="15">
        <v>1</v>
      </c>
      <c r="M61" s="15"/>
      <c r="N61" s="15"/>
      <c r="O61" s="15"/>
      <c r="P61" s="39">
        <f t="shared" si="5"/>
        <v>2</v>
      </c>
    </row>
    <row r="62" spans="1:17" x14ac:dyDescent="0.3">
      <c r="B62" s="45" t="s">
        <v>114</v>
      </c>
      <c r="C62" s="17" t="str">
        <f t="shared" si="4"/>
        <v>231</v>
      </c>
      <c r="D62" s="19">
        <f t="shared" si="1"/>
        <v>7</v>
      </c>
      <c r="E62" s="19">
        <v>2</v>
      </c>
      <c r="F62" s="25">
        <f>$S$14*D62+($S$15-$S$14)*E62</f>
        <v>0.95</v>
      </c>
      <c r="G62" s="3">
        <v>46</v>
      </c>
      <c r="I62" s="36"/>
      <c r="P62" s="40">
        <f t="shared" si="5"/>
        <v>0</v>
      </c>
    </row>
    <row r="63" spans="1:17" x14ac:dyDescent="0.3">
      <c r="B63" s="45" t="s">
        <v>115</v>
      </c>
      <c r="C63" s="17" t="str">
        <f t="shared" si="4"/>
        <v>238</v>
      </c>
      <c r="D63" s="19">
        <f t="shared" si="1"/>
        <v>7</v>
      </c>
      <c r="E63" s="19">
        <v>2</v>
      </c>
      <c r="F63" s="25">
        <f>$S$14*D63+($S$15-$S$14)*E63</f>
        <v>0.95</v>
      </c>
      <c r="G63" s="3">
        <v>47</v>
      </c>
      <c r="I63" s="36"/>
      <c r="P63" s="40">
        <f t="shared" si="5"/>
        <v>0</v>
      </c>
    </row>
    <row r="64" spans="1:17" s="8" customFormat="1" x14ac:dyDescent="0.3">
      <c r="A64" s="13"/>
      <c r="B64" s="45" t="s">
        <v>116</v>
      </c>
      <c r="C64" s="17" t="str">
        <f t="shared" si="4"/>
        <v>245</v>
      </c>
      <c r="D64" s="19">
        <f t="shared" si="1"/>
        <v>10</v>
      </c>
      <c r="E64" s="19">
        <v>0</v>
      </c>
      <c r="F64" s="28">
        <f>$S$14*D64+($S$15-$S$14)*E64</f>
        <v>0.5</v>
      </c>
      <c r="G64" s="3">
        <v>34</v>
      </c>
      <c r="H64" s="3"/>
      <c r="I64" s="36"/>
      <c r="J64" s="33"/>
      <c r="K64" s="3"/>
      <c r="L64" s="3">
        <v>1</v>
      </c>
      <c r="M64" s="3"/>
      <c r="N64" s="3"/>
      <c r="O64" s="3"/>
      <c r="P64" s="40">
        <f t="shared" si="5"/>
        <v>1</v>
      </c>
      <c r="Q64" s="20"/>
    </row>
    <row r="65" spans="1:17" x14ac:dyDescent="0.3">
      <c r="A65" s="14" t="s">
        <v>97</v>
      </c>
      <c r="B65" s="48" t="s">
        <v>117</v>
      </c>
      <c r="C65" s="16" t="str">
        <f t="shared" si="4"/>
        <v>255</v>
      </c>
      <c r="D65" s="18">
        <f t="shared" si="1"/>
        <v>6</v>
      </c>
      <c r="E65" s="18">
        <v>2</v>
      </c>
      <c r="F65" s="25">
        <f>$S$14*D65+($S$15-$S$14)*E65</f>
        <v>0.9</v>
      </c>
      <c r="G65" s="15">
        <v>32</v>
      </c>
      <c r="H65" s="15"/>
      <c r="I65" s="35"/>
      <c r="J65" s="15"/>
      <c r="K65" s="15"/>
      <c r="L65" s="15"/>
      <c r="M65" s="15"/>
      <c r="N65" s="15"/>
      <c r="O65" s="15"/>
      <c r="P65" s="39">
        <f t="shared" si="5"/>
        <v>0</v>
      </c>
    </row>
    <row r="66" spans="1:17" x14ac:dyDescent="0.3">
      <c r="B66" s="45" t="s">
        <v>118</v>
      </c>
      <c r="C66" s="17" t="str">
        <f t="shared" si="4"/>
        <v>261</v>
      </c>
      <c r="D66" s="19">
        <f t="shared" si="1"/>
        <v>3</v>
      </c>
      <c r="E66" s="19">
        <v>0</v>
      </c>
      <c r="F66" s="25">
        <f>$S$14*D66+($S$15-$S$14)*E66</f>
        <v>0.15000000000000002</v>
      </c>
      <c r="G66" s="3">
        <v>44</v>
      </c>
      <c r="I66" s="36"/>
      <c r="P66" s="40">
        <f t="shared" si="5"/>
        <v>0</v>
      </c>
    </row>
    <row r="67" spans="1:17" x14ac:dyDescent="0.3">
      <c r="B67" s="45" t="s">
        <v>119</v>
      </c>
      <c r="C67" s="17" t="str">
        <f t="shared" si="4"/>
        <v>264</v>
      </c>
      <c r="D67" s="19">
        <f t="shared" si="1"/>
        <v>4</v>
      </c>
      <c r="E67" s="19">
        <v>1</v>
      </c>
      <c r="F67" s="25">
        <f>$S$14*D67+($S$15-$S$14)*E67</f>
        <v>0.5</v>
      </c>
      <c r="G67" s="3">
        <v>7</v>
      </c>
      <c r="I67" s="36"/>
      <c r="P67" s="40">
        <f t="shared" si="5"/>
        <v>0</v>
      </c>
    </row>
    <row r="68" spans="1:17" x14ac:dyDescent="0.3">
      <c r="B68" s="45" t="s">
        <v>120</v>
      </c>
      <c r="C68" s="17" t="str">
        <f t="shared" si="4"/>
        <v>268</v>
      </c>
      <c r="D68" s="19">
        <f t="shared" si="1"/>
        <v>4</v>
      </c>
      <c r="E68" s="19">
        <v>0</v>
      </c>
      <c r="F68" s="25">
        <f>$S$14*D68+($S$15-$S$14)*E68</f>
        <v>0.2</v>
      </c>
      <c r="G68" s="3">
        <v>48</v>
      </c>
      <c r="I68" s="36"/>
      <c r="P68" s="40">
        <f t="shared" si="5"/>
        <v>0</v>
      </c>
    </row>
    <row r="69" spans="1:17" s="8" customFormat="1" x14ac:dyDescent="0.3">
      <c r="A69" s="13"/>
      <c r="B69" s="45" t="s">
        <v>121</v>
      </c>
      <c r="C69" s="17" t="str">
        <f t="shared" si="4"/>
        <v>272</v>
      </c>
      <c r="D69" s="19">
        <f t="shared" si="1"/>
        <v>3</v>
      </c>
      <c r="E69" s="19">
        <v>0</v>
      </c>
      <c r="F69" s="28">
        <f>$S$14*D69+($S$15-$S$14)*E69</f>
        <v>0.15000000000000002</v>
      </c>
      <c r="G69" s="3">
        <v>49</v>
      </c>
      <c r="H69" s="3"/>
      <c r="I69" s="36"/>
      <c r="J69" s="33"/>
      <c r="K69" s="3"/>
      <c r="L69" s="3"/>
      <c r="M69" s="3"/>
      <c r="N69" s="3"/>
      <c r="O69" s="3"/>
      <c r="P69" s="40">
        <f t="shared" ref="P69:P77" si="7">SUM(J69:M69)</f>
        <v>0</v>
      </c>
      <c r="Q69" s="20"/>
    </row>
    <row r="70" spans="1:17" x14ac:dyDescent="0.3">
      <c r="A70" s="14" t="s">
        <v>98</v>
      </c>
      <c r="B70" s="48" t="s">
        <v>122</v>
      </c>
      <c r="C70" s="16" t="str">
        <f t="shared" si="4"/>
        <v>275</v>
      </c>
      <c r="D70" s="18">
        <f t="shared" si="1"/>
        <v>2</v>
      </c>
      <c r="E70" s="18">
        <v>0</v>
      </c>
      <c r="F70" s="25">
        <f t="shared" ref="F70:F77" si="8">$S$14*D70+($S$15-$S$14)*E70</f>
        <v>0.1</v>
      </c>
      <c r="G70" s="15"/>
      <c r="H70" s="15"/>
      <c r="I70" s="35"/>
      <c r="J70" s="15">
        <v>1</v>
      </c>
      <c r="K70" s="15">
        <v>1</v>
      </c>
      <c r="L70" s="15">
        <v>1</v>
      </c>
      <c r="M70" s="15">
        <v>1</v>
      </c>
      <c r="N70" s="15"/>
      <c r="O70" s="15"/>
      <c r="P70" s="39">
        <f t="shared" si="7"/>
        <v>4</v>
      </c>
    </row>
    <row r="71" spans="1:17" x14ac:dyDescent="0.3">
      <c r="B71" s="45" t="s">
        <v>123</v>
      </c>
      <c r="C71" s="17" t="str">
        <f t="shared" si="4"/>
        <v>277</v>
      </c>
      <c r="D71" s="19">
        <f t="shared" ref="D71:D76" si="9">C72-C71</f>
        <v>2</v>
      </c>
      <c r="E71" s="19">
        <v>1</v>
      </c>
      <c r="F71" s="25">
        <f t="shared" si="8"/>
        <v>0.4</v>
      </c>
      <c r="I71" s="36"/>
      <c r="J71" s="33">
        <v>1</v>
      </c>
      <c r="K71" s="3">
        <v>1</v>
      </c>
      <c r="L71" s="3">
        <v>1</v>
      </c>
      <c r="M71" s="3">
        <v>1</v>
      </c>
      <c r="P71" s="40">
        <f t="shared" si="7"/>
        <v>4</v>
      </c>
    </row>
    <row r="72" spans="1:17" x14ac:dyDescent="0.3">
      <c r="B72" s="45" t="s">
        <v>124</v>
      </c>
      <c r="C72" s="17" t="str">
        <f t="shared" si="4"/>
        <v>279</v>
      </c>
      <c r="D72" s="19">
        <f t="shared" si="9"/>
        <v>4</v>
      </c>
      <c r="E72" s="19">
        <v>3</v>
      </c>
      <c r="F72" s="25">
        <f t="shared" si="8"/>
        <v>1.0999999999999999</v>
      </c>
      <c r="I72" s="36"/>
      <c r="J72" s="33">
        <v>1</v>
      </c>
      <c r="K72" s="3">
        <v>1</v>
      </c>
      <c r="L72" s="3">
        <v>1</v>
      </c>
      <c r="M72" s="3">
        <v>1</v>
      </c>
      <c r="P72" s="40">
        <f t="shared" si="7"/>
        <v>4</v>
      </c>
    </row>
    <row r="73" spans="1:17" x14ac:dyDescent="0.3">
      <c r="B73" s="45" t="s">
        <v>125</v>
      </c>
      <c r="C73" s="17" t="str">
        <f t="shared" si="4"/>
        <v>283</v>
      </c>
      <c r="D73" s="19">
        <f t="shared" si="9"/>
        <v>1</v>
      </c>
      <c r="E73" s="19">
        <v>0</v>
      </c>
      <c r="F73" s="25">
        <f t="shared" si="8"/>
        <v>0.05</v>
      </c>
      <c r="I73" s="36" t="s">
        <v>6</v>
      </c>
      <c r="J73" s="33">
        <v>1</v>
      </c>
      <c r="L73" s="3">
        <v>1</v>
      </c>
      <c r="M73" s="3">
        <v>1</v>
      </c>
      <c r="P73" s="40">
        <f t="shared" si="7"/>
        <v>3</v>
      </c>
    </row>
    <row r="74" spans="1:17" x14ac:dyDescent="0.3">
      <c r="B74" s="45" t="s">
        <v>126</v>
      </c>
      <c r="C74" s="17" t="str">
        <f t="shared" si="4"/>
        <v>284</v>
      </c>
      <c r="D74" s="19">
        <f t="shared" si="9"/>
        <v>2</v>
      </c>
      <c r="E74" s="19">
        <v>0</v>
      </c>
      <c r="F74" s="25">
        <f t="shared" si="8"/>
        <v>0.1</v>
      </c>
      <c r="I74" s="36" t="s">
        <v>7</v>
      </c>
      <c r="P74" s="40">
        <f t="shared" si="7"/>
        <v>0</v>
      </c>
    </row>
    <row r="75" spans="1:17" x14ac:dyDescent="0.3">
      <c r="B75" s="45" t="s">
        <v>127</v>
      </c>
      <c r="C75" s="17" t="str">
        <f t="shared" si="4"/>
        <v>286</v>
      </c>
      <c r="D75" s="19">
        <f t="shared" si="9"/>
        <v>3</v>
      </c>
      <c r="E75" s="19">
        <v>1</v>
      </c>
      <c r="F75" s="25">
        <f t="shared" si="8"/>
        <v>0.45</v>
      </c>
      <c r="I75" s="36"/>
      <c r="P75" s="40">
        <f t="shared" si="7"/>
        <v>0</v>
      </c>
    </row>
    <row r="76" spans="1:17" x14ac:dyDescent="0.3">
      <c r="B76" s="45" t="s">
        <v>128</v>
      </c>
      <c r="C76" s="17" t="str">
        <f t="shared" si="4"/>
        <v>289</v>
      </c>
      <c r="D76" s="19">
        <f t="shared" si="9"/>
        <v>1</v>
      </c>
      <c r="E76" s="19">
        <v>0</v>
      </c>
      <c r="F76" s="25">
        <f t="shared" si="8"/>
        <v>0.05</v>
      </c>
      <c r="I76" s="36"/>
      <c r="P76" s="40">
        <f t="shared" si="7"/>
        <v>0</v>
      </c>
    </row>
    <row r="77" spans="1:17" x14ac:dyDescent="0.3">
      <c r="B77" s="46" t="s">
        <v>129</v>
      </c>
      <c r="C77" s="49" t="str">
        <f t="shared" si="4"/>
        <v>290</v>
      </c>
      <c r="D77" s="50">
        <v>4</v>
      </c>
      <c r="E77" s="50">
        <v>0</v>
      </c>
      <c r="F77" s="28">
        <f t="shared" si="8"/>
        <v>0.2</v>
      </c>
      <c r="G77" s="51"/>
      <c r="H77" s="51"/>
      <c r="I77" s="52"/>
      <c r="J77" s="51"/>
      <c r="K77" s="51"/>
      <c r="L77" s="51"/>
      <c r="M77" s="51"/>
      <c r="N77" s="51"/>
      <c r="O77" s="51"/>
      <c r="P77" s="53">
        <f t="shared" si="7"/>
        <v>0</v>
      </c>
    </row>
    <row r="79" spans="1:17" x14ac:dyDescent="0.3">
      <c r="I79" s="43" t="s">
        <v>142</v>
      </c>
      <c r="J79" s="15">
        <f t="array" ref="J79">SUM($D2:$D77*(J2:J77&gt;=0.9)*($P2:$P77&gt;=$R$19))</f>
        <v>121</v>
      </c>
      <c r="K79" s="15">
        <f t="array" ref="K79">SUM($D2:$D77*(K2:K77&gt;=0.9)*($P2:$P77&gt;=$R$19))</f>
        <v>101</v>
      </c>
      <c r="L79" s="15">
        <f t="array" ref="L79">SUM($D2:$D77*(L2:L77&gt;=0.9)*($P2:$P77&gt;=$R$19))</f>
        <v>91</v>
      </c>
      <c r="M79" s="35">
        <f t="array" ref="M79">SUM($D2:$D77*(M2:M77&gt;=0.9)*($P2:$P77&gt;=$R$19))</f>
        <v>117</v>
      </c>
      <c r="N79" s="36"/>
      <c r="O79" s="36"/>
    </row>
    <row r="80" spans="1:17" x14ac:dyDescent="0.3">
      <c r="I80" s="21" t="s">
        <v>145</v>
      </c>
      <c r="J80" s="33">
        <f t="array" ref="J80">SUM($D2:$D77*J2:J77*($P2:$P77&gt;=$R$19))</f>
        <v>121</v>
      </c>
      <c r="K80" s="33">
        <f t="array" ref="K80">SUM($D2:$D77*K2:K77*($P2:$P77&gt;=$R$19))</f>
        <v>102.5</v>
      </c>
      <c r="L80" s="33">
        <f t="array" ref="L80">SUM($D2:$D77*L2:L77*($P2:$P77&gt;=$R$19))</f>
        <v>114.4</v>
      </c>
      <c r="M80" s="36">
        <f t="array" ref="M80">SUM($D2:$D77*M2:M77*($P2:$P77&gt;=$R$19))</f>
        <v>117</v>
      </c>
      <c r="N80" s="36"/>
      <c r="O80" s="36"/>
    </row>
    <row r="81" spans="9:15" x14ac:dyDescent="0.3">
      <c r="I81" s="21" t="s">
        <v>147</v>
      </c>
      <c r="J81" s="55">
        <f>J80/$R$6</f>
        <v>0.78064516129032258</v>
      </c>
      <c r="K81" s="55">
        <f>K80/$R$6</f>
        <v>0.66129032258064513</v>
      </c>
      <c r="L81" s="55">
        <f>L80/$R$6</f>
        <v>0.73806451612903234</v>
      </c>
      <c r="M81" s="56">
        <f>M80/$R$6</f>
        <v>0.75483870967741939</v>
      </c>
      <c r="N81" s="56"/>
      <c r="O81" s="36"/>
    </row>
    <row r="82" spans="9:15" x14ac:dyDescent="0.3">
      <c r="I82" s="21" t="s">
        <v>143</v>
      </c>
      <c r="J82" s="33">
        <f t="array" ref="J82">SUM($D2:$D77*(J2:J77&gt;=0.1)*($P2:$P77&gt;=$R$19))</f>
        <v>121</v>
      </c>
      <c r="K82" s="33">
        <f t="array" ref="K82">SUM($D2:$D77*(K2:K77&gt;=0.1)*($P2:$P77&gt;=$R$19))</f>
        <v>104</v>
      </c>
      <c r="L82" s="33">
        <f t="array" ref="L82">SUM($D2:$D77*(L2:L77&gt;=0.1)*($P2:$P77&gt;=$R$19))</f>
        <v>131</v>
      </c>
      <c r="M82" s="36">
        <f t="array" ref="M82">SUM($D2:$D77*(M2:M77&gt;=0.1)*($P2:$P77&gt;=$R$19))</f>
        <v>117</v>
      </c>
      <c r="N82" s="36"/>
      <c r="O82" s="36"/>
    </row>
    <row r="83" spans="9:15" x14ac:dyDescent="0.3">
      <c r="I83" s="21" t="s">
        <v>144</v>
      </c>
      <c r="J83" s="33">
        <f t="array" ref="J83">SUM($D2:$D77*J2:J77*($P2:$P77&lt;$R$19))</f>
        <v>1</v>
      </c>
      <c r="K83" s="33">
        <f t="array" ref="K83">SUM($D2:$D77*K2:K77*($P2:$P77&lt;$R$19))</f>
        <v>10</v>
      </c>
      <c r="L83" s="33">
        <f t="array" ref="L83">SUM($D2:$D77*L2:L77*($P2:$P77&lt;$R$19))</f>
        <v>16.5</v>
      </c>
      <c r="M83" s="36">
        <f t="array" ref="M83">SUM($D2:$D77*M2:M77*($P2:$P77&lt;$R$19))</f>
        <v>25.2</v>
      </c>
      <c r="N83" s="36"/>
      <c r="O83" s="36">
        <f t="array" ref="O83">SUM($D2:$D77*CEILING(O2:O77,1))</f>
        <v>126</v>
      </c>
    </row>
    <row r="84" spans="9:15" x14ac:dyDescent="0.3">
      <c r="I84" s="21"/>
      <c r="J84" s="25"/>
      <c r="K84" s="25"/>
      <c r="L84" s="25"/>
      <c r="M84" s="41"/>
      <c r="N84" s="41"/>
      <c r="O84" s="41">
        <f t="array" ref="O84">SUM($F2:$F77*FLOOR(O2:O77,1))</f>
        <v>6.6499999999999977</v>
      </c>
    </row>
    <row r="85" spans="9:15" x14ac:dyDescent="0.3">
      <c r="I85" s="44"/>
      <c r="J85" s="28"/>
      <c r="K85" s="28"/>
      <c r="L85" s="28"/>
      <c r="M85" s="42"/>
      <c r="N85" s="42"/>
      <c r="O85" s="42">
        <f t="array" ref="O85">SUM($F2:$F77*CEILING(O2:O77,1))</f>
        <v>7.1999999999999993</v>
      </c>
    </row>
  </sheetData>
  <conditionalFormatting sqref="B2:P1005">
    <cfRule type="expression" dxfId="2" priority="1" stopIfTrue="1">
      <formula>$P2&gt;=(0.5+$R$19)</formula>
    </cfRule>
    <cfRule type="expression" dxfId="1" priority="2" stopIfTrue="1">
      <formula>$P2&gt;=$R$19</formula>
    </cfRule>
    <cfRule type="expression" dxfId="0" priority="3">
      <formula>$P2&gt;=($R$19-0.5)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58</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57</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t="s">
        <v>67</v>
      </c>
    </row>
    <row r="57" spans="1:1" x14ac:dyDescent="0.3">
      <c r="A57" t="s">
        <v>68</v>
      </c>
    </row>
    <row r="58" spans="1:1" x14ac:dyDescent="0.3">
      <c r="A58" t="s">
        <v>69</v>
      </c>
    </row>
    <row r="59" spans="1:1" x14ac:dyDescent="0.3">
      <c r="A59" t="s">
        <v>70</v>
      </c>
    </row>
    <row r="60" spans="1:1" x14ac:dyDescent="0.3">
      <c r="A60" t="s">
        <v>71</v>
      </c>
    </row>
    <row r="61" spans="1:1" x14ac:dyDescent="0.3">
      <c r="A61" t="s">
        <v>72</v>
      </c>
    </row>
    <row r="62" spans="1:1" x14ac:dyDescent="0.3">
      <c r="A62" t="s">
        <v>73</v>
      </c>
    </row>
    <row r="63" spans="1:1" x14ac:dyDescent="0.3">
      <c r="A63" t="s">
        <v>74</v>
      </c>
    </row>
    <row r="64" spans="1:1" x14ac:dyDescent="0.3">
      <c r="A64" t="s">
        <v>75</v>
      </c>
    </row>
    <row r="65" spans="1:1" x14ac:dyDescent="0.3">
      <c r="A65" t="s">
        <v>76</v>
      </c>
    </row>
    <row r="66" spans="1:1" x14ac:dyDescent="0.3">
      <c r="A66" t="s">
        <v>77</v>
      </c>
    </row>
    <row r="67" spans="1:1" x14ac:dyDescent="0.3">
      <c r="A67" t="s">
        <v>78</v>
      </c>
    </row>
    <row r="68" spans="1:1" x14ac:dyDescent="0.3">
      <c r="A68" t="s">
        <v>84</v>
      </c>
    </row>
    <row r="69" spans="1:1" x14ac:dyDescent="0.3">
      <c r="A69" t="s">
        <v>79</v>
      </c>
    </row>
    <row r="70" spans="1:1" x14ac:dyDescent="0.3">
      <c r="A70" t="s">
        <v>80</v>
      </c>
    </row>
    <row r="71" spans="1:1" x14ac:dyDescent="0.3">
      <c r="A71" t="s">
        <v>81</v>
      </c>
    </row>
    <row r="72" spans="1:1" x14ac:dyDescent="0.3">
      <c r="A72" t="s">
        <v>82</v>
      </c>
    </row>
    <row r="73" spans="1:1" x14ac:dyDescent="0.3">
      <c r="A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2016-11-26T18:56:53Z</dcterms:modified>
</cp:coreProperties>
</file>