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"/>
    </mc:Choice>
  </mc:AlternateContent>
  <xr:revisionPtr revIDLastSave="73" documentId="14_{D865E487-E87B-461F-858A-A751CFB3F8CF}" xr6:coauthVersionLast="47" xr6:coauthVersionMax="47" xr10:uidLastSave="{CA8B426E-1996-4BC5-89D4-63E8D6118914}"/>
  <bookViews>
    <workbookView xWindow="-120" yWindow="-120" windowWidth="29040" windowHeight="15720" activeTab="2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0" l="1"/>
  <c r="C12" i="20"/>
  <c r="C11" i="20"/>
  <c r="C10" i="20"/>
  <c r="B10" i="20"/>
  <c r="D10" i="20" s="1"/>
  <c r="F10" i="20" s="1"/>
  <c r="C6" i="20"/>
  <c r="C5" i="20"/>
  <c r="C7" i="18"/>
  <c r="B7" i="18"/>
  <c r="C6" i="18"/>
  <c r="B6" i="18"/>
  <c r="C5" i="18"/>
  <c r="B5" i="18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B8" i="12"/>
  <c r="C7" i="12"/>
  <c r="C6" i="12"/>
  <c r="C5" i="12"/>
  <c r="C4" i="12"/>
  <c r="B8" i="11"/>
  <c r="C7" i="11"/>
  <c r="C6" i="11"/>
  <c r="C5" i="11"/>
  <c r="D33" i="10"/>
  <c r="B5" i="20" s="1"/>
  <c r="E32" i="10"/>
  <c r="E31" i="10"/>
  <c r="E30" i="10"/>
  <c r="E29" i="10"/>
  <c r="F17" i="10"/>
  <c r="B17" i="10"/>
  <c r="F16" i="10"/>
  <c r="B16" i="10" s="1"/>
  <c r="F15" i="10"/>
  <c r="B15" i="10" s="1"/>
  <c r="F14" i="10"/>
  <c r="B14" i="10" s="1"/>
  <c r="F13" i="10"/>
  <c r="B13" i="10"/>
  <c r="F12" i="10"/>
  <c r="B12" i="10" s="1"/>
  <c r="F11" i="10"/>
  <c r="B11" i="10"/>
  <c r="F10" i="10"/>
  <c r="B10" i="10" s="1"/>
  <c r="F9" i="10"/>
  <c r="B9" i="10" s="1"/>
  <c r="F8" i="10"/>
  <c r="B8" i="10"/>
  <c r="F7" i="10"/>
  <c r="B7" i="10" s="1"/>
  <c r="F6" i="10"/>
  <c r="B6" i="10" s="1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29" i="8"/>
  <c r="D39" i="7"/>
  <c r="C16" i="7"/>
  <c r="B16" i="7"/>
  <c r="C15" i="7"/>
  <c r="B15" i="7"/>
  <c r="C14" i="7"/>
  <c r="B14" i="7"/>
  <c r="C13" i="7"/>
  <c r="B13" i="7"/>
  <c r="B4" i="7"/>
  <c r="B32" i="6"/>
  <c r="D31" i="6"/>
  <c r="F31" i="6" s="1"/>
  <c r="D30" i="6"/>
  <c r="F30" i="6" s="1"/>
  <c r="D29" i="6"/>
  <c r="F29" i="6" s="1"/>
  <c r="D28" i="6"/>
  <c r="F28" i="6" s="1"/>
  <c r="C10" i="6"/>
  <c r="C9" i="6"/>
  <c r="C15" i="5"/>
  <c r="C6" i="5"/>
  <c r="C7" i="5" s="1"/>
  <c r="C8" i="5" s="1"/>
  <c r="C9" i="5" s="1"/>
  <c r="C10" i="5" s="1"/>
  <c r="C11" i="5" s="1"/>
  <c r="B5" i="5"/>
  <c r="E16" i="3"/>
  <c r="D16" i="3"/>
  <c r="C16" i="3"/>
  <c r="B16" i="3"/>
  <c r="C16" i="5" l="1"/>
  <c r="D6" i="18"/>
  <c r="D7" i="18"/>
  <c r="D5" i="18"/>
  <c r="D13" i="7"/>
  <c r="E13" i="7" s="1"/>
  <c r="F36" i="9"/>
  <c r="D50" i="9" s="1"/>
  <c r="D15" i="7"/>
  <c r="E15" i="7" s="1"/>
  <c r="D14" i="7"/>
  <c r="E14" i="7" s="1"/>
  <c r="C8" i="11"/>
  <c r="B11" i="11" s="1"/>
  <c r="F32" i="6"/>
  <c r="D5" i="20"/>
  <c r="F5" i="20" s="1"/>
  <c r="E33" i="10"/>
  <c r="B3" i="10" s="1"/>
  <c r="D16" i="7"/>
  <c r="E39" i="7"/>
  <c r="E36" i="7"/>
  <c r="E42" i="7"/>
  <c r="E35" i="7"/>
  <c r="E38" i="7"/>
  <c r="E37" i="7"/>
  <c r="E21" i="7"/>
  <c r="B8" i="18"/>
  <c r="D4" i="18"/>
  <c r="K11" i="13"/>
  <c r="H11" i="13"/>
  <c r="G11" i="13"/>
  <c r="M11" i="13"/>
  <c r="C11" i="13"/>
  <c r="B4" i="8"/>
  <c r="B12" i="12"/>
  <c r="L11" i="13"/>
  <c r="J11" i="13"/>
  <c r="I11" i="13"/>
  <c r="F11" i="13"/>
  <c r="D11" i="13"/>
  <c r="B11" i="13"/>
  <c r="E11" i="13"/>
  <c r="C8" i="12"/>
  <c r="B15" i="12" s="1"/>
  <c r="I12" i="13"/>
  <c r="G12" i="13"/>
  <c r="F12" i="13"/>
  <c r="D12" i="13"/>
  <c r="C12" i="13"/>
  <c r="B12" i="13"/>
  <c r="M12" i="13"/>
  <c r="E12" i="13"/>
  <c r="J12" i="13"/>
  <c r="H12" i="13"/>
  <c r="K12" i="13"/>
  <c r="B7" i="8"/>
  <c r="B35" i="13" s="1"/>
  <c r="L12" i="13"/>
  <c r="M6" i="13"/>
  <c r="L6" i="13"/>
  <c r="K6" i="13"/>
  <c r="J6" i="13"/>
  <c r="I6" i="13"/>
  <c r="H6" i="13"/>
  <c r="G6" i="13"/>
  <c r="F6" i="13"/>
  <c r="E6" i="13"/>
  <c r="D6" i="13"/>
  <c r="C6" i="13"/>
  <c r="B19" i="10"/>
  <c r="B6" i="13"/>
  <c r="E31" i="8"/>
  <c r="E30" i="8"/>
  <c r="B16" i="15"/>
  <c r="M23" i="13"/>
  <c r="L23" i="13"/>
  <c r="K23" i="13"/>
  <c r="I23" i="13"/>
  <c r="H23" i="13"/>
  <c r="F23" i="13"/>
  <c r="E23" i="13"/>
  <c r="D23" i="13"/>
  <c r="G23" i="13"/>
  <c r="B23" i="13"/>
  <c r="C23" i="13"/>
  <c r="J23" i="13"/>
  <c r="C29" i="8"/>
  <c r="D17" i="6"/>
  <c r="D14" i="6"/>
  <c r="D16" i="6"/>
  <c r="D15" i="6"/>
  <c r="C17" i="6"/>
  <c r="E17" i="6" s="1"/>
  <c r="C16" i="6"/>
  <c r="E16" i="6" s="1"/>
  <c r="C15" i="6"/>
  <c r="C14" i="6"/>
  <c r="E15" i="6" l="1"/>
  <c r="E14" i="6"/>
  <c r="D8" i="18"/>
  <c r="E32" i="8"/>
  <c r="O11" i="13"/>
  <c r="B8" i="14" s="1"/>
  <c r="C8" i="10"/>
  <c r="D8" i="10" s="1"/>
  <c r="D7" i="13" s="1"/>
  <c r="D25" i="15"/>
  <c r="E48" i="13"/>
  <c r="B9" i="15"/>
  <c r="C6" i="10"/>
  <c r="D6" i="10" s="1"/>
  <c r="C7" i="10"/>
  <c r="D7" i="10" s="1"/>
  <c r="C7" i="13" s="1"/>
  <c r="C10" i="10"/>
  <c r="D10" i="10" s="1"/>
  <c r="F7" i="13" s="1"/>
  <c r="C11" i="10"/>
  <c r="D11" i="10" s="1"/>
  <c r="G7" i="13" s="1"/>
  <c r="C12" i="10"/>
  <c r="D12" i="10" s="1"/>
  <c r="H7" i="13" s="1"/>
  <c r="D48" i="13"/>
  <c r="B25" i="15"/>
  <c r="C14" i="10"/>
  <c r="D14" i="10" s="1"/>
  <c r="J7" i="13" s="1"/>
  <c r="C13" i="10"/>
  <c r="D13" i="10" s="1"/>
  <c r="I7" i="13" s="1"/>
  <c r="C15" i="10"/>
  <c r="D15" i="10" s="1"/>
  <c r="K7" i="13" s="1"/>
  <c r="C16" i="10"/>
  <c r="D16" i="10" s="1"/>
  <c r="L7" i="13" s="1"/>
  <c r="C9" i="10"/>
  <c r="D9" i="10" s="1"/>
  <c r="E7" i="13" s="1"/>
  <c r="C17" i="10"/>
  <c r="D17" i="10" s="1"/>
  <c r="M7" i="13" s="1"/>
  <c r="B16" i="11"/>
  <c r="E16" i="7"/>
  <c r="E17" i="7" s="1"/>
  <c r="D17" i="7"/>
  <c r="D22" i="7" s="1"/>
  <c r="B11" i="12"/>
  <c r="B13" i="12"/>
  <c r="C47" i="13"/>
  <c r="B4" i="14"/>
  <c r="C24" i="15"/>
  <c r="C4" i="20"/>
  <c r="B17" i="5"/>
  <c r="C17" i="5" s="1"/>
  <c r="C18" i="5" s="1"/>
  <c r="B4" i="20" s="1"/>
  <c r="B12" i="11"/>
  <c r="B13" i="11" s="1"/>
  <c r="D29" i="8"/>
  <c r="B13" i="14"/>
  <c r="B24" i="6"/>
  <c r="D24" i="6" s="1"/>
  <c r="C31" i="6"/>
  <c r="E31" i="6" s="1"/>
  <c r="B23" i="6"/>
  <c r="D23" i="6" s="1"/>
  <c r="C30" i="6"/>
  <c r="E30" i="6" s="1"/>
  <c r="O12" i="13"/>
  <c r="O23" i="13"/>
  <c r="D4" i="20" l="1"/>
  <c r="F4" i="20" s="1"/>
  <c r="C29" i="6"/>
  <c r="E29" i="6" s="1"/>
  <c r="B22" i="6"/>
  <c r="D22" i="6" s="1"/>
  <c r="B21" i="6"/>
  <c r="D21" i="6" s="1"/>
  <c r="C28" i="6"/>
  <c r="E28" i="6" s="1"/>
  <c r="B17" i="11"/>
  <c r="D23" i="7"/>
  <c r="E22" i="7"/>
  <c r="D19" i="10"/>
  <c r="B7" i="13"/>
  <c r="O7" i="13" s="1"/>
  <c r="C25" i="15"/>
  <c r="F29" i="8"/>
  <c r="B30" i="8" s="1"/>
  <c r="E24" i="6"/>
  <c r="F24" i="6"/>
  <c r="E23" i="6"/>
  <c r="F23" i="6"/>
  <c r="B9" i="14"/>
  <c r="C50" i="13"/>
  <c r="D50" i="13" s="1"/>
  <c r="E50" i="13" s="1"/>
  <c r="E32" i="6" l="1"/>
  <c r="E22" i="6"/>
  <c r="F22" i="6"/>
  <c r="E21" i="6"/>
  <c r="F21" i="6"/>
  <c r="E23" i="7"/>
  <c r="D27" i="7"/>
  <c r="C48" i="13"/>
  <c r="B5" i="14"/>
  <c r="C30" i="8"/>
  <c r="C26" i="15" l="1"/>
  <c r="B10" i="15"/>
  <c r="B11" i="15" s="1"/>
  <c r="B18" i="15" s="1"/>
  <c r="B26" i="15"/>
  <c r="M10" i="13"/>
  <c r="K10" i="13"/>
  <c r="I10" i="13"/>
  <c r="G10" i="13"/>
  <c r="F10" i="13"/>
  <c r="C10" i="13"/>
  <c r="E49" i="13"/>
  <c r="D49" i="13"/>
  <c r="D26" i="15"/>
  <c r="L10" i="13"/>
  <c r="J10" i="13"/>
  <c r="H10" i="13"/>
  <c r="E10" i="13"/>
  <c r="D10" i="13"/>
  <c r="B10" i="13"/>
  <c r="D28" i="7"/>
  <c r="D29" i="7"/>
  <c r="E29" i="7" s="1"/>
  <c r="E27" i="7"/>
  <c r="B14" i="12"/>
  <c r="B5" i="15"/>
  <c r="B14" i="11"/>
  <c r="B15" i="11" s="1"/>
  <c r="D30" i="8"/>
  <c r="O10" i="13" l="1"/>
  <c r="D30" i="7"/>
  <c r="E28" i="7"/>
  <c r="F30" i="8"/>
  <c r="B31" i="8" s="1"/>
  <c r="B6" i="14" l="1"/>
  <c r="B7" i="14" s="1"/>
  <c r="C49" i="13"/>
  <c r="E30" i="7"/>
  <c r="D48" i="7"/>
  <c r="E48" i="7" s="1"/>
  <c r="B10" i="8" s="1"/>
  <c r="D31" i="7"/>
  <c r="C31" i="8"/>
  <c r="B17" i="15" l="1"/>
  <c r="E31" i="7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F5" i="9" l="1"/>
  <c r="F18" i="9" s="1"/>
  <c r="D49" i="9" s="1"/>
  <c r="D51" i="9" s="1"/>
  <c r="D18" i="9"/>
  <c r="D56" i="9"/>
  <c r="I13" i="13" l="1"/>
  <c r="F13" i="13"/>
  <c r="C13" i="13"/>
  <c r="G13" i="13"/>
  <c r="E13" i="13"/>
  <c r="D13" i="13"/>
  <c r="B13" i="13"/>
  <c r="B27" i="15"/>
  <c r="H13" i="13"/>
  <c r="L13" i="13"/>
  <c r="B12" i="15"/>
  <c r="B13" i="15" s="1"/>
  <c r="M13" i="13"/>
  <c r="K13" i="13"/>
  <c r="J13" i="13"/>
  <c r="B33" i="13"/>
  <c r="D43" i="9"/>
  <c r="B14" i="8"/>
  <c r="F26" i="13"/>
  <c r="O26" i="13" s="1"/>
  <c r="C7" i="20"/>
  <c r="B6" i="20"/>
  <c r="C56" i="13"/>
  <c r="B7" i="20" s="1"/>
  <c r="D7" i="20" l="1"/>
  <c r="F7" i="20" s="1"/>
  <c r="I22" i="13"/>
  <c r="I14" i="13"/>
  <c r="I16" i="13" s="1"/>
  <c r="I21" i="13" s="1"/>
  <c r="F22" i="13"/>
  <c r="F14" i="13"/>
  <c r="F16" i="13" s="1"/>
  <c r="F21" i="13" s="1"/>
  <c r="C14" i="13"/>
  <c r="C16" i="13" s="1"/>
  <c r="C21" i="13" s="1"/>
  <c r="C22" i="13"/>
  <c r="G22" i="13"/>
  <c r="G14" i="13"/>
  <c r="G16" i="13" s="1"/>
  <c r="G21" i="13" s="1"/>
  <c r="E14" i="13"/>
  <c r="E16" i="13" s="1"/>
  <c r="E21" i="13" s="1"/>
  <c r="E22" i="13"/>
  <c r="D14" i="13"/>
  <c r="D16" i="13" s="1"/>
  <c r="D21" i="13" s="1"/>
  <c r="D22" i="13"/>
  <c r="B22" i="13"/>
  <c r="O13" i="13"/>
  <c r="B14" i="13"/>
  <c r="C27" i="15"/>
  <c r="C28" i="15" s="1"/>
  <c r="C29" i="15" s="1"/>
  <c r="C30" i="15" s="1"/>
  <c r="C31" i="15" s="1"/>
  <c r="D27" i="15"/>
  <c r="D28" i="15" s="1"/>
  <c r="D29" i="15" s="1"/>
  <c r="D30" i="15" s="1"/>
  <c r="D31" i="15" s="1"/>
  <c r="B28" i="15"/>
  <c r="B29" i="15" s="1"/>
  <c r="B30" i="15" s="1"/>
  <c r="B31" i="15" s="1"/>
  <c r="H22" i="13"/>
  <c r="H14" i="13"/>
  <c r="H16" i="13" s="1"/>
  <c r="H21" i="13" s="1"/>
  <c r="L14" i="13"/>
  <c r="L16" i="13" s="1"/>
  <c r="L21" i="13" s="1"/>
  <c r="L22" i="13"/>
  <c r="M22" i="13"/>
  <c r="M14" i="13"/>
  <c r="M16" i="13" s="1"/>
  <c r="M21" i="13" s="1"/>
  <c r="K22" i="13"/>
  <c r="K14" i="13"/>
  <c r="K16" i="13" s="1"/>
  <c r="K21" i="13" s="1"/>
  <c r="J22" i="13"/>
  <c r="J14" i="13"/>
  <c r="J16" i="13" s="1"/>
  <c r="J21" i="13" s="1"/>
  <c r="F6" i="20"/>
  <c r="D6" i="20"/>
  <c r="C51" i="13" l="1"/>
  <c r="O22" i="13"/>
  <c r="B10" i="14"/>
  <c r="O14" i="13"/>
  <c r="B16" i="13"/>
  <c r="C55" i="13" l="1"/>
  <c r="C52" i="13"/>
  <c r="C53" i="13" s="1"/>
  <c r="C54" i="13" s="1"/>
  <c r="D51" i="13"/>
  <c r="B11" i="14"/>
  <c r="O16" i="13"/>
  <c r="B18" i="13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B21" i="13"/>
  <c r="C58" i="13" l="1"/>
  <c r="C59" i="13" s="1"/>
  <c r="B12" i="14"/>
  <c r="E51" i="13"/>
  <c r="D55" i="13"/>
  <c r="D52" i="13"/>
  <c r="C24" i="13"/>
  <c r="C25" i="13" s="1"/>
  <c r="F24" i="13"/>
  <c r="F25" i="13" s="1"/>
  <c r="K24" i="13"/>
  <c r="K25" i="13" s="1"/>
  <c r="O21" i="13"/>
  <c r="I24" i="13"/>
  <c r="I25" i="13" s="1"/>
  <c r="D24" i="13"/>
  <c r="D25" i="13" s="1"/>
  <c r="H24" i="13"/>
  <c r="H25" i="13" s="1"/>
  <c r="L24" i="13"/>
  <c r="L25" i="13" s="1"/>
  <c r="B24" i="13"/>
  <c r="E24" i="13"/>
  <c r="E25" i="13" s="1"/>
  <c r="G24" i="13"/>
  <c r="G25" i="13" s="1"/>
  <c r="J24" i="13"/>
  <c r="J25" i="13" s="1"/>
  <c r="M24" i="13"/>
  <c r="M25" i="13" s="1"/>
  <c r="B15" i="8"/>
  <c r="B16" i="8" s="1"/>
  <c r="D39" i="9"/>
  <c r="D45" i="9" s="1"/>
  <c r="D46" i="9" s="1"/>
  <c r="E57" i="13"/>
  <c r="B8" i="20" s="1"/>
  <c r="C8" i="20"/>
  <c r="B18" i="14" l="1"/>
  <c r="B14" i="14"/>
  <c r="B15" i="14" s="1"/>
  <c r="B16" i="14" s="1"/>
  <c r="B6" i="15" s="1"/>
  <c r="B7" i="15" s="1"/>
  <c r="D8" i="20"/>
  <c r="F8" i="20" s="1"/>
  <c r="E52" i="13"/>
  <c r="E53" i="13" s="1"/>
  <c r="E54" i="13" s="1"/>
  <c r="E55" i="13"/>
  <c r="D53" i="13"/>
  <c r="D54" i="13" s="1"/>
  <c r="D58" i="13" s="1"/>
  <c r="B25" i="13"/>
  <c r="O24" i="13"/>
  <c r="O25" i="13" s="1"/>
  <c r="B20" i="8"/>
  <c r="C21" i="8"/>
  <c r="E45" i="9"/>
  <c r="B4" i="15"/>
  <c r="B56" i="13"/>
  <c r="B58" i="13" s="1"/>
  <c r="B59" i="13" s="1"/>
  <c r="E46" i="9"/>
  <c r="E44" i="9"/>
  <c r="E43" i="9"/>
  <c r="B8" i="15" l="1"/>
  <c r="E58" i="13"/>
  <c r="B31" i="13"/>
  <c r="B36" i="13" s="1"/>
  <c r="B27" i="13" s="1"/>
  <c r="B28" i="13" s="1"/>
  <c r="C28" i="13" s="1"/>
  <c r="D28" i="13" s="1"/>
  <c r="B23" i="8"/>
  <c r="B22" i="8"/>
  <c r="C22" i="8" s="1"/>
  <c r="C20" i="8"/>
  <c r="D59" i="13"/>
  <c r="E59" i="13" l="1"/>
  <c r="B61" i="13" s="1"/>
  <c r="B62" i="13"/>
  <c r="E28" i="13"/>
  <c r="B63" i="13" l="1"/>
  <c r="B11" i="20"/>
  <c r="B19" i="15"/>
  <c r="B12" i="20"/>
  <c r="B20" i="15"/>
  <c r="F28" i="13"/>
  <c r="F12" i="20" l="1"/>
  <c r="D12" i="20"/>
  <c r="D11" i="20"/>
  <c r="F11" i="20"/>
  <c r="G28" i="13"/>
  <c r="H28" i="13" l="1"/>
  <c r="I28" i="13" l="1"/>
  <c r="J28" i="13" s="1"/>
  <c r="K28" i="13" s="1"/>
  <c r="L28" i="13" s="1"/>
  <c r="M28" i="13" s="1"/>
  <c r="B14" i="15" l="1"/>
  <c r="B15" i="15"/>
  <c r="B13" i="20" s="1"/>
  <c r="F13" i="20" l="1"/>
  <c r="D13" i="20"/>
</calcChain>
</file>

<file path=xl/sharedStrings.xml><?xml version="1.0" encoding="utf-8"?>
<sst xmlns="http://schemas.openxmlformats.org/spreadsheetml/2006/main" count="916" uniqueCount="774">
  <si>
    <t>PLAN MAESTRO FINANCIERO</t>
  </si>
  <si>
    <t>GLOBAL EVENT IMPORTS S.A.C.</t>
  </si>
  <si>
    <t>Evidencia de Aprendizaje 2 (EA2) - Análisis de Viabilidad</t>
  </si>
  <si>
    <t>INTEGRANTES (100% participación):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</si>
  <si>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</si>
  <si>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</si>
  <si>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</si>
  <si>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</si>
  <si>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</si>
  <si>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</si>
  <si>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</si>
  <si>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</si>
  <si>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</si>
  <si>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</si>
  <si>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</si>
  <si>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</si>
  <si>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</si>
  <si>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</si>
  <si>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</si>
  <si>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</si>
  <si>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</si>
  <si>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8519.81.90.00</t>
  </si>
  <si>
    <t>Descripción Arancelaria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</si>
  <si>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</si>
  <si>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</si>
  <si>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</si>
  <si>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</si>
  <si>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</si>
  <si>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</si>
  <si>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</si>
  <si>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</si>
  <si>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</si>
  <si>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</si>
  <si>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</si>
  <si>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</si>
  <si>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</si>
  <si>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</si>
  <si>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</si>
  <si>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</si>
  <si>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</si>
  <si>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</si>
  <si>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</si>
  <si>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</si>
  <si>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</si>
  <si>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</si>
  <si>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</si>
  <si>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</si>
  <si>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</si>
  <si>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</si>
  <si>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</si>
  <si>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</si>
  <si>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</si>
  <si>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</si>
  <si>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</si>
  <si>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</si>
  <si>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</si>
  <si>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</si>
  <si>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</si>
  <si>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</si>
  <si>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</si>
  <si>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</si>
  <si>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</si>
  <si>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</si>
  <si>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</si>
  <si>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</si>
  <si>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</si>
  <si>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</si>
  <si>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</si>
  <si>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</si>
  <si>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</si>
  <si>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</si>
  <si>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</si>
  <si>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</si>
  <si>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</si>
  <si>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</si>
  <si>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</si>
  <si>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</si>
  <si>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</si>
  <si>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</si>
  <si>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</si>
  <si>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</si>
  <si>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</si>
  <si>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</si>
  <si>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</si>
  <si>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</si>
  <si>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</si>
  <si>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</si>
  <si>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</si>
  <si>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</si>
  <si>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</si>
  <si>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</si>
  <si>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</si>
  <si>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</si>
  <si>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</si>
  <si>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</si>
  <si>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</si>
  <si>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</si>
  <si>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</si>
  <si>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</si>
  <si>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</si>
  <si>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</si>
  <si>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</si>
  <si>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</si>
  <si>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</si>
  <si>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</si>
  <si>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</si>
  <si>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</si>
  <si>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</si>
  <si>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</si>
  <si>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</si>
  <si>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</si>
  <si>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</si>
  <si>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</si>
  <si>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</si>
  <si>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</si>
  <si>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</si>
  <si>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</si>
  <si>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</si>
  <si>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</si>
  <si>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</si>
  <si>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</si>
  <si>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</si>
  <si>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</si>
  <si>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</si>
  <si>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</si>
  <si>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</si>
  <si>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</si>
  <si>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</si>
  <si>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</si>
  <si>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</si>
  <si>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</si>
  <si>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</si>
  <si>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</si>
  <si>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</si>
  <si>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</si>
  <si>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</si>
  <si>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</si>
  <si>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</si>
  <si>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</si>
  <si>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</si>
  <si>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</si>
  <si>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</si>
  <si>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</si>
  <si>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</si>
  <si>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</si>
  <si>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</si>
  <si>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</si>
  <si>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</si>
  <si>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</si>
  <si>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</si>
  <si>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</si>
  <si>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</si>
  <si>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</si>
  <si>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</si>
  <si>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</si>
  <si>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</si>
  <si>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</si>
  <si>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</si>
  <si>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</si>
  <si>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</si>
  <si>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</si>
  <si>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</si>
  <si>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</si>
  <si>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</si>
  <si>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</si>
  <si>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</si>
  <si>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</si>
  <si>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</si>
  <si>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</si>
  <si>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</si>
  <si>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</si>
  <si>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</si>
  <si>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</si>
  <si>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</si>
  <si>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</si>
  <si>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</si>
  <si>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</si>
  <si>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</si>
  <si>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</si>
  <si>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</si>
  <si>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</si>
  <si>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</si>
  <si>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</si>
  <si>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</si>
  <si>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</si>
  <si>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</si>
  <si>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</si>
  <si>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</si>
  <si>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</si>
  <si>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</si>
  <si>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</si>
  <si>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</si>
  <si>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</si>
  <si>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</si>
  <si>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</si>
  <si>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</si>
  <si>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</si>
  <si>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</si>
  <si>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</si>
  <si>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</si>
  <si>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</si>
  <si>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</si>
  <si>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</si>
  <si>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</si>
  <si>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</si>
  <si>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</si>
  <si>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</si>
  <si>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</si>
  <si>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</si>
  <si>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</si>
  <si>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</si>
  <si>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</si>
  <si>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</si>
  <si>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</si>
  <si>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</si>
  <si>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</si>
  <si>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</si>
  <si>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</si>
  <si>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técnico de campo (1 por cada 2 equipos)</t>
  </si>
  <si>
    <t>Costo fijo por evento (movilidad + internet)</t>
  </si>
  <si>
    <t>Costo incremental por equipo (consumibles + operador)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</si>
  <si>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</si>
  <si>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</si>
  <si>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</si>
  <si>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</si>
  <si>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</si>
  <si>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COSTO VARIABLE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</si>
  <si>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</si>
  <si>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</si>
  <si>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</si>
  <si>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</si>
  <si>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</si>
  <si>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</si>
  <si>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</si>
  <si>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</si>
  <si>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%</t>
  </si>
  <si>
    <t>MARKUP %</t>
  </si>
  <si>
    <t>D. PROMEDIO PONDERADO SEGÚN MIX DE VENTAS ESPERADO</t>
  </si>
  <si>
    <t>MIX %</t>
  </si>
  <si>
    <t>PRECIO</t>
  </si>
  <si>
    <t>COSTO PONDERADO</t>
  </si>
  <si>
    <t>PRECIO PONDERADO</t>
  </si>
  <si>
    <t>PROMEDIO PONDERADO</t>
  </si>
  <si>
    <t>*</t>
  </si>
  <si>
    <t>**</t>
  </si>
  <si>
    <t>* El COSTO VARIABLE PROMEDIO alimenta el Flujo de Caja.</t>
  </si>
  <si>
    <t>** El PRECIO PROMEDIO valida el ticket de Proyección de Ventas.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</si>
  <si>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</si>
  <si>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</si>
  <si>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</si>
  <si>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</si>
  <si>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</si>
  <si>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</si>
  <si>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</si>
  <si>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</si>
  <si>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</si>
  <si>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</si>
  <si>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</si>
  <si>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</si>
  <si>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</si>
  <si>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</si>
  <si>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</si>
  <si>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</si>
  <si>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</si>
  <si>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</si>
  <si>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</si>
  <si>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</si>
  <si>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</si>
  <si>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</si>
  <si>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</si>
  <si>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</si>
  <si>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</si>
  <si>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</si>
  <si>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</si>
  <si>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</si>
  <si>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</si>
  <si>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</si>
  <si>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</si>
  <si>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</si>
  <si>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</si>
  <si>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</si>
  <si>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</si>
  <si>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</si>
  <si>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</si>
  <si>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</si>
  <si>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</si>
  <si>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</si>
  <si>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</si>
  <si>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</si>
  <si>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</si>
  <si>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</si>
  <si>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</si>
  <si>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</si>
  <si>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</si>
  <si>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</si>
  <si>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</si>
  <si>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</si>
  <si>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</si>
  <si>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</si>
  <si>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</si>
  <si>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</si>
  <si>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</si>
  <si>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</si>
  <si>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</si>
  <si>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</si>
  <si>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</si>
  <si>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</si>
  <si>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</si>
  <si>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</si>
  <si>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</si>
  <si>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</si>
  <si>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</si>
  <si>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</si>
  <si>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</si>
  <si>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</si>
  <si>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</si>
  <si>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</si>
  <si>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</si>
  <si>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</si>
  <si>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</si>
  <si>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</si>
  <si>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</si>
  <si>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</si>
  <si>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</si>
  <si>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</si>
  <si>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</si>
  <si>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</si>
  <si>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</si>
  <si>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</si>
  <si>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</si>
  <si>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</si>
  <si>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</si>
  <si>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</si>
  <si>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</si>
  <si>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</si>
  <si>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</si>
  <si>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</si>
  <si>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</si>
  <si>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</si>
  <si>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</si>
  <si>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</si>
  <si>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</si>
  <si>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</si>
  <si>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</si>
  <si>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</si>
  <si>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</si>
  <si>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</si>
  <si>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</si>
  <si>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</si>
  <si>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</si>
  <si>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</si>
  <si>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</si>
  <si>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</si>
  <si>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</si>
  <si>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</si>
  <si>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</si>
  <si>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</si>
  <si>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</si>
  <si>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</si>
  <si>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</si>
  <si>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</si>
  <si>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</si>
  <si>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</si>
  <si>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</si>
  <si>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</si>
  <si>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</si>
  <si>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</si>
  <si>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</si>
  <si>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</si>
  <si>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</si>
  <si>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</si>
  <si>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</si>
  <si>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</si>
  <si>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</si>
  <si>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</si>
  <si>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</si>
  <si>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</si>
  <si>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</si>
  <si>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</si>
  <si>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</si>
  <si>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</si>
  <si>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</si>
  <si>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</si>
  <si>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</si>
  <si>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</si>
  <si>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</si>
  <si>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</si>
  <si>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</si>
  <si>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</si>
  <si>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</si>
  <si>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</si>
  <si>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</si>
  <si>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</si>
  <si>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</si>
  <si>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</si>
  <si>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</si>
  <si>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</si>
  <si>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</si>
  <si>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</si>
  <si>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</si>
  <si>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</si>
  <si>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</si>
  <si>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</si>
  <si>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</si>
  <si>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</si>
  <si>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</si>
  <si>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</si>
  <si>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</si>
  <si>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</si>
  <si>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</si>
  <si>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</si>
  <si>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</si>
  <si>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</si>
  <si>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</si>
  <si>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</si>
  <si>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</si>
  <si>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</si>
  <si>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</si>
  <si>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</si>
  <si>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</si>
  <si>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</si>
  <si>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</si>
  <si>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</si>
  <si>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</si>
  <si>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</si>
  <si>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(S/.)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</si>
  <si>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</si>
  <si>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</si>
  <si>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</si>
  <si>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</si>
  <si>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</si>
  <si>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</si>
  <si>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</si>
  <si>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</si>
  <si>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</si>
  <si>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</si>
  <si>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</si>
  <si>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</si>
  <si>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</si>
  <si>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</si>
  <si>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</si>
  <si>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</si>
  <si>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</si>
  <si>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</si>
  <si>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</si>
  <si>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</si>
  <si>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</si>
  <si>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</si>
  <si>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</si>
  <si>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</si>
  <si>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</si>
  <si>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</si>
  <si>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</si>
  <si>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Y TICKET PROMEDIO PONDERADO</t>
  </si>
  <si>
    <t>LÍNEAS</t>
  </si>
  <si>
    <t>APORTE (S/.)</t>
  </si>
  <si>
    <t>Full</t>
  </si>
  <si>
    <t>TICKET PROMEDIO PONDERADO</t>
  </si>
  <si>
    <t>NOTA DE CALENDARIO Y ESTACIONALIDAD (PERÚ)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</si>
  <si>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</si>
  <si>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</si>
  <si>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</si>
  <si>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</si>
  <si>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</si>
  <si>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</si>
  <si>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</si>
  <si>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</si>
  <si>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</si>
  <si>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</si>
  <si>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</si>
  <si>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</si>
  <si>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</si>
  <si>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</si>
  <si>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</si>
  <si>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</si>
  <si>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</si>
  <si>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</si>
  <si>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</si>
  <si>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</si>
  <si>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</si>
  <si>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</si>
  <si>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</si>
  <si>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</si>
  <si>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— ESTRUCTURA DE COSTOS FIJOS</t>
  </si>
  <si>
    <t>NATURALEZA / DETALLE</t>
  </si>
  <si>
    <t>Nómina de jefaturas (3 socios)</t>
  </si>
  <si>
    <t>Pro-labore de los 3 socios operativos (S/.1,000 c/u)</t>
  </si>
  <si>
    <t>Alquiler (se opera desde domicilio de socios)</t>
  </si>
  <si>
    <t>Operación desde domicilio: alquiler eliminado (medida de ahorro)</t>
  </si>
  <si>
    <t>Servicios (luz, agua, internet, teléfono)</t>
  </si>
  <si>
    <t>Servicios básicos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</si>
  <si>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</si>
  <si>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</si>
  <si>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</si>
  <si>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</si>
  <si>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</si>
  <si>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 (S/.)</t>
  </si>
  <si>
    <t>Gasto administrativo por evento (S/.)</t>
  </si>
  <si>
    <t>Gasto administrativo como % de los ingresos</t>
  </si>
  <si>
    <t>Peso de la nómina en el gasto administrativo</t>
  </si>
  <si>
    <t>Estructura de costos fijos optimizada (LEAN): operación desde domicilio de socios (alquiler S/.0) y equipo reducido a 3 socios, sin sacrificar la calidad del servicio. Los gastos fijos totales (S/.4,600/mes) representan una fracción reducida de los ingresos, dando un alto margen de seguridad operativo y un bajo punto de equilibrio.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</si>
  <si>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</si>
  <si>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</si>
  <si>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</si>
  <si>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</si>
  <si>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</si>
  <si>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</si>
  <si>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</si>
  <si>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</si>
  <si>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</si>
  <si>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</si>
  <si>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</si>
  <si>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</si>
  <si>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</si>
  <si>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</si>
  <si>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</si>
  <si>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</si>
  <si>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</si>
  <si>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</si>
  <si>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</si>
  <si>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</si>
  <si>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</si>
  <si>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</si>
  <si>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</si>
  <si>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</si>
  <si>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</si>
  <si>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</si>
  <si>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</si>
  <si>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</si>
  <si>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Lectura ajustada: el flujo incorpora CAPEX de Fase 2, separa tributos recuperables del CAPEX económico y actualiza depreciación según vida útil técnica. La viabilidad se mantiene, pero con menor holgura: revisar VAN/TIR y caja mínima en RESUMEN FINANCIERO y CHECKS.</t>
  </si>
  <si>
    <t>D. FLUJO DE CAJA LIBRE Y EVALUACIÓN DE RENTABILIDAD (VAN / TIR) — HORIZONTE 3 AÑOS</t>
  </si>
  <si>
    <t>Tasa de descuento (COK)</t>
  </si>
  <si>
    <t>Costo de oportunidad del capital (editable)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</si>
  <si>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</si>
  <si>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</si>
  <si>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</si>
  <si>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</si>
  <si>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</si>
  <si>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</si>
  <si>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</si>
  <si>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</si>
  <si>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</si>
  <si>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</si>
  <si>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</si>
  <si>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</si>
  <si>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</si>
  <si>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</si>
  <si>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</si>
  <si>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</si>
  <si>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</si>
  <si>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</si>
  <si>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</si>
  <si>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</si>
  <si>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</si>
  <si>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</si>
  <si>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</si>
  <si>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</si>
  <si>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</si>
  <si>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</si>
  <si>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</si>
  <si>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</si>
  <si>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</si>
  <si>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(−) Gastos financieros (intereses préstamo, Año 1)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</si>
  <si>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</si>
  <si>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</si>
  <si>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</si>
  <si>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</si>
  <si>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</si>
  <si>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</si>
  <si>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</si>
  <si>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</si>
  <si>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</si>
  <si>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</si>
  <si>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</si>
  <si>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</si>
  <si>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</si>
  <si>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</si>
  <si>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</si>
  <si>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</si>
  <si>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</si>
  <si>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</si>
  <si>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</si>
  <si>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</si>
  <si>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</si>
  <si>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</si>
  <si>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</si>
  <si>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</si>
  <si>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ANÁLISIS DE ESCENARIOS — AÑO 1 (variando el nivel de eventos)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</si>
  <si>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</si>
  <si>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</si>
  <si>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</si>
  <si>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</si>
  <si>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</si>
  <si>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</si>
  <si>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</si>
  <si>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</si>
  <si>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</si>
  <si>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</si>
  <si>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</si>
  <si>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</si>
  <si>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</si>
  <si>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</si>
  <si>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</si>
  <si>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</si>
  <si>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</si>
  <si>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</si>
  <si>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</si>
  <si>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</si>
  <si>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</si>
  <si>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</si>
  <si>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</si>
  <si>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</si>
  <si>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</si>
  <si>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</si>
  <si>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</si>
  <si>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</si>
  <si>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</si>
  <si>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</si>
  <si>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</si>
  <si>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</si>
  <si>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</si>
  <si>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</si>
  <si>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</si>
  <si>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</si>
  <si>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</si>
  <si>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</si>
  <si>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</si>
  <si>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</si>
  <si>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</si>
  <si>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</si>
  <si>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</si>
  <si>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</si>
  <si>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</si>
  <si>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</si>
  <si>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</si>
  <si>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</si>
  <si>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</si>
  <si>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</si>
  <si>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</si>
  <si>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</si>
  <si>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</si>
  <si>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</si>
  <si>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</si>
  <si>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</si>
  <si>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</si>
  <si>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</si>
  <si>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</si>
  <si>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</si>
  <si>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</si>
  <si>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</si>
  <si>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</si>
  <si>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</si>
  <si>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</si>
  <si>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</si>
  <si>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</si>
  <si>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</si>
  <si>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</si>
  <si>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</si>
  <si>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</si>
  <si>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</si>
  <si>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</si>
  <si>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</si>
  <si>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</si>
  <si>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</si>
  <si>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</si>
  <si>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</si>
  <si>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</si>
  <si>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</si>
  <si>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</si>
  <si>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</si>
  <si>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</si>
  <si>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</si>
  <si>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</si>
  <si>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</si>
  <si>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</si>
  <si>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</si>
  <si>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</si>
  <si>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</si>
  <si>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</si>
  <si>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</si>
  <si>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</si>
  <si>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</si>
  <si>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</si>
  <si>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</si>
  <si>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</si>
  <si>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</si>
  <si>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</si>
  <si>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</si>
  <si>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</si>
  <si>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</si>
  <si>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</si>
  <si>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</si>
  <si>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</si>
  <si>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</si>
  <si>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</si>
  <si>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</si>
  <si>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</si>
  <si>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</si>
  <si>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</si>
  <si>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</si>
  <si>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</si>
  <si>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</si>
  <si>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</si>
  <si>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</si>
  <si>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</si>
  <si>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</si>
  <si>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</si>
  <si>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</si>
  <si>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</si>
  <si>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</si>
  <si>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</si>
  <si>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</si>
  <si>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</si>
  <si>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</si>
  <si>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</si>
  <si>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</si>
  <si>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</si>
  <si>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</si>
  <si>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</si>
  <si>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</si>
  <si>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</si>
  <si>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</si>
  <si>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</si>
  <si>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</si>
  <si>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</si>
  <si>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</si>
  <si>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</si>
  <si>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</si>
  <si>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</si>
  <si>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</si>
  <si>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</si>
  <si>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</si>
  <si>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</si>
  <si>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</si>
  <si>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Mix de paquetes suma 100%</t>
  </si>
  <si>
    <t>PROYECCION DE VENTAS D33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</si>
  <si>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</si>
  <si>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</si>
  <si>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</si>
  <si>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</si>
  <si>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</si>
  <si>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</si>
  <si>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</si>
  <si>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</si>
  <si>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</si>
  <si>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</si>
  <si>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</si>
  <si>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</si>
  <si>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</si>
  <si>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</si>
  <si>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</si>
  <si>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</si>
  <si>
    <t>María Fernanda Ruiz Luna</t>
  </si>
  <si>
    <t>Marilin Andrea Medina Apolinario</t>
  </si>
  <si>
    <t>Jostin Alexander Chávez Estela</t>
  </si>
  <si>
    <t>Eric Laureano Mozombite Shishco</t>
  </si>
  <si>
    <t>Jahir Azael Castillo Paucas</t>
  </si>
  <si>
    <t>(+) Ingresos brutos</t>
  </si>
  <si>
    <t>(- ) Costo variable total</t>
  </si>
  <si>
    <t>(=) Margen bruto</t>
  </si>
  <si>
    <t>(-) Gastos administrativos (anual)</t>
  </si>
  <si>
    <t>(-) Depreciación (anual)</t>
  </si>
  <si>
    <t>(-) Gastos de ventas (anual)</t>
  </si>
  <si>
    <t>(=) UTILIDAD ANTES DE IMPUESTOS</t>
  </si>
  <si>
    <t>8471.41.00.00</t>
  </si>
  <si>
    <t>Maquinas y aparatos mecanicos con funcion propia, no expresados en otra parte del capitulo 84</t>
  </si>
  <si>
    <t>Maquinas automaticas para tratamiento de datos que incluyan unidad central de tratamiento, unidad de entrada y salida en la misma envoltura</t>
  </si>
  <si>
    <t>Paneles indicadores con diodos emisores de luz (LED) - Los demas</t>
  </si>
  <si>
    <t>Ver cotizacion</t>
  </si>
  <si>
    <t>8479.89.90.00</t>
  </si>
  <si>
    <t>8531.20.00.00</t>
  </si>
  <si>
    <t>Almacén seco en Lima, en flight cases reforzados anti-humedad y golpes</t>
  </si>
  <si>
    <t>5. TRANSPORTE INTERNO (Callao -&gt; Lima)</t>
  </si>
  <si>
    <t>MATRIZ DE COSTOS DE IMPORTACIÓN (DFI): China -&gt; Almacén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</si>
</sst>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28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5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New-Mirror-Photo-Booth-Selfie-Digital_1600949166824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www.alibaba.com/product-detail/Photo-Booth-Machine-Video-Booth-360_1601773430842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www.alibaba.com/product-detail/Recording-Vintage-Phone-Audio-Guestbook-Phone_1601060997786.htm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www.alibaba.com/product-detail/Manufacture-5-Sided-Interactive-LED-Soft_1601824219217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B7" sqref="B7:B14"/>
    </sheetView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40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756</v>
      </c>
    </row>
    <row r="9" spans="1:15" x14ac:dyDescent="0.25">
      <c r="B9" t="s">
        <v>754</v>
      </c>
    </row>
    <row r="10" spans="1:15" x14ac:dyDescent="0.25">
      <c r="B10" t="s">
        <v>753</v>
      </c>
    </row>
    <row r="11" spans="1:15" x14ac:dyDescent="0.25">
      <c r="B11" t="s">
        <v>755</v>
      </c>
    </row>
    <row r="12" spans="1:15" x14ac:dyDescent="0.25">
      <c r="B12" t="s">
        <v>752</v>
      </c>
    </row>
    <row r="15" spans="1:15" x14ac:dyDescent="0.25">
      <c r="B15" t="s">
        <v>4</v>
      </c>
    </row>
    <row r="16" spans="1:15" x14ac:dyDescent="0.25">
      <c r="B16" t="s">
        <v>5</v>
      </c>
    </row>
    <row r="17" spans="2:2" x14ac:dyDescent="0.25">
      <c r="B17" t="s">
        <v>6</v>
      </c>
    </row>
    <row r="18" spans="2:2" x14ac:dyDescent="0.25">
      <c r="B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selection sqref="A1:H1"/>
    </sheetView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51" t="s">
        <v>8</v>
      </c>
      <c r="B1" s="148"/>
      <c r="C1" s="148"/>
      <c r="D1" s="148"/>
      <c r="E1" s="148"/>
      <c r="F1" s="148"/>
      <c r="G1" s="148"/>
      <c r="H1" s="148"/>
    </row>
    <row r="3" spans="1:15" ht="15.75" customHeight="1" x14ac:dyDescent="0.25">
      <c r="A3" s="15"/>
      <c r="B3" s="22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B4" s="150" t="s">
        <v>10</v>
      </c>
      <c r="C4" s="148"/>
      <c r="D4" s="148"/>
      <c r="E4" s="148"/>
      <c r="F4" s="148"/>
      <c r="G4" s="148"/>
      <c r="H4" s="148"/>
    </row>
    <row r="5" spans="1:15" x14ac:dyDescent="0.25">
      <c r="B5" s="148"/>
      <c r="C5" s="148"/>
      <c r="D5" s="148"/>
      <c r="E5" s="148"/>
      <c r="F5" s="148"/>
      <c r="G5" s="148"/>
      <c r="H5" s="148"/>
    </row>
    <row r="6" spans="1:15" x14ac:dyDescent="0.25">
      <c r="B6" s="148"/>
      <c r="C6" s="148"/>
      <c r="D6" s="148"/>
      <c r="E6" s="148"/>
      <c r="F6" s="148"/>
      <c r="G6" s="148"/>
      <c r="H6" s="148"/>
    </row>
    <row r="8" spans="1:15" x14ac:dyDescent="0.25">
      <c r="B8" s="150" t="s">
        <v>11</v>
      </c>
      <c r="C8" s="148"/>
      <c r="D8" s="148"/>
      <c r="E8" s="148"/>
      <c r="F8" s="148"/>
      <c r="G8" s="148"/>
      <c r="H8" s="148"/>
    </row>
    <row r="9" spans="1:15" x14ac:dyDescent="0.25">
      <c r="B9" s="148"/>
      <c r="C9" s="148"/>
      <c r="D9" s="148"/>
      <c r="E9" s="148"/>
      <c r="F9" s="148"/>
      <c r="G9" s="148"/>
      <c r="H9" s="148"/>
    </row>
    <row r="10" spans="1:15" x14ac:dyDescent="0.25">
      <c r="B10" s="148"/>
      <c r="C10" s="148"/>
      <c r="D10" s="148"/>
      <c r="E10" s="148"/>
      <c r="F10" s="148"/>
      <c r="G10" s="148"/>
      <c r="H10" s="148"/>
    </row>
    <row r="12" spans="1:15" ht="30" customHeight="1" x14ac:dyDescent="0.25">
      <c r="B12" s="149" t="s">
        <v>12</v>
      </c>
      <c r="C12" s="148"/>
      <c r="D12" s="148"/>
      <c r="E12" s="148"/>
      <c r="F12" s="148"/>
      <c r="G12" s="148"/>
      <c r="H12" s="148"/>
    </row>
    <row r="14" spans="1:15" ht="30" customHeight="1" x14ac:dyDescent="0.25">
      <c r="B14" s="149" t="s">
        <v>13</v>
      </c>
      <c r="C14" s="148"/>
      <c r="D14" s="148"/>
      <c r="E14" s="148"/>
      <c r="F14" s="148"/>
      <c r="G14" s="148"/>
      <c r="H14" s="148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C20" sqref="C20"/>
    </sheetView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47" t="s">
        <v>14</v>
      </c>
      <c r="B1" s="148"/>
      <c r="C1" s="148"/>
      <c r="D1" s="148"/>
      <c r="E1" s="148"/>
    </row>
    <row r="3" spans="1:5" x14ac:dyDescent="0.25">
      <c r="A3" s="106" t="s">
        <v>15</v>
      </c>
      <c r="B3" s="106" t="s">
        <v>16</v>
      </c>
      <c r="C3" s="106" t="s">
        <v>17</v>
      </c>
      <c r="D3" s="106" t="s">
        <v>18</v>
      </c>
      <c r="E3" s="106" t="s">
        <v>19</v>
      </c>
    </row>
    <row r="4" spans="1:5" x14ac:dyDescent="0.25">
      <c r="A4" s="20" t="s">
        <v>20</v>
      </c>
      <c r="B4" s="17" t="s">
        <v>769</v>
      </c>
      <c r="C4" s="17" t="s">
        <v>764</v>
      </c>
      <c r="D4" s="17" t="s">
        <v>770</v>
      </c>
      <c r="E4" s="17" t="s">
        <v>21</v>
      </c>
    </row>
    <row r="5" spans="1:5" ht="60" x14ac:dyDescent="0.25">
      <c r="A5" s="20" t="s">
        <v>22</v>
      </c>
      <c r="B5" s="17" t="s">
        <v>765</v>
      </c>
      <c r="C5" s="17" t="s">
        <v>766</v>
      </c>
      <c r="D5" s="17" t="s">
        <v>767</v>
      </c>
      <c r="E5" s="17" t="s">
        <v>23</v>
      </c>
    </row>
    <row r="6" spans="1:5" x14ac:dyDescent="0.25">
      <c r="A6" s="20" t="s">
        <v>24</v>
      </c>
      <c r="B6" s="17" t="s">
        <v>25</v>
      </c>
      <c r="C6" s="17" t="s">
        <v>26</v>
      </c>
      <c r="D6" s="17" t="s">
        <v>27</v>
      </c>
      <c r="E6" s="17" t="s">
        <v>28</v>
      </c>
    </row>
    <row r="7" spans="1:5" x14ac:dyDescent="0.25">
      <c r="A7" s="20" t="s">
        <v>29</v>
      </c>
      <c r="B7" s="17" t="s">
        <v>30</v>
      </c>
      <c r="C7" s="17" t="s">
        <v>31</v>
      </c>
      <c r="D7" s="17" t="s">
        <v>32</v>
      </c>
      <c r="E7" s="17" t="s">
        <v>33</v>
      </c>
    </row>
    <row r="8" spans="1:5" ht="45" customHeight="1" x14ac:dyDescent="0.25">
      <c r="A8" s="20" t="s">
        <v>34</v>
      </c>
      <c r="B8" s="17" t="s">
        <v>35</v>
      </c>
      <c r="C8" s="17" t="s">
        <v>36</v>
      </c>
      <c r="D8" s="17" t="s">
        <v>37</v>
      </c>
      <c r="E8" s="17" t="s">
        <v>38</v>
      </c>
    </row>
    <row r="9" spans="1:5" ht="30" customHeight="1" x14ac:dyDescent="0.25">
      <c r="A9" s="20" t="s">
        <v>39</v>
      </c>
      <c r="B9" s="17" t="s">
        <v>771</v>
      </c>
      <c r="C9" s="17" t="s">
        <v>40</v>
      </c>
      <c r="D9" s="17" t="s">
        <v>41</v>
      </c>
      <c r="E9" s="17" t="s">
        <v>42</v>
      </c>
    </row>
    <row r="10" spans="1:5" ht="30" customHeight="1" x14ac:dyDescent="0.25">
      <c r="A10" s="20" t="s">
        <v>43</v>
      </c>
      <c r="B10" s="17" t="s">
        <v>44</v>
      </c>
      <c r="C10" s="17" t="s">
        <v>45</v>
      </c>
      <c r="D10" s="17" t="s">
        <v>46</v>
      </c>
      <c r="E10" s="17" t="s">
        <v>47</v>
      </c>
    </row>
    <row r="11" spans="1:5" ht="30" customHeight="1" x14ac:dyDescent="0.25">
      <c r="A11" s="20" t="s">
        <v>48</v>
      </c>
      <c r="B11" s="17" t="s">
        <v>49</v>
      </c>
      <c r="C11" s="17" t="s">
        <v>50</v>
      </c>
      <c r="D11" s="17" t="s">
        <v>51</v>
      </c>
      <c r="E11" s="17" t="s">
        <v>52</v>
      </c>
    </row>
    <row r="12" spans="1:5" ht="30" customHeight="1" x14ac:dyDescent="0.25">
      <c r="A12" s="20" t="s">
        <v>53</v>
      </c>
      <c r="B12" s="17" t="s">
        <v>54</v>
      </c>
      <c r="C12" s="17" t="s">
        <v>55</v>
      </c>
      <c r="D12" s="17" t="s">
        <v>56</v>
      </c>
      <c r="E12" s="17" t="s">
        <v>57</v>
      </c>
    </row>
    <row r="13" spans="1:5" x14ac:dyDescent="0.25">
      <c r="A13" s="20" t="s">
        <v>58</v>
      </c>
      <c r="B13" s="17" t="s">
        <v>59</v>
      </c>
      <c r="C13" s="17" t="s">
        <v>60</v>
      </c>
      <c r="D13" s="17" t="s">
        <v>61</v>
      </c>
      <c r="E13" s="17" t="s">
        <v>62</v>
      </c>
    </row>
    <row r="14" spans="1:5" x14ac:dyDescent="0.25">
      <c r="A14" s="20" t="s">
        <v>63</v>
      </c>
      <c r="B14" s="17" t="s">
        <v>64</v>
      </c>
      <c r="C14" s="17" t="s">
        <v>64</v>
      </c>
      <c r="D14" s="17" t="s">
        <v>65</v>
      </c>
      <c r="E14" s="17" t="s">
        <v>64</v>
      </c>
    </row>
    <row r="15" spans="1:5" ht="30" customHeight="1" x14ac:dyDescent="0.25">
      <c r="A15" s="20" t="s">
        <v>66</v>
      </c>
      <c r="B15" s="17" t="s">
        <v>67</v>
      </c>
      <c r="C15" s="17" t="s">
        <v>67</v>
      </c>
      <c r="D15" s="17" t="s">
        <v>67</v>
      </c>
      <c r="E15" s="17" t="s">
        <v>67</v>
      </c>
    </row>
    <row r="16" spans="1:5" x14ac:dyDescent="0.25">
      <c r="A16" s="20" t="s">
        <v>68</v>
      </c>
      <c r="B16" s="21">
        <f>INVERSION!B5</f>
        <v>1</v>
      </c>
      <c r="C16" s="21">
        <f>INVERSION!B6</f>
        <v>1</v>
      </c>
      <c r="D16" s="21">
        <f>INVERSION!B7</f>
        <v>1</v>
      </c>
      <c r="E16" s="21">
        <f>INVERSION!B8</f>
        <v>1</v>
      </c>
    </row>
    <row r="18" spans="1:3" ht="15.75" customHeight="1" x14ac:dyDescent="0.25">
      <c r="A18" s="22" t="s">
        <v>69</v>
      </c>
    </row>
    <row r="19" spans="1:3" ht="30" customHeight="1" x14ac:dyDescent="0.25">
      <c r="A19" s="106" t="s">
        <v>70</v>
      </c>
      <c r="B19" s="106" t="s">
        <v>71</v>
      </c>
      <c r="C19" s="106" t="s">
        <v>72</v>
      </c>
    </row>
    <row r="20" spans="1:3" ht="45" customHeight="1" x14ac:dyDescent="0.25">
      <c r="A20" s="16" t="s">
        <v>73</v>
      </c>
      <c r="B20" s="17" t="s">
        <v>74</v>
      </c>
      <c r="C20" s="18" t="s">
        <v>75</v>
      </c>
    </row>
    <row r="21" spans="1:3" ht="60" customHeight="1" x14ac:dyDescent="0.25">
      <c r="A21" s="107" t="s">
        <v>76</v>
      </c>
      <c r="B21" s="108" t="s">
        <v>77</v>
      </c>
      <c r="C21" s="109" t="s">
        <v>78</v>
      </c>
    </row>
    <row r="22" spans="1:3" ht="45" customHeight="1" x14ac:dyDescent="0.25">
      <c r="A22" s="16" t="s">
        <v>79</v>
      </c>
      <c r="B22" s="17" t="s">
        <v>80</v>
      </c>
      <c r="C22" s="18" t="s">
        <v>81</v>
      </c>
    </row>
    <row r="23" spans="1:3" ht="45" customHeight="1" x14ac:dyDescent="0.25">
      <c r="A23" s="107" t="s">
        <v>82</v>
      </c>
      <c r="B23" s="108" t="s">
        <v>83</v>
      </c>
      <c r="C23" s="109" t="s">
        <v>84</v>
      </c>
    </row>
    <row r="24" spans="1:3" ht="45" customHeight="1" x14ac:dyDescent="0.25">
      <c r="A24" s="16" t="s">
        <v>85</v>
      </c>
      <c r="B24" s="17" t="s">
        <v>86</v>
      </c>
      <c r="C24" s="18" t="s">
        <v>87</v>
      </c>
    </row>
    <row r="25" spans="1:3" ht="45" customHeight="1" x14ac:dyDescent="0.25">
      <c r="A25" s="107" t="s">
        <v>88</v>
      </c>
      <c r="B25" s="108" t="s">
        <v>89</v>
      </c>
      <c r="C25" s="109" t="s">
        <v>90</v>
      </c>
    </row>
    <row r="28" spans="1:3" ht="15.75" customHeight="1" x14ac:dyDescent="0.25">
      <c r="A28" s="22" t="s">
        <v>91</v>
      </c>
    </row>
    <row r="29" spans="1:3" x14ac:dyDescent="0.25">
      <c r="A29" s="106" t="s">
        <v>92</v>
      </c>
      <c r="B29" s="106" t="s">
        <v>93</v>
      </c>
      <c r="C29" s="106" t="s">
        <v>94</v>
      </c>
    </row>
    <row r="30" spans="1:3" x14ac:dyDescent="0.25">
      <c r="A30" s="17" t="s">
        <v>95</v>
      </c>
      <c r="B30" s="17" t="s">
        <v>96</v>
      </c>
      <c r="C30" s="26" t="s">
        <v>768</v>
      </c>
    </row>
    <row r="31" spans="1:3" ht="15" customHeight="1" x14ac:dyDescent="0.25">
      <c r="A31" s="108" t="s">
        <v>97</v>
      </c>
      <c r="B31" s="108" t="s">
        <v>98</v>
      </c>
      <c r="C31" s="26" t="s">
        <v>768</v>
      </c>
    </row>
    <row r="32" spans="1:3" x14ac:dyDescent="0.25">
      <c r="A32" s="17" t="s">
        <v>99</v>
      </c>
      <c r="B32" s="17" t="s">
        <v>100</v>
      </c>
      <c r="C32" s="26" t="s">
        <v>768</v>
      </c>
    </row>
    <row r="33" spans="1:3" x14ac:dyDescent="0.25">
      <c r="A33" s="108" t="s">
        <v>101</v>
      </c>
      <c r="B33" s="108" t="s">
        <v>102</v>
      </c>
      <c r="C33" s="26" t="s">
        <v>768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tooltip="Ver cotizacion" xr:uid="{00000000-0004-0000-0200-000006000000}"/>
    <hyperlink ref="C31" r:id="rId8" tooltip="Ver cotizacion" xr:uid="{00000000-0004-0000-0200-000007000000}"/>
    <hyperlink ref="C32" r:id="rId9" tooltip="Ver cotizacion" xr:uid="{00000000-0004-0000-0200-000008000000}"/>
    <hyperlink ref="C33" r:id="rId10" tooltip="Ver cotizacion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47" t="s">
        <v>103</v>
      </c>
      <c r="B1" s="148"/>
      <c r="C1" s="148"/>
      <c r="D1" s="148"/>
      <c r="E1" s="148"/>
      <c r="F1" s="148"/>
    </row>
    <row r="3" spans="1:6" x14ac:dyDescent="0.25">
      <c r="A3" s="106" t="s">
        <v>104</v>
      </c>
      <c r="B3" s="106" t="s">
        <v>105</v>
      </c>
      <c r="C3" s="106" t="s">
        <v>106</v>
      </c>
      <c r="D3" s="106" t="s">
        <v>107</v>
      </c>
      <c r="E3" s="106" t="s">
        <v>108</v>
      </c>
      <c r="F3" s="106" t="s">
        <v>109</v>
      </c>
    </row>
    <row r="4" spans="1:6" ht="30" customHeight="1" x14ac:dyDescent="0.25">
      <c r="A4" s="16" t="s">
        <v>110</v>
      </c>
      <c r="B4" s="17" t="s">
        <v>111</v>
      </c>
      <c r="C4" s="17" t="s">
        <v>112</v>
      </c>
      <c r="D4" s="17" t="s">
        <v>113</v>
      </c>
      <c r="E4" s="17" t="s">
        <v>114</v>
      </c>
      <c r="F4" s="18" t="s">
        <v>115</v>
      </c>
    </row>
    <row r="5" spans="1:6" ht="30" customHeight="1" x14ac:dyDescent="0.25">
      <c r="A5" s="107" t="s">
        <v>116</v>
      </c>
      <c r="B5" s="108" t="s">
        <v>117</v>
      </c>
      <c r="C5" s="108" t="s">
        <v>118</v>
      </c>
      <c r="D5" s="108" t="s">
        <v>119</v>
      </c>
      <c r="E5" s="108" t="s">
        <v>120</v>
      </c>
      <c r="F5" s="109" t="s">
        <v>121</v>
      </c>
    </row>
    <row r="6" spans="1:6" ht="30" customHeight="1" x14ac:dyDescent="0.25">
      <c r="A6" s="16" t="s">
        <v>122</v>
      </c>
      <c r="B6" s="17" t="s">
        <v>123</v>
      </c>
      <c r="C6" s="17" t="s">
        <v>124</v>
      </c>
      <c r="D6" s="17" t="s">
        <v>125</v>
      </c>
      <c r="E6" s="17" t="s">
        <v>126</v>
      </c>
      <c r="F6" s="18" t="s">
        <v>127</v>
      </c>
    </row>
    <row r="7" spans="1:6" ht="30" customHeight="1" x14ac:dyDescent="0.25">
      <c r="A7" s="107" t="s">
        <v>128</v>
      </c>
      <c r="B7" s="108" t="s">
        <v>129</v>
      </c>
      <c r="C7" s="108" t="s">
        <v>124</v>
      </c>
      <c r="D7" s="108" t="s">
        <v>130</v>
      </c>
      <c r="E7" s="108" t="s">
        <v>131</v>
      </c>
      <c r="F7" s="109" t="s">
        <v>132</v>
      </c>
    </row>
    <row r="8" spans="1:6" ht="45" customHeight="1" x14ac:dyDescent="0.25">
      <c r="A8" s="19" t="s">
        <v>133</v>
      </c>
      <c r="B8" s="19" t="s">
        <v>134</v>
      </c>
      <c r="C8" s="19" t="s">
        <v>135</v>
      </c>
      <c r="D8" s="19" t="s">
        <v>136</v>
      </c>
      <c r="E8" s="19" t="s">
        <v>137</v>
      </c>
      <c r="F8" s="19" t="s">
        <v>138</v>
      </c>
    </row>
    <row r="10" spans="1:6" x14ac:dyDescent="0.25">
      <c r="A10" s="14" t="s">
        <v>139</v>
      </c>
    </row>
    <row r="11" spans="1:6" x14ac:dyDescent="0.25">
      <c r="A11" s="14" t="s">
        <v>140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52" t="s">
        <v>141</v>
      </c>
      <c r="B1" s="153"/>
      <c r="C1" s="153"/>
      <c r="D1" s="153"/>
      <c r="E1" s="153"/>
    </row>
    <row r="3" spans="1:5" x14ac:dyDescent="0.25">
      <c r="A3" s="110" t="s">
        <v>142</v>
      </c>
      <c r="B3" s="110" t="s">
        <v>143</v>
      </c>
      <c r="C3" s="110" t="s">
        <v>144</v>
      </c>
      <c r="D3" s="110" t="s">
        <v>145</v>
      </c>
      <c r="E3" s="110" t="s">
        <v>146</v>
      </c>
    </row>
    <row r="4" spans="1:5" x14ac:dyDescent="0.25">
      <c r="A4" s="111" t="s">
        <v>147</v>
      </c>
      <c r="B4" s="51">
        <v>1</v>
      </c>
      <c r="C4" s="56">
        <v>34350000</v>
      </c>
      <c r="D4" s="53" t="s">
        <v>148</v>
      </c>
      <c r="E4" s="105" t="s">
        <v>149</v>
      </c>
    </row>
    <row r="5" spans="1:5" x14ac:dyDescent="0.25">
      <c r="A5" s="54" t="s">
        <v>150</v>
      </c>
      <c r="B5" s="51">
        <f>C5/C4</f>
        <v>0.30370110625909752</v>
      </c>
      <c r="C5" s="56">
        <v>10432133</v>
      </c>
      <c r="D5" s="53" t="s">
        <v>148</v>
      </c>
      <c r="E5" s="105" t="s">
        <v>151</v>
      </c>
    </row>
    <row r="6" spans="1:5" x14ac:dyDescent="0.25">
      <c r="A6" s="111" t="s">
        <v>152</v>
      </c>
      <c r="B6" s="57">
        <v>0.65</v>
      </c>
      <c r="C6" s="52">
        <f>C5*B6</f>
        <v>6780886.4500000002</v>
      </c>
      <c r="D6" s="53" t="s">
        <v>148</v>
      </c>
      <c r="E6" s="105" t="s">
        <v>153</v>
      </c>
    </row>
    <row r="7" spans="1:5" x14ac:dyDescent="0.25">
      <c r="A7" s="54" t="s">
        <v>154</v>
      </c>
      <c r="B7" s="57">
        <v>0.252</v>
      </c>
      <c r="C7" s="52">
        <f>C6*B7</f>
        <v>1708783.3854</v>
      </c>
      <c r="D7" s="53" t="s">
        <v>148</v>
      </c>
      <c r="E7" s="105" t="s">
        <v>155</v>
      </c>
    </row>
    <row r="8" spans="1:5" x14ac:dyDescent="0.25">
      <c r="A8" s="111" t="s">
        <v>156</v>
      </c>
      <c r="B8" s="57">
        <v>0.95699999999999996</v>
      </c>
      <c r="C8" s="52">
        <f>C7*B8</f>
        <v>1635305.6998278</v>
      </c>
      <c r="D8" s="53" t="s">
        <v>148</v>
      </c>
      <c r="E8" s="105" t="s">
        <v>157</v>
      </c>
    </row>
    <row r="9" spans="1:5" x14ac:dyDescent="0.25">
      <c r="A9" s="54" t="s">
        <v>158</v>
      </c>
      <c r="B9" s="57">
        <v>0.15</v>
      </c>
      <c r="C9" s="52">
        <f>C8*B9</f>
        <v>245295.85497416998</v>
      </c>
      <c r="D9" s="53" t="s">
        <v>148</v>
      </c>
      <c r="E9" s="105" t="s">
        <v>159</v>
      </c>
    </row>
    <row r="10" spans="1:5" x14ac:dyDescent="0.25">
      <c r="A10" s="111" t="s">
        <v>160</v>
      </c>
      <c r="B10" s="57">
        <v>0.1</v>
      </c>
      <c r="C10" s="52">
        <f>C9*B10</f>
        <v>24529.585497417</v>
      </c>
      <c r="D10" s="53" t="s">
        <v>161</v>
      </c>
      <c r="E10" s="105" t="s">
        <v>162</v>
      </c>
    </row>
    <row r="11" spans="1:5" x14ac:dyDescent="0.25">
      <c r="A11" s="58" t="s">
        <v>163</v>
      </c>
      <c r="B11" s="61"/>
      <c r="C11" s="59">
        <f>C10</f>
        <v>24529.585497417</v>
      </c>
      <c r="D11" s="60" t="s">
        <v>164</v>
      </c>
      <c r="E11" s="58" t="s">
        <v>165</v>
      </c>
    </row>
    <row r="12" spans="1:5" x14ac:dyDescent="0.25">
      <c r="A12" s="111" t="s">
        <v>166</v>
      </c>
      <c r="B12" s="51"/>
      <c r="C12" s="56">
        <v>22400</v>
      </c>
      <c r="D12" s="53" t="s">
        <v>164</v>
      </c>
      <c r="E12" s="105" t="s">
        <v>167</v>
      </c>
    </row>
    <row r="13" spans="1:5" x14ac:dyDescent="0.25">
      <c r="A13" s="54" t="s">
        <v>168</v>
      </c>
      <c r="B13" s="51"/>
      <c r="C13" s="56">
        <v>2500</v>
      </c>
      <c r="D13" s="53" t="s">
        <v>164</v>
      </c>
      <c r="E13" s="105" t="s">
        <v>169</v>
      </c>
    </row>
    <row r="14" spans="1:5" x14ac:dyDescent="0.25">
      <c r="A14" s="111" t="s">
        <v>170</v>
      </c>
      <c r="B14" s="51"/>
      <c r="C14" s="56">
        <v>1300</v>
      </c>
      <c r="D14" s="53" t="s">
        <v>164</v>
      </c>
      <c r="E14" s="105" t="s">
        <v>171</v>
      </c>
    </row>
    <row r="15" spans="1:5" x14ac:dyDescent="0.25">
      <c r="A15" s="58" t="s">
        <v>172</v>
      </c>
      <c r="B15" s="61"/>
      <c r="C15" s="59">
        <f>C12+C13-C14</f>
        <v>23600</v>
      </c>
      <c r="D15" s="60" t="s">
        <v>164</v>
      </c>
      <c r="E15" s="58" t="s">
        <v>173</v>
      </c>
    </row>
    <row r="16" spans="1:5" x14ac:dyDescent="0.25">
      <c r="A16" s="58" t="s">
        <v>174</v>
      </c>
      <c r="B16" s="61"/>
      <c r="C16" s="59">
        <f>C11-C15</f>
        <v>929.58549741699971</v>
      </c>
      <c r="D16" s="60" t="s">
        <v>164</v>
      </c>
      <c r="E16" s="58" t="s">
        <v>175</v>
      </c>
    </row>
    <row r="17" spans="1:5" x14ac:dyDescent="0.25">
      <c r="A17" s="58" t="s">
        <v>176</v>
      </c>
      <c r="B17" s="61">
        <f>'PROYECCION DE VENTAS'!B19/C16</f>
        <v>0.15383200404626374</v>
      </c>
      <c r="C17" s="59">
        <f>C16*B17</f>
        <v>143</v>
      </c>
      <c r="D17" s="60" t="s">
        <v>177</v>
      </c>
      <c r="E17" s="58" t="s">
        <v>178</v>
      </c>
    </row>
    <row r="18" spans="1:5" x14ac:dyDescent="0.25">
      <c r="A18" s="62" t="s">
        <v>179</v>
      </c>
      <c r="B18" s="63"/>
      <c r="C18" s="64">
        <f>ROUND(C17,0)</f>
        <v>143</v>
      </c>
      <c r="D18" s="65" t="s">
        <v>180</v>
      </c>
      <c r="E18" s="62" t="s">
        <v>181</v>
      </c>
    </row>
    <row r="20" spans="1:5" ht="17.25" customHeight="1" x14ac:dyDescent="0.3">
      <c r="A20" s="154" t="s">
        <v>182</v>
      </c>
      <c r="B20" s="153"/>
      <c r="C20" s="153"/>
      <c r="D20" s="153"/>
      <c r="E20" s="153"/>
    </row>
    <row r="21" spans="1:5" x14ac:dyDescent="0.25">
      <c r="A21" s="110" t="s">
        <v>183</v>
      </c>
      <c r="B21" s="110" t="s">
        <v>184</v>
      </c>
      <c r="C21" s="110" t="s">
        <v>185</v>
      </c>
      <c r="D21" s="110" t="s">
        <v>186</v>
      </c>
      <c r="E21" s="110" t="s">
        <v>187</v>
      </c>
    </row>
    <row r="22" spans="1:5" x14ac:dyDescent="0.25">
      <c r="A22" s="112" t="s">
        <v>188</v>
      </c>
      <c r="B22" s="53" t="s">
        <v>189</v>
      </c>
      <c r="C22" s="55" t="s">
        <v>190</v>
      </c>
      <c r="D22" s="53" t="s">
        <v>191</v>
      </c>
      <c r="E22" s="66" t="s">
        <v>192</v>
      </c>
    </row>
    <row r="23" spans="1:5" x14ac:dyDescent="0.25">
      <c r="A23" s="55" t="s">
        <v>193</v>
      </c>
      <c r="B23" s="53" t="s">
        <v>189</v>
      </c>
      <c r="C23" s="55" t="s">
        <v>194</v>
      </c>
      <c r="D23" s="53" t="s">
        <v>191</v>
      </c>
      <c r="E23" s="66" t="s">
        <v>195</v>
      </c>
    </row>
    <row r="24" spans="1:5" x14ac:dyDescent="0.25">
      <c r="A24" s="112" t="s">
        <v>196</v>
      </c>
      <c r="B24" s="53" t="s">
        <v>197</v>
      </c>
      <c r="C24" s="55" t="s">
        <v>198</v>
      </c>
      <c r="D24" s="53" t="s">
        <v>199</v>
      </c>
      <c r="E24" s="66" t="s">
        <v>200</v>
      </c>
    </row>
    <row r="25" spans="1:5" x14ac:dyDescent="0.25">
      <c r="A25" s="55" t="s">
        <v>201</v>
      </c>
      <c r="B25" s="53" t="s">
        <v>197</v>
      </c>
      <c r="C25" s="55" t="s">
        <v>202</v>
      </c>
      <c r="D25" s="53" t="s">
        <v>203</v>
      </c>
      <c r="E25" s="66" t="s">
        <v>204</v>
      </c>
    </row>
    <row r="26" spans="1:5" x14ac:dyDescent="0.25">
      <c r="A26" s="112" t="s">
        <v>205</v>
      </c>
      <c r="B26" s="53" t="s">
        <v>197</v>
      </c>
      <c r="C26" s="55" t="s">
        <v>206</v>
      </c>
      <c r="D26" s="53" t="s">
        <v>199</v>
      </c>
      <c r="E26" s="66" t="s">
        <v>207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17" workbookViewId="0">
      <selection activeCell="G31" sqref="G31"/>
    </sheetView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5" t="s">
        <v>208</v>
      </c>
      <c r="B1" s="148"/>
      <c r="C1" s="148"/>
      <c r="D1" s="148"/>
      <c r="E1" s="148"/>
      <c r="F1" s="148"/>
    </row>
    <row r="3" spans="1:6" x14ac:dyDescent="0.25">
      <c r="A3" s="6" t="s">
        <v>209</v>
      </c>
    </row>
    <row r="4" spans="1:6" x14ac:dyDescent="0.25">
      <c r="A4" s="106" t="s">
        <v>210</v>
      </c>
      <c r="B4" s="106" t="s">
        <v>211</v>
      </c>
      <c r="C4" s="106" t="s">
        <v>212</v>
      </c>
    </row>
    <row r="5" spans="1:6" x14ac:dyDescent="0.25">
      <c r="A5" s="7" t="s">
        <v>213</v>
      </c>
      <c r="B5" s="7" t="s">
        <v>214</v>
      </c>
      <c r="C5" s="113">
        <v>180</v>
      </c>
    </row>
    <row r="6" spans="1:6" x14ac:dyDescent="0.25">
      <c r="A6" s="7" t="s">
        <v>215</v>
      </c>
      <c r="B6" s="7" t="s">
        <v>214</v>
      </c>
      <c r="C6" s="113">
        <v>30</v>
      </c>
    </row>
    <row r="7" spans="1:6" x14ac:dyDescent="0.25">
      <c r="A7" s="7" t="s">
        <v>216</v>
      </c>
      <c r="B7" s="7" t="s">
        <v>217</v>
      </c>
      <c r="C7" s="113">
        <v>40</v>
      </c>
    </row>
    <row r="8" spans="1:6" x14ac:dyDescent="0.25">
      <c r="A8" s="7" t="s">
        <v>218</v>
      </c>
      <c r="B8" s="7" t="s">
        <v>217</v>
      </c>
      <c r="C8" s="113">
        <v>60</v>
      </c>
    </row>
    <row r="9" spans="1:6" x14ac:dyDescent="0.25">
      <c r="A9" s="8" t="s">
        <v>219</v>
      </c>
      <c r="B9" s="7"/>
      <c r="C9" s="9">
        <f>C5+C6</f>
        <v>210</v>
      </c>
    </row>
    <row r="10" spans="1:6" x14ac:dyDescent="0.25">
      <c r="A10" s="8" t="s">
        <v>220</v>
      </c>
      <c r="B10" s="7"/>
      <c r="C10" s="9">
        <f>C7+C8</f>
        <v>100</v>
      </c>
    </row>
    <row r="12" spans="1:6" x14ac:dyDescent="0.25">
      <c r="A12" s="6" t="s">
        <v>221</v>
      </c>
    </row>
    <row r="13" spans="1:6" ht="30" customHeight="1" x14ac:dyDescent="0.25">
      <c r="A13" s="106" t="s">
        <v>222</v>
      </c>
      <c r="B13" s="106" t="s">
        <v>223</v>
      </c>
      <c r="C13" s="106" t="s">
        <v>224</v>
      </c>
      <c r="D13" s="106" t="s">
        <v>225</v>
      </c>
      <c r="E13" s="106" t="s">
        <v>226</v>
      </c>
    </row>
    <row r="14" spans="1:6" x14ac:dyDescent="0.25">
      <c r="A14" s="7" t="s">
        <v>227</v>
      </c>
      <c r="B14" s="7">
        <v>1</v>
      </c>
      <c r="C14" s="10">
        <f>$C$9</f>
        <v>210</v>
      </c>
      <c r="D14" s="10">
        <f>B14*$C$10</f>
        <v>100</v>
      </c>
      <c r="E14" s="10">
        <f>C14+D14</f>
        <v>310</v>
      </c>
    </row>
    <row r="15" spans="1:6" x14ac:dyDescent="0.25">
      <c r="A15" s="7" t="s">
        <v>228</v>
      </c>
      <c r="B15" s="7">
        <v>2</v>
      </c>
      <c r="C15" s="10">
        <f>$C$9</f>
        <v>210</v>
      </c>
      <c r="D15" s="10">
        <f>B15*$C$10</f>
        <v>200</v>
      </c>
      <c r="E15" s="10">
        <f>C15+D15</f>
        <v>410</v>
      </c>
    </row>
    <row r="16" spans="1:6" x14ac:dyDescent="0.25">
      <c r="A16" s="7" t="s">
        <v>229</v>
      </c>
      <c r="B16" s="7">
        <v>3</v>
      </c>
      <c r="C16" s="10">
        <f>$C$9</f>
        <v>210</v>
      </c>
      <c r="D16" s="10">
        <f>B16*$C$10</f>
        <v>300</v>
      </c>
      <c r="E16" s="10">
        <f>C16+D16</f>
        <v>510</v>
      </c>
    </row>
    <row r="17" spans="1:6" x14ac:dyDescent="0.25">
      <c r="A17" s="7" t="s">
        <v>230</v>
      </c>
      <c r="B17" s="7">
        <v>4</v>
      </c>
      <c r="C17" s="10">
        <f>$C$9</f>
        <v>210</v>
      </c>
      <c r="D17" s="10">
        <f>B17*$C$10</f>
        <v>400</v>
      </c>
      <c r="E17" s="10">
        <f>C17+D17</f>
        <v>610</v>
      </c>
    </row>
    <row r="19" spans="1:6" x14ac:dyDescent="0.25">
      <c r="A19" s="6" t="s">
        <v>231</v>
      </c>
    </row>
    <row r="20" spans="1:6" ht="30" customHeight="1" x14ac:dyDescent="0.25">
      <c r="A20" s="106" t="s">
        <v>222</v>
      </c>
      <c r="B20" s="106" t="s">
        <v>232</v>
      </c>
      <c r="C20" s="106" t="s">
        <v>233</v>
      </c>
      <c r="D20" s="106" t="s">
        <v>234</v>
      </c>
      <c r="E20" s="106" t="s">
        <v>235</v>
      </c>
      <c r="F20" s="106" t="s">
        <v>236</v>
      </c>
    </row>
    <row r="21" spans="1:6" x14ac:dyDescent="0.25">
      <c r="A21" s="7" t="s">
        <v>227</v>
      </c>
      <c r="B21" s="10">
        <f>E14</f>
        <v>310</v>
      </c>
      <c r="C21" s="113">
        <v>700</v>
      </c>
      <c r="D21" s="10">
        <f>C21-B21</f>
        <v>390</v>
      </c>
      <c r="E21" s="11">
        <f>D21/C21</f>
        <v>0.55714285714285716</v>
      </c>
      <c r="F21" s="11">
        <f>D21/B21</f>
        <v>1.2580645161290323</v>
      </c>
    </row>
    <row r="22" spans="1:6" x14ac:dyDescent="0.25">
      <c r="A22" s="7" t="s">
        <v>228</v>
      </c>
      <c r="B22" s="10">
        <f>E15</f>
        <v>410</v>
      </c>
      <c r="C22" s="113">
        <v>1250</v>
      </c>
      <c r="D22" s="10">
        <f>C22-B22</f>
        <v>840</v>
      </c>
      <c r="E22" s="11">
        <f>D22/C22</f>
        <v>0.67200000000000004</v>
      </c>
      <c r="F22" s="11">
        <f>D22/B22</f>
        <v>2.0487804878048781</v>
      </c>
    </row>
    <row r="23" spans="1:6" x14ac:dyDescent="0.25">
      <c r="A23" s="7" t="s">
        <v>229</v>
      </c>
      <c r="B23" s="10">
        <f>E16</f>
        <v>510</v>
      </c>
      <c r="C23" s="113">
        <v>1750</v>
      </c>
      <c r="D23" s="10">
        <f>C23-B23</f>
        <v>1240</v>
      </c>
      <c r="E23" s="11">
        <f>D23/C23</f>
        <v>0.70857142857142852</v>
      </c>
      <c r="F23" s="11">
        <f>D23/B23</f>
        <v>2.4313725490196076</v>
      </c>
    </row>
    <row r="24" spans="1:6" x14ac:dyDescent="0.25">
      <c r="A24" s="7" t="s">
        <v>230</v>
      </c>
      <c r="B24" s="10">
        <f>E17</f>
        <v>610</v>
      </c>
      <c r="C24" s="113">
        <v>2200</v>
      </c>
      <c r="D24" s="10">
        <f>C24-B24</f>
        <v>1590</v>
      </c>
      <c r="E24" s="11">
        <f>D24/C24</f>
        <v>0.72272727272727277</v>
      </c>
      <c r="F24" s="11">
        <f>D24/B24</f>
        <v>2.6065573770491803</v>
      </c>
    </row>
    <row r="26" spans="1:6" x14ac:dyDescent="0.25">
      <c r="A26" s="6" t="s">
        <v>237</v>
      </c>
    </row>
    <row r="27" spans="1:6" ht="30" customHeight="1" x14ac:dyDescent="0.25">
      <c r="A27" s="106" t="s">
        <v>222</v>
      </c>
      <c r="B27" s="106" t="s">
        <v>238</v>
      </c>
      <c r="C27" s="106" t="s">
        <v>232</v>
      </c>
      <c r="D27" s="106" t="s">
        <v>239</v>
      </c>
      <c r="E27" s="106" t="s">
        <v>240</v>
      </c>
      <c r="F27" s="106" t="s">
        <v>241</v>
      </c>
    </row>
    <row r="28" spans="1:6" x14ac:dyDescent="0.25">
      <c r="A28" s="7" t="s">
        <v>227</v>
      </c>
      <c r="B28" s="114">
        <v>0.45</v>
      </c>
      <c r="C28" s="10">
        <f>E14</f>
        <v>310</v>
      </c>
      <c r="D28" s="10">
        <f>C21</f>
        <v>700</v>
      </c>
      <c r="E28" s="10">
        <f>B28*C28</f>
        <v>139.5</v>
      </c>
      <c r="F28" s="10">
        <f>B28*D28</f>
        <v>315</v>
      </c>
    </row>
    <row r="29" spans="1:6" x14ac:dyDescent="0.25">
      <c r="A29" s="7" t="s">
        <v>228</v>
      </c>
      <c r="B29" s="114">
        <v>0.3</v>
      </c>
      <c r="C29" s="10">
        <f>E15</f>
        <v>410</v>
      </c>
      <c r="D29" s="10">
        <f>C22</f>
        <v>1250</v>
      </c>
      <c r="E29" s="10">
        <f>B29*C29</f>
        <v>123</v>
      </c>
      <c r="F29" s="10">
        <f>B29*D29</f>
        <v>375</v>
      </c>
    </row>
    <row r="30" spans="1:6" x14ac:dyDescent="0.25">
      <c r="A30" s="7" t="s">
        <v>229</v>
      </c>
      <c r="B30" s="114">
        <v>0.15</v>
      </c>
      <c r="C30" s="10">
        <f>E16</f>
        <v>510</v>
      </c>
      <c r="D30" s="10">
        <f>C23</f>
        <v>1750</v>
      </c>
      <c r="E30" s="10">
        <f>B30*C30</f>
        <v>76.5</v>
      </c>
      <c r="F30" s="10">
        <f>B30*D30</f>
        <v>262.5</v>
      </c>
    </row>
    <row r="31" spans="1:6" x14ac:dyDescent="0.25">
      <c r="A31" s="7" t="s">
        <v>230</v>
      </c>
      <c r="B31" s="114">
        <v>0.1</v>
      </c>
      <c r="C31" s="10">
        <f>E17</f>
        <v>610</v>
      </c>
      <c r="D31" s="10">
        <f>C24</f>
        <v>2200</v>
      </c>
      <c r="E31" s="10">
        <f>B31*C31</f>
        <v>61</v>
      </c>
      <c r="F31" s="10">
        <f>B31*D31</f>
        <v>220</v>
      </c>
    </row>
    <row r="32" spans="1:6" x14ac:dyDescent="0.25">
      <c r="A32" s="8" t="s">
        <v>242</v>
      </c>
      <c r="B32" s="12">
        <f>SUM(B28:B31)</f>
        <v>1</v>
      </c>
      <c r="C32" s="7"/>
      <c r="D32" s="7"/>
      <c r="E32" s="9">
        <f>SUM(E28:E31)</f>
        <v>400</v>
      </c>
      <c r="F32" s="9">
        <f>SUM(F28:F31)</f>
        <v>1172.5</v>
      </c>
    </row>
    <row r="33" spans="1:6" x14ac:dyDescent="0.25">
      <c r="E33" s="13" t="s">
        <v>243</v>
      </c>
      <c r="F33" s="13" t="s">
        <v>244</v>
      </c>
    </row>
    <row r="34" spans="1:6" x14ac:dyDescent="0.25">
      <c r="A34" s="14" t="s">
        <v>245</v>
      </c>
    </row>
    <row r="35" spans="1:6" x14ac:dyDescent="0.25">
      <c r="A35" s="14" t="s">
        <v>246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>
      <selection activeCell="A5" sqref="A5"/>
    </sheetView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57" t="s">
        <v>773</v>
      </c>
      <c r="B1" s="153"/>
      <c r="C1" s="153"/>
      <c r="D1" s="153"/>
      <c r="E1" s="153"/>
    </row>
    <row r="3" spans="1:5" x14ac:dyDescent="0.25">
      <c r="A3" s="23" t="s">
        <v>247</v>
      </c>
    </row>
    <row r="4" spans="1:5" x14ac:dyDescent="0.25">
      <c r="A4" t="s">
        <v>248</v>
      </c>
      <c r="B4" s="67">
        <f>COFACE!B12</f>
        <v>3.3860000000000001</v>
      </c>
      <c r="C4" s="28" t="s">
        <v>249</v>
      </c>
      <c r="D4" s="26" t="s">
        <v>250</v>
      </c>
    </row>
    <row r="5" spans="1:5" x14ac:dyDescent="0.25">
      <c r="A5" t="s">
        <v>251</v>
      </c>
      <c r="B5" s="68">
        <v>0.06</v>
      </c>
    </row>
    <row r="6" spans="1:5" x14ac:dyDescent="0.25">
      <c r="A6" t="s">
        <v>252</v>
      </c>
      <c r="B6" s="68">
        <v>0.16</v>
      </c>
    </row>
    <row r="7" spans="1:5" x14ac:dyDescent="0.25">
      <c r="A7" t="s">
        <v>253</v>
      </c>
      <c r="B7" s="68">
        <v>0.02</v>
      </c>
    </row>
    <row r="8" spans="1:5" x14ac:dyDescent="0.25">
      <c r="A8" t="s">
        <v>254</v>
      </c>
      <c r="B8" s="68">
        <v>3.5000000000000003E-2</v>
      </c>
    </row>
    <row r="9" spans="1:5" x14ac:dyDescent="0.25">
      <c r="A9" t="s">
        <v>255</v>
      </c>
      <c r="B9" s="68">
        <v>0.01</v>
      </c>
    </row>
    <row r="11" spans="1:5" x14ac:dyDescent="0.25">
      <c r="A11" s="23" t="s">
        <v>256</v>
      </c>
    </row>
    <row r="12" spans="1:5" x14ac:dyDescent="0.25">
      <c r="A12" s="115" t="s">
        <v>257</v>
      </c>
      <c r="B12" s="115" t="s">
        <v>144</v>
      </c>
      <c r="C12" s="115" t="s">
        <v>258</v>
      </c>
      <c r="D12" s="115" t="s">
        <v>259</v>
      </c>
      <c r="E12" s="115" t="s">
        <v>260</v>
      </c>
    </row>
    <row r="13" spans="1:5" x14ac:dyDescent="0.25">
      <c r="A13" t="s">
        <v>261</v>
      </c>
      <c r="B13" s="3">
        <f>INVERSION!B5</f>
        <v>1</v>
      </c>
      <c r="C13" s="116">
        <f>ANEXOS!C4</f>
        <v>1200</v>
      </c>
      <c r="D13" s="74">
        <f>B13*C13</f>
        <v>1200</v>
      </c>
      <c r="E13" s="74">
        <f>D13*$B$4</f>
        <v>4063.2000000000003</v>
      </c>
    </row>
    <row r="14" spans="1:5" x14ac:dyDescent="0.25">
      <c r="A14" t="s">
        <v>262</v>
      </c>
      <c r="B14" s="3">
        <f>INVERSION!B6</f>
        <v>1</v>
      </c>
      <c r="C14" s="116">
        <f>ANEXOS!C5</f>
        <v>1500</v>
      </c>
      <c r="D14" s="74">
        <f>B14*C14</f>
        <v>1500</v>
      </c>
      <c r="E14" s="74">
        <f>D14*$B$4</f>
        <v>5079</v>
      </c>
    </row>
    <row r="15" spans="1:5" x14ac:dyDescent="0.25">
      <c r="A15" t="s">
        <v>263</v>
      </c>
      <c r="B15" s="3">
        <f>INVERSION!B7</f>
        <v>1</v>
      </c>
      <c r="C15" s="116">
        <f>ANEXOS!C6</f>
        <v>1800</v>
      </c>
      <c r="D15" s="74">
        <f>B15*C15</f>
        <v>1800</v>
      </c>
      <c r="E15" s="74">
        <f>D15*$B$4</f>
        <v>6094.8</v>
      </c>
    </row>
    <row r="16" spans="1:5" x14ac:dyDescent="0.25">
      <c r="A16" t="s">
        <v>264</v>
      </c>
      <c r="B16" s="3">
        <f>INVERSION!B8</f>
        <v>1</v>
      </c>
      <c r="C16" s="116">
        <f>ANEXOS!C7</f>
        <v>400</v>
      </c>
      <c r="D16" s="74">
        <f>B16*C16</f>
        <v>400</v>
      </c>
      <c r="E16" s="74">
        <f>D16*$B$4</f>
        <v>1354.4</v>
      </c>
    </row>
    <row r="17" spans="1:5" x14ac:dyDescent="0.25">
      <c r="A17" s="1" t="s">
        <v>265</v>
      </c>
      <c r="C17" s="3"/>
      <c r="D17" s="75">
        <f>SUM(D13:D16)</f>
        <v>4900</v>
      </c>
      <c r="E17" s="75">
        <f>SUM(E13:E16)</f>
        <v>16591.400000000001</v>
      </c>
    </row>
    <row r="18" spans="1:5" x14ac:dyDescent="0.25">
      <c r="D18" s="74"/>
      <c r="E18" s="74"/>
    </row>
    <row r="19" spans="1:5" x14ac:dyDescent="0.25">
      <c r="A19" s="23" t="s">
        <v>266</v>
      </c>
      <c r="D19" s="74"/>
      <c r="E19" s="74"/>
    </row>
    <row r="20" spans="1:5" x14ac:dyDescent="0.25">
      <c r="A20" s="115" t="s">
        <v>267</v>
      </c>
      <c r="B20" s="115"/>
      <c r="C20" s="115"/>
      <c r="D20" s="117" t="s">
        <v>268</v>
      </c>
      <c r="E20" s="117" t="s">
        <v>269</v>
      </c>
    </row>
    <row r="21" spans="1:5" x14ac:dyDescent="0.25">
      <c r="A21" t="s">
        <v>270</v>
      </c>
      <c r="D21" s="76">
        <v>1500</v>
      </c>
      <c r="E21" s="74">
        <f>D21*$B$4</f>
        <v>5079</v>
      </c>
    </row>
    <row r="22" spans="1:5" x14ac:dyDescent="0.25">
      <c r="A22" t="s">
        <v>255</v>
      </c>
      <c r="D22" s="74">
        <f>D17*$B$9</f>
        <v>49</v>
      </c>
      <c r="E22" s="74">
        <f>D22*$B$4</f>
        <v>165.91400000000002</v>
      </c>
    </row>
    <row r="23" spans="1:5" x14ac:dyDescent="0.25">
      <c r="A23" s="1" t="s">
        <v>271</v>
      </c>
      <c r="D23" s="75">
        <f>D17+D21+D22</f>
        <v>6449</v>
      </c>
      <c r="E23" s="75">
        <f>D23*$B$4</f>
        <v>21836.314000000002</v>
      </c>
    </row>
    <row r="24" spans="1:5" x14ac:dyDescent="0.25">
      <c r="D24" s="74"/>
      <c r="E24" s="74"/>
    </row>
    <row r="25" spans="1:5" x14ac:dyDescent="0.25">
      <c r="A25" s="23" t="s">
        <v>272</v>
      </c>
      <c r="D25" s="74"/>
      <c r="E25" s="74"/>
    </row>
    <row r="26" spans="1:5" x14ac:dyDescent="0.25">
      <c r="A26" s="115" t="s">
        <v>267</v>
      </c>
      <c r="B26" s="115"/>
      <c r="C26" s="115"/>
      <c r="D26" s="117" t="s">
        <v>268</v>
      </c>
      <c r="E26" s="117" t="s">
        <v>269</v>
      </c>
    </row>
    <row r="27" spans="1:5" x14ac:dyDescent="0.25">
      <c r="A27" t="s">
        <v>273</v>
      </c>
      <c r="D27" s="74">
        <f>D23*$B$5</f>
        <v>386.94</v>
      </c>
      <c r="E27" s="74">
        <f>D27*$B$4</f>
        <v>1310.17884</v>
      </c>
    </row>
    <row r="28" spans="1:5" x14ac:dyDescent="0.25">
      <c r="A28" t="s">
        <v>274</v>
      </c>
      <c r="D28" s="74">
        <f>(D23+D27)*$B$6</f>
        <v>1093.7503999999999</v>
      </c>
      <c r="E28" s="74">
        <f>D28*$B$4</f>
        <v>3703.4388543999999</v>
      </c>
    </row>
    <row r="29" spans="1:5" x14ac:dyDescent="0.25">
      <c r="A29" t="s">
        <v>275</v>
      </c>
      <c r="D29" s="74">
        <f>(D23+D27)*$B$7</f>
        <v>136.71879999999999</v>
      </c>
      <c r="E29" s="74">
        <f>D29*$B$4</f>
        <v>462.92985679999998</v>
      </c>
    </row>
    <row r="30" spans="1:5" x14ac:dyDescent="0.25">
      <c r="A30" t="s">
        <v>276</v>
      </c>
      <c r="D30" s="74">
        <f>(D23+D27+D28+D29)*$B$8</f>
        <v>282.324322</v>
      </c>
      <c r="E30" s="74">
        <f>D30*$B$4</f>
        <v>955.95015429199998</v>
      </c>
    </row>
    <row r="31" spans="1:5" x14ac:dyDescent="0.25">
      <c r="A31" s="1" t="s">
        <v>277</v>
      </c>
      <c r="D31" s="75">
        <f>SUM(D27:D30)</f>
        <v>1899.733522</v>
      </c>
      <c r="E31" s="75">
        <f>D31*$B$4</f>
        <v>6432.497705492</v>
      </c>
    </row>
    <row r="32" spans="1:5" x14ac:dyDescent="0.25">
      <c r="D32" s="74"/>
      <c r="E32" s="74"/>
    </row>
    <row r="33" spans="1:5" x14ac:dyDescent="0.25">
      <c r="A33" s="23" t="s">
        <v>278</v>
      </c>
      <c r="D33" s="74"/>
      <c r="E33" s="74"/>
    </row>
    <row r="34" spans="1:5" x14ac:dyDescent="0.25">
      <c r="A34" s="115" t="s">
        <v>267</v>
      </c>
      <c r="B34" s="115"/>
      <c r="C34" s="115"/>
      <c r="D34" s="117" t="s">
        <v>268</v>
      </c>
      <c r="E34" s="117" t="s">
        <v>269</v>
      </c>
    </row>
    <row r="35" spans="1:5" x14ac:dyDescent="0.25">
      <c r="A35" t="s">
        <v>279</v>
      </c>
      <c r="D35" s="76">
        <v>400</v>
      </c>
      <c r="E35" s="74">
        <f>D35*$B$4</f>
        <v>1354.4</v>
      </c>
    </row>
    <row r="36" spans="1:5" x14ac:dyDescent="0.25">
      <c r="A36" t="s">
        <v>280</v>
      </c>
      <c r="D36" s="76">
        <v>350</v>
      </c>
      <c r="E36" s="74">
        <f>D36*$B$4</f>
        <v>1185.1000000000001</v>
      </c>
    </row>
    <row r="37" spans="1:5" x14ac:dyDescent="0.25">
      <c r="A37" t="s">
        <v>281</v>
      </c>
      <c r="D37" s="76">
        <v>200</v>
      </c>
      <c r="E37" s="74">
        <f>D37*$B$4</f>
        <v>677.2</v>
      </c>
    </row>
    <row r="38" spans="1:5" x14ac:dyDescent="0.25">
      <c r="A38" t="s">
        <v>282</v>
      </c>
      <c r="D38" s="76">
        <v>150</v>
      </c>
      <c r="E38" s="74">
        <f>D38*$B$4</f>
        <v>507.90000000000003</v>
      </c>
    </row>
    <row r="39" spans="1:5" x14ac:dyDescent="0.25">
      <c r="A39" s="1" t="s">
        <v>283</v>
      </c>
      <c r="D39" s="75">
        <f>SUM(D35:D38)</f>
        <v>1100</v>
      </c>
      <c r="E39" s="75">
        <f>D39*$B$4</f>
        <v>3724.6</v>
      </c>
    </row>
    <row r="40" spans="1:5" x14ac:dyDescent="0.25">
      <c r="D40" s="74"/>
      <c r="E40" s="74"/>
    </row>
    <row r="41" spans="1:5" x14ac:dyDescent="0.25">
      <c r="A41" s="23" t="s">
        <v>772</v>
      </c>
      <c r="D41" s="74"/>
      <c r="E41" s="74"/>
    </row>
    <row r="42" spans="1:5" x14ac:dyDescent="0.25">
      <c r="A42" t="s">
        <v>284</v>
      </c>
      <c r="D42" s="76">
        <v>300</v>
      </c>
      <c r="E42" s="74">
        <f>D42*$B$4</f>
        <v>1015.8000000000001</v>
      </c>
    </row>
    <row r="43" spans="1:5" x14ac:dyDescent="0.25">
      <c r="D43" s="74"/>
      <c r="E43" s="74"/>
    </row>
    <row r="44" spans="1:5" x14ac:dyDescent="0.25">
      <c r="A44" s="118" t="s">
        <v>285</v>
      </c>
      <c r="B44" s="118"/>
      <c r="C44" s="118"/>
      <c r="D44" s="119">
        <f>D23+D31+D39+D42</f>
        <v>9748.7335220000004</v>
      </c>
      <c r="E44" s="119">
        <f>D44*$B$4</f>
        <v>33009.211705492002</v>
      </c>
    </row>
    <row r="46" spans="1:5" x14ac:dyDescent="0.25">
      <c r="A46" s="69" t="s">
        <v>286</v>
      </c>
      <c r="B46" s="69"/>
      <c r="C46" s="69"/>
      <c r="D46" s="71">
        <f>(D44-D48)/D17</f>
        <v>1.6808040816326533</v>
      </c>
      <c r="E46" s="70"/>
    </row>
    <row r="47" spans="1:5" x14ac:dyDescent="0.25">
      <c r="A47" s="69" t="s">
        <v>287</v>
      </c>
      <c r="B47" s="69"/>
      <c r="C47" s="69"/>
      <c r="D47" s="71">
        <f>(D44-D48-D17)/D17</f>
        <v>0.68080408163265316</v>
      </c>
      <c r="E47" s="70"/>
    </row>
    <row r="48" spans="1:5" x14ac:dyDescent="0.25">
      <c r="A48" s="69" t="s">
        <v>288</v>
      </c>
      <c r="B48" s="69"/>
      <c r="C48" s="69"/>
      <c r="D48" s="72">
        <f>D28+D29+D30</f>
        <v>1512.7935219999999</v>
      </c>
      <c r="E48" s="73">
        <f>D48*$B$4</f>
        <v>5122.3188654919995</v>
      </c>
    </row>
    <row r="50" spans="1:5" ht="48.75" customHeight="1" x14ac:dyDescent="0.25">
      <c r="A50" s="141" t="s">
        <v>289</v>
      </c>
      <c r="B50" s="143"/>
      <c r="C50" s="143"/>
      <c r="D50" s="143"/>
      <c r="E50" s="143"/>
    </row>
    <row r="52" spans="1:5" x14ac:dyDescent="0.25">
      <c r="A52" s="156" t="s">
        <v>290</v>
      </c>
      <c r="B52" s="153"/>
      <c r="C52" s="153"/>
      <c r="D52" s="153"/>
      <c r="E52" s="153"/>
    </row>
    <row r="53" spans="1:5" x14ac:dyDescent="0.25">
      <c r="A53" s="145" t="s">
        <v>291</v>
      </c>
      <c r="B53" s="145"/>
      <c r="C53" s="145"/>
      <c r="D53" s="145" t="s">
        <v>292</v>
      </c>
      <c r="E53" s="145" t="s">
        <v>293</v>
      </c>
    </row>
    <row r="54" spans="1:5" x14ac:dyDescent="0.25">
      <c r="A54" t="s">
        <v>294</v>
      </c>
      <c r="D54" t="s">
        <v>295</v>
      </c>
      <c r="E54" t="s">
        <v>296</v>
      </c>
    </row>
    <row r="55" spans="1:5" x14ac:dyDescent="0.25">
      <c r="A55" t="s">
        <v>297</v>
      </c>
      <c r="D55" t="s">
        <v>298</v>
      </c>
      <c r="E55" t="s">
        <v>299</v>
      </c>
    </row>
    <row r="56" spans="1:5" x14ac:dyDescent="0.25">
      <c r="A56" t="s">
        <v>300</v>
      </c>
      <c r="D56" t="s">
        <v>301</v>
      </c>
      <c r="E56" t="s">
        <v>302</v>
      </c>
    </row>
    <row r="57" spans="1:5" x14ac:dyDescent="0.25">
      <c r="A57" t="s">
        <v>303</v>
      </c>
      <c r="D57" t="s">
        <v>304</v>
      </c>
      <c r="E57" t="s">
        <v>305</v>
      </c>
    </row>
    <row r="58" spans="1:5" x14ac:dyDescent="0.25">
      <c r="A58" t="s">
        <v>306</v>
      </c>
      <c r="D58" t="s">
        <v>307</v>
      </c>
      <c r="E58" t="s">
        <v>308</v>
      </c>
    </row>
    <row r="59" spans="1:5" x14ac:dyDescent="0.25">
      <c r="A59" s="43" t="s">
        <v>309</v>
      </c>
      <c r="B59" s="43"/>
      <c r="C59" s="43"/>
      <c r="D59" s="43"/>
      <c r="E59" s="43" t="s">
        <v>308</v>
      </c>
    </row>
    <row r="60" spans="1:5" x14ac:dyDescent="0.25">
      <c r="A60" t="s">
        <v>310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>
      <selection sqref="A1:D1"/>
    </sheetView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58" t="s">
        <v>311</v>
      </c>
      <c r="B1" s="153"/>
      <c r="C1" s="153"/>
      <c r="D1" s="153"/>
    </row>
    <row r="2" spans="1:4" x14ac:dyDescent="0.25">
      <c r="A2" s="23" t="s">
        <v>312</v>
      </c>
    </row>
    <row r="3" spans="1:4" ht="16.5" customHeight="1" x14ac:dyDescent="0.3">
      <c r="A3" s="120" t="s">
        <v>267</v>
      </c>
      <c r="B3" s="120" t="s">
        <v>313</v>
      </c>
      <c r="C3" s="120" t="s">
        <v>314</v>
      </c>
      <c r="D3" s="120" t="s">
        <v>315</v>
      </c>
    </row>
    <row r="4" spans="1:4" x14ac:dyDescent="0.25">
      <c r="A4" s="121" t="s">
        <v>316</v>
      </c>
      <c r="B4" s="122">
        <f>'GASTOS ADMINISTRATIVOS'!$B$8+'G. VENTAS'!$B$8</f>
        <v>4600</v>
      </c>
      <c r="C4" s="123" t="s">
        <v>317</v>
      </c>
      <c r="D4" s="121" t="s">
        <v>318</v>
      </c>
    </row>
    <row r="5" spans="1:4" x14ac:dyDescent="0.25">
      <c r="A5" s="29" t="s">
        <v>319</v>
      </c>
      <c r="B5" s="80">
        <v>3</v>
      </c>
      <c r="C5" s="30" t="s">
        <v>320</v>
      </c>
      <c r="D5" s="29" t="s">
        <v>321</v>
      </c>
    </row>
    <row r="6" spans="1:4" x14ac:dyDescent="0.25">
      <c r="A6" s="121" t="s">
        <v>322</v>
      </c>
      <c r="B6" s="122">
        <f>MAX(B4*B5,-MIN('FLUJO DE CAJA'!B18:M18))</f>
        <v>13800</v>
      </c>
      <c r="C6" s="123" t="s">
        <v>317</v>
      </c>
      <c r="D6" s="121" t="s">
        <v>323</v>
      </c>
    </row>
    <row r="7" spans="1:4" x14ac:dyDescent="0.25">
      <c r="A7" s="29" t="s">
        <v>324</v>
      </c>
      <c r="B7" s="124">
        <f>('GASTOS ADMINISTRATIVOS'!B5+'GASTOS ADMINISTRATIVOS'!B6+'G. VENTAS'!B8)*4</f>
        <v>4800</v>
      </c>
      <c r="C7" s="30" t="s">
        <v>317</v>
      </c>
      <c r="D7" s="29" t="s">
        <v>325</v>
      </c>
    </row>
    <row r="8" spans="1:4" x14ac:dyDescent="0.25">
      <c r="A8" s="121" t="s">
        <v>326</v>
      </c>
      <c r="B8" s="80">
        <v>41400</v>
      </c>
      <c r="C8" s="123" t="s">
        <v>320</v>
      </c>
      <c r="D8" s="121" t="s">
        <v>327</v>
      </c>
    </row>
    <row r="9" spans="1:4" x14ac:dyDescent="0.25">
      <c r="A9" s="29" t="s">
        <v>328</v>
      </c>
      <c r="B9" s="80">
        <v>800</v>
      </c>
      <c r="C9" s="30" t="s">
        <v>320</v>
      </c>
      <c r="D9" s="29" t="s">
        <v>329</v>
      </c>
    </row>
    <row r="10" spans="1:4" ht="28.5" x14ac:dyDescent="0.25">
      <c r="A10" s="78" t="s">
        <v>330</v>
      </c>
      <c r="B10" s="81">
        <f>'G. EXPORT'!E48</f>
        <v>5122.3188654919995</v>
      </c>
      <c r="C10" s="79" t="s">
        <v>317</v>
      </c>
      <c r="D10" s="86" t="s">
        <v>331</v>
      </c>
    </row>
    <row r="11" spans="1:4" ht="30" customHeight="1" x14ac:dyDescent="0.25">
      <c r="A11" s="142" t="s">
        <v>332</v>
      </c>
      <c r="B11" s="82">
        <f>SUM(B6:B10)</f>
        <v>65922.318865491994</v>
      </c>
      <c r="C11" s="142" t="s">
        <v>317</v>
      </c>
      <c r="D11" s="87" t="s">
        <v>333</v>
      </c>
    </row>
    <row r="12" spans="1:4" x14ac:dyDescent="0.25">
      <c r="B12" s="74"/>
    </row>
    <row r="13" spans="1:4" x14ac:dyDescent="0.25">
      <c r="A13" s="23" t="s">
        <v>334</v>
      </c>
      <c r="B13" s="74"/>
    </row>
    <row r="14" spans="1:4" x14ac:dyDescent="0.25">
      <c r="A14" t="s">
        <v>335</v>
      </c>
      <c r="B14" s="74">
        <f>INVERSION!D18+INVERSION!D36</f>
        <v>63832.89284</v>
      </c>
    </row>
    <row r="15" spans="1:4" x14ac:dyDescent="0.25">
      <c r="A15" t="s">
        <v>336</v>
      </c>
      <c r="B15" s="74">
        <f>B11</f>
        <v>65922.318865491994</v>
      </c>
    </row>
    <row r="16" spans="1:4" x14ac:dyDescent="0.25">
      <c r="A16" s="118" t="s">
        <v>337</v>
      </c>
      <c r="B16" s="119">
        <f>B14+B15</f>
        <v>129755.21170549199</v>
      </c>
    </row>
    <row r="17" spans="1:6" x14ac:dyDescent="0.25">
      <c r="B17" s="74"/>
    </row>
    <row r="18" spans="1:6" x14ac:dyDescent="0.25">
      <c r="A18" s="23" t="s">
        <v>338</v>
      </c>
      <c r="B18" s="74"/>
    </row>
    <row r="19" spans="1:6" x14ac:dyDescent="0.25">
      <c r="A19" s="125" t="s">
        <v>93</v>
      </c>
      <c r="B19" s="126" t="s">
        <v>313</v>
      </c>
      <c r="C19" s="125" t="s">
        <v>339</v>
      </c>
    </row>
    <row r="20" spans="1:6" x14ac:dyDescent="0.25">
      <c r="A20" s="31" t="s">
        <v>340</v>
      </c>
      <c r="B20" s="83">
        <f>B16-B21</f>
        <v>89755.211705491995</v>
      </c>
      <c r="C20" s="33">
        <f>B20/$B$16</f>
        <v>0.69172721870479625</v>
      </c>
    </row>
    <row r="21" spans="1:6" x14ac:dyDescent="0.25">
      <c r="A21" s="31" t="s">
        <v>341</v>
      </c>
      <c r="B21" s="84">
        <v>40000</v>
      </c>
      <c r="C21" s="33">
        <f>B21/$B$16</f>
        <v>0.3082727812952038</v>
      </c>
    </row>
    <row r="22" spans="1:6" x14ac:dyDescent="0.25">
      <c r="A22" s="34" t="s">
        <v>342</v>
      </c>
      <c r="B22" s="85">
        <f>B20+B21</f>
        <v>129755.21170549199</v>
      </c>
      <c r="C22" s="36">
        <f>B22/$B$16</f>
        <v>1</v>
      </c>
    </row>
    <row r="23" spans="1:6" x14ac:dyDescent="0.25">
      <c r="A23" t="s">
        <v>343</v>
      </c>
      <c r="B23" s="74">
        <f>B20/6</f>
        <v>14959.201950915332</v>
      </c>
    </row>
    <row r="25" spans="1:6" x14ac:dyDescent="0.25">
      <c r="A25" s="23" t="s">
        <v>344</v>
      </c>
    </row>
    <row r="26" spans="1:6" x14ac:dyDescent="0.25">
      <c r="A26" t="s">
        <v>345</v>
      </c>
      <c r="B26" s="68">
        <v>0.28000000000000003</v>
      </c>
    </row>
    <row r="27" spans="1:6" x14ac:dyDescent="0.25">
      <c r="A27" t="s">
        <v>346</v>
      </c>
      <c r="B27" s="77">
        <v>3</v>
      </c>
    </row>
    <row r="28" spans="1:6" x14ac:dyDescent="0.25">
      <c r="A28" s="125" t="s">
        <v>347</v>
      </c>
      <c r="B28" s="125" t="s">
        <v>348</v>
      </c>
      <c r="C28" s="125" t="s">
        <v>349</v>
      </c>
      <c r="D28" s="125" t="s">
        <v>350</v>
      </c>
      <c r="E28" s="125" t="s">
        <v>351</v>
      </c>
      <c r="F28" s="125" t="s">
        <v>352</v>
      </c>
    </row>
    <row r="29" spans="1:6" x14ac:dyDescent="0.25">
      <c r="A29" s="31">
        <v>1</v>
      </c>
      <c r="B29" s="32">
        <f>B21</f>
        <v>40000</v>
      </c>
      <c r="C29" s="32">
        <f>B29*$B$26</f>
        <v>11200.000000000002</v>
      </c>
      <c r="D29" s="32">
        <f>E29-C29</f>
        <v>10208.248264597793</v>
      </c>
      <c r="E29" s="32">
        <f>PMT($B$26,$B$27,-$B$21)</f>
        <v>21408.248264597794</v>
      </c>
      <c r="F29" s="32">
        <f>B29-D29</f>
        <v>29791.751735402206</v>
      </c>
    </row>
    <row r="30" spans="1:6" x14ac:dyDescent="0.25">
      <c r="A30" s="31">
        <v>2</v>
      </c>
      <c r="B30" s="32">
        <f>F29</f>
        <v>29791.751735402206</v>
      </c>
      <c r="C30" s="32">
        <f>B30*$B$26</f>
        <v>8341.6904859126189</v>
      </c>
      <c r="D30" s="32">
        <f>E30-C30</f>
        <v>13066.557778685175</v>
      </c>
      <c r="E30" s="32">
        <f>$E$29</f>
        <v>21408.248264597794</v>
      </c>
      <c r="F30" s="32">
        <f>B30-D30</f>
        <v>16725.19395671703</v>
      </c>
    </row>
    <row r="31" spans="1:6" x14ac:dyDescent="0.25">
      <c r="A31" s="31">
        <v>3</v>
      </c>
      <c r="B31" s="32">
        <f>F30</f>
        <v>16725.19395671703</v>
      </c>
      <c r="C31" s="32">
        <f>B31*$B$26</f>
        <v>4683.0543078807686</v>
      </c>
      <c r="D31" s="32">
        <f>E31-C31</f>
        <v>16725.193956717027</v>
      </c>
      <c r="E31" s="32">
        <f>$E$29</f>
        <v>21408.248264597794</v>
      </c>
      <c r="F31" s="32">
        <f>B31-D31</f>
        <v>0</v>
      </c>
    </row>
    <row r="32" spans="1:6" x14ac:dyDescent="0.25">
      <c r="A32" s="34" t="s">
        <v>353</v>
      </c>
      <c r="B32" s="32"/>
      <c r="C32" s="35">
        <f>SUM(C29:C31)</f>
        <v>24224.74479379339</v>
      </c>
      <c r="D32" s="35">
        <f>SUM(D29:D31)</f>
        <v>39999.999999999993</v>
      </c>
      <c r="E32" s="35">
        <f>SUM(E29:E31)</f>
        <v>64224.744793793383</v>
      </c>
      <c r="F32" s="32"/>
    </row>
    <row r="34" spans="1:1" x14ac:dyDescent="0.25">
      <c r="A34" s="25" t="s">
        <v>354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>
      <selection activeCell="C5" sqref="C5"/>
    </sheetView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57" t="s">
        <v>355</v>
      </c>
      <c r="B1" s="153"/>
      <c r="C1" s="153"/>
      <c r="D1" s="153"/>
      <c r="E1" s="153"/>
      <c r="F1" s="153"/>
    </row>
    <row r="3" spans="1:6" x14ac:dyDescent="0.25">
      <c r="A3" s="23" t="s">
        <v>356</v>
      </c>
    </row>
    <row r="4" spans="1:6" x14ac:dyDescent="0.25">
      <c r="A4" s="125" t="s">
        <v>357</v>
      </c>
      <c r="B4" s="125" t="s">
        <v>358</v>
      </c>
      <c r="C4" s="125" t="s">
        <v>359</v>
      </c>
      <c r="D4" s="125" t="s">
        <v>360</v>
      </c>
      <c r="E4" s="125" t="s">
        <v>361</v>
      </c>
      <c r="F4" s="125" t="s">
        <v>362</v>
      </c>
    </row>
    <row r="5" spans="1:6" x14ac:dyDescent="0.25">
      <c r="A5" s="31" t="s">
        <v>363</v>
      </c>
      <c r="B5" s="88">
        <v>1</v>
      </c>
      <c r="C5" s="83">
        <f>'G. EXPORT'!C13*'G. EXPORT'!$D$46*'G. EXPORT'!$B$4</f>
        <v>6829.4431444897964</v>
      </c>
      <c r="D5" s="83">
        <f t="shared" ref="D5:D17" si="0">B5*C5</f>
        <v>6829.4431444897964</v>
      </c>
      <c r="E5" s="88">
        <v>5</v>
      </c>
      <c r="F5" s="32">
        <f t="shared" ref="F5:F17" si="1">D5/E5</f>
        <v>1365.8886288979593</v>
      </c>
    </row>
    <row r="6" spans="1:6" x14ac:dyDescent="0.25">
      <c r="A6" s="31" t="s">
        <v>364</v>
      </c>
      <c r="B6" s="88">
        <v>1</v>
      </c>
      <c r="C6" s="83">
        <f>'G. EXPORT'!C14*'G. EXPORT'!$D$46*'G. EXPORT'!$B$4</f>
        <v>8536.8039306122464</v>
      </c>
      <c r="D6" s="83">
        <f t="shared" si="0"/>
        <v>8536.8039306122464</v>
      </c>
      <c r="E6" s="88">
        <v>4</v>
      </c>
      <c r="F6" s="32">
        <f t="shared" si="1"/>
        <v>2134.2009826530616</v>
      </c>
    </row>
    <row r="7" spans="1:6" x14ac:dyDescent="0.25">
      <c r="A7" s="31" t="s">
        <v>263</v>
      </c>
      <c r="B7" s="88">
        <v>1</v>
      </c>
      <c r="C7" s="83">
        <f>'G. EXPORT'!C15*'G. EXPORT'!$D$46*'G. EXPORT'!$B$4</f>
        <v>10244.164716734695</v>
      </c>
      <c r="D7" s="83">
        <f t="shared" si="0"/>
        <v>10244.164716734695</v>
      </c>
      <c r="E7" s="88">
        <v>3</v>
      </c>
      <c r="F7" s="32">
        <f t="shared" si="1"/>
        <v>3414.7215722448982</v>
      </c>
    </row>
    <row r="8" spans="1:6" x14ac:dyDescent="0.25">
      <c r="A8" s="31" t="s">
        <v>264</v>
      </c>
      <c r="B8" s="88">
        <v>1</v>
      </c>
      <c r="C8" s="83">
        <f>'G. EXPORT'!C16*'G. EXPORT'!$D$46*'G. EXPORT'!$B$4</f>
        <v>2276.4810481632658</v>
      </c>
      <c r="D8" s="83">
        <f t="shared" si="0"/>
        <v>2276.4810481632658</v>
      </c>
      <c r="E8" s="88">
        <v>5</v>
      </c>
      <c r="F8" s="32">
        <f t="shared" si="1"/>
        <v>455.29620963265313</v>
      </c>
    </row>
    <row r="9" spans="1:6" x14ac:dyDescent="0.25">
      <c r="A9" s="31" t="s">
        <v>365</v>
      </c>
      <c r="B9" s="88">
        <v>1</v>
      </c>
      <c r="C9" s="84">
        <v>2500</v>
      </c>
      <c r="D9" s="83">
        <f t="shared" si="0"/>
        <v>2500</v>
      </c>
      <c r="E9" s="88">
        <v>5</v>
      </c>
      <c r="F9" s="32">
        <f t="shared" si="1"/>
        <v>500</v>
      </c>
    </row>
    <row r="10" spans="1:6" x14ac:dyDescent="0.25">
      <c r="A10" s="31" t="s">
        <v>366</v>
      </c>
      <c r="B10" s="88">
        <v>3</v>
      </c>
      <c r="C10" s="84">
        <v>500</v>
      </c>
      <c r="D10" s="83">
        <f t="shared" si="0"/>
        <v>1500</v>
      </c>
      <c r="E10" s="88">
        <v>10</v>
      </c>
      <c r="F10" s="32">
        <f t="shared" si="1"/>
        <v>150</v>
      </c>
    </row>
    <row r="11" spans="1:6" x14ac:dyDescent="0.25">
      <c r="A11" s="31" t="s">
        <v>367</v>
      </c>
      <c r="B11" s="88">
        <v>5</v>
      </c>
      <c r="C11" s="84">
        <v>150</v>
      </c>
      <c r="D11" s="83">
        <f t="shared" si="0"/>
        <v>750</v>
      </c>
      <c r="E11" s="88">
        <v>10</v>
      </c>
      <c r="F11" s="32">
        <f t="shared" si="1"/>
        <v>75</v>
      </c>
    </row>
    <row r="12" spans="1:6" x14ac:dyDescent="0.25">
      <c r="A12" s="31" t="s">
        <v>368</v>
      </c>
      <c r="B12" s="88">
        <v>2</v>
      </c>
      <c r="C12" s="84">
        <v>2000</v>
      </c>
      <c r="D12" s="83">
        <f t="shared" si="0"/>
        <v>4000</v>
      </c>
      <c r="E12" s="88">
        <v>4</v>
      </c>
      <c r="F12" s="32">
        <f t="shared" si="1"/>
        <v>1000</v>
      </c>
    </row>
    <row r="13" spans="1:6" x14ac:dyDescent="0.25">
      <c r="A13" s="31" t="s">
        <v>369</v>
      </c>
      <c r="B13" s="88">
        <v>1</v>
      </c>
      <c r="C13" s="84">
        <v>3500</v>
      </c>
      <c r="D13" s="83">
        <f t="shared" si="0"/>
        <v>3500</v>
      </c>
      <c r="E13" s="88">
        <v>4</v>
      </c>
      <c r="F13" s="32">
        <f t="shared" si="1"/>
        <v>875</v>
      </c>
    </row>
    <row r="14" spans="1:6" x14ac:dyDescent="0.25">
      <c r="A14" s="31" t="s">
        <v>370</v>
      </c>
      <c r="B14" s="88">
        <v>1</v>
      </c>
      <c r="C14" s="84">
        <v>1200</v>
      </c>
      <c r="D14" s="83">
        <f t="shared" si="0"/>
        <v>1200</v>
      </c>
      <c r="E14" s="88">
        <v>4</v>
      </c>
      <c r="F14" s="32">
        <f t="shared" si="1"/>
        <v>300</v>
      </c>
    </row>
    <row r="15" spans="1:6" x14ac:dyDescent="0.25">
      <c r="A15" s="31" t="s">
        <v>371</v>
      </c>
      <c r="B15" s="88">
        <v>3</v>
      </c>
      <c r="C15" s="84">
        <v>900</v>
      </c>
      <c r="D15" s="83">
        <f t="shared" si="0"/>
        <v>2700</v>
      </c>
      <c r="E15" s="88">
        <v>10</v>
      </c>
      <c r="F15" s="32">
        <f t="shared" si="1"/>
        <v>270</v>
      </c>
    </row>
    <row r="16" spans="1:6" x14ac:dyDescent="0.25">
      <c r="A16" s="31" t="s">
        <v>372</v>
      </c>
      <c r="B16" s="88">
        <v>1</v>
      </c>
      <c r="C16" s="84">
        <v>2800</v>
      </c>
      <c r="D16" s="83">
        <f t="shared" si="0"/>
        <v>2800</v>
      </c>
      <c r="E16" s="88">
        <v>5</v>
      </c>
      <c r="F16" s="32">
        <f t="shared" si="1"/>
        <v>560</v>
      </c>
    </row>
    <row r="17" spans="1:6" x14ac:dyDescent="0.25">
      <c r="A17" s="31" t="s">
        <v>373</v>
      </c>
      <c r="B17" s="88">
        <v>1</v>
      </c>
      <c r="C17" s="84">
        <v>2000</v>
      </c>
      <c r="D17" s="83">
        <f t="shared" si="0"/>
        <v>2000</v>
      </c>
      <c r="E17" s="88">
        <v>3</v>
      </c>
      <c r="F17" s="32">
        <f t="shared" si="1"/>
        <v>666.66666666666663</v>
      </c>
    </row>
    <row r="18" spans="1:6" x14ac:dyDescent="0.25">
      <c r="A18" s="34" t="s">
        <v>374</v>
      </c>
      <c r="B18" s="31"/>
      <c r="C18" s="83"/>
      <c r="D18" s="85">
        <f>SUM(D5:D17)</f>
        <v>48836.89284</v>
      </c>
      <c r="E18" s="31"/>
      <c r="F18" s="35">
        <f>SUM(F5:F17)</f>
        <v>11766.774060095237</v>
      </c>
    </row>
    <row r="19" spans="1:6" x14ac:dyDescent="0.25">
      <c r="C19" s="74"/>
      <c r="D19" s="74"/>
    </row>
    <row r="20" spans="1:6" x14ac:dyDescent="0.25">
      <c r="A20" s="23" t="s">
        <v>375</v>
      </c>
      <c r="C20" s="74"/>
      <c r="D20" s="74"/>
    </row>
    <row r="21" spans="1:6" x14ac:dyDescent="0.25">
      <c r="A21" s="125" t="s">
        <v>267</v>
      </c>
      <c r="B21" s="125" t="s">
        <v>291</v>
      </c>
      <c r="C21" s="126"/>
      <c r="D21" s="126" t="s">
        <v>376</v>
      </c>
      <c r="E21" s="125" t="s">
        <v>377</v>
      </c>
      <c r="F21" s="125" t="s">
        <v>378</v>
      </c>
    </row>
    <row r="22" spans="1:6" x14ac:dyDescent="0.25">
      <c r="A22" s="31" t="s">
        <v>379</v>
      </c>
      <c r="B22" s="31" t="s">
        <v>380</v>
      </c>
      <c r="C22" s="83"/>
      <c r="D22" s="84">
        <v>25</v>
      </c>
      <c r="E22" s="88">
        <v>1</v>
      </c>
      <c r="F22" s="32">
        <f t="shared" ref="F22:F35" si="2">D22/E22</f>
        <v>25</v>
      </c>
    </row>
    <row r="23" spans="1:6" x14ac:dyDescent="0.25">
      <c r="A23" s="31" t="s">
        <v>381</v>
      </c>
      <c r="B23" s="31" t="s">
        <v>380</v>
      </c>
      <c r="C23" s="83"/>
      <c r="D23" s="84">
        <v>350</v>
      </c>
      <c r="E23" s="88">
        <v>1</v>
      </c>
      <c r="F23" s="32">
        <f t="shared" si="2"/>
        <v>350</v>
      </c>
    </row>
    <row r="24" spans="1:6" x14ac:dyDescent="0.25">
      <c r="A24" s="31" t="s">
        <v>382</v>
      </c>
      <c r="B24" s="31" t="s">
        <v>380</v>
      </c>
      <c r="C24" s="83"/>
      <c r="D24" s="84">
        <v>450</v>
      </c>
      <c r="E24" s="88">
        <v>1</v>
      </c>
      <c r="F24" s="32">
        <f t="shared" si="2"/>
        <v>450</v>
      </c>
    </row>
    <row r="25" spans="1:6" x14ac:dyDescent="0.25">
      <c r="A25" s="31" t="s">
        <v>383</v>
      </c>
      <c r="B25" s="31" t="s">
        <v>380</v>
      </c>
      <c r="C25" s="83"/>
      <c r="D25" s="84">
        <v>90</v>
      </c>
      <c r="E25" s="88">
        <v>1</v>
      </c>
      <c r="F25" s="32">
        <f t="shared" si="2"/>
        <v>90</v>
      </c>
    </row>
    <row r="26" spans="1:6" x14ac:dyDescent="0.25">
      <c r="A26" s="31" t="s">
        <v>384</v>
      </c>
      <c r="B26" s="31" t="s">
        <v>380</v>
      </c>
      <c r="C26" s="83"/>
      <c r="D26" s="84">
        <v>150</v>
      </c>
      <c r="E26" s="88">
        <v>1</v>
      </c>
      <c r="F26" s="32">
        <f t="shared" si="2"/>
        <v>150</v>
      </c>
    </row>
    <row r="27" spans="1:6" x14ac:dyDescent="0.25">
      <c r="A27" s="31" t="s">
        <v>385</v>
      </c>
      <c r="B27" s="31" t="s">
        <v>380</v>
      </c>
      <c r="C27" s="83"/>
      <c r="D27" s="84">
        <v>535</v>
      </c>
      <c r="E27" s="88">
        <v>5</v>
      </c>
      <c r="F27" s="32">
        <f t="shared" si="2"/>
        <v>107</v>
      </c>
    </row>
    <row r="28" spans="1:6" x14ac:dyDescent="0.25">
      <c r="A28" s="31" t="s">
        <v>386</v>
      </c>
      <c r="B28" s="31" t="s">
        <v>387</v>
      </c>
      <c r="C28" s="83"/>
      <c r="D28" s="84">
        <v>500</v>
      </c>
      <c r="E28" s="88">
        <v>1</v>
      </c>
      <c r="F28" s="32">
        <f t="shared" si="2"/>
        <v>500</v>
      </c>
    </row>
    <row r="29" spans="1:6" x14ac:dyDescent="0.25">
      <c r="A29" s="31" t="s">
        <v>388</v>
      </c>
      <c r="B29" s="31" t="s">
        <v>387</v>
      </c>
      <c r="C29" s="83"/>
      <c r="D29" s="84">
        <v>350</v>
      </c>
      <c r="E29" s="88">
        <v>1</v>
      </c>
      <c r="F29" s="32">
        <f t="shared" si="2"/>
        <v>350</v>
      </c>
    </row>
    <row r="30" spans="1:6" x14ac:dyDescent="0.25">
      <c r="A30" s="31" t="s">
        <v>389</v>
      </c>
      <c r="B30" s="31" t="s">
        <v>387</v>
      </c>
      <c r="C30" s="83"/>
      <c r="D30" s="84">
        <v>200</v>
      </c>
      <c r="E30" s="88">
        <v>1</v>
      </c>
      <c r="F30" s="32">
        <f t="shared" si="2"/>
        <v>200</v>
      </c>
    </row>
    <row r="31" spans="1:6" x14ac:dyDescent="0.25">
      <c r="A31" s="31" t="s">
        <v>390</v>
      </c>
      <c r="B31" s="31" t="s">
        <v>387</v>
      </c>
      <c r="C31" s="83"/>
      <c r="D31" s="84">
        <v>346</v>
      </c>
      <c r="E31" s="88">
        <v>5</v>
      </c>
      <c r="F31" s="32">
        <f t="shared" si="2"/>
        <v>69.2</v>
      </c>
    </row>
    <row r="32" spans="1:6" x14ac:dyDescent="0.25">
      <c r="A32" s="31" t="s">
        <v>391</v>
      </c>
      <c r="B32" s="31" t="s">
        <v>387</v>
      </c>
      <c r="C32" s="83"/>
      <c r="D32" s="84">
        <v>3500</v>
      </c>
      <c r="E32" s="88">
        <v>5</v>
      </c>
      <c r="F32" s="32">
        <f t="shared" si="2"/>
        <v>700</v>
      </c>
    </row>
    <row r="33" spans="1:6" x14ac:dyDescent="0.25">
      <c r="A33" s="31" t="s">
        <v>392</v>
      </c>
      <c r="B33" s="31" t="s">
        <v>387</v>
      </c>
      <c r="C33" s="83"/>
      <c r="D33" s="84">
        <v>4000</v>
      </c>
      <c r="E33" s="88">
        <v>3</v>
      </c>
      <c r="F33" s="32">
        <f t="shared" si="2"/>
        <v>1333.3333333333333</v>
      </c>
    </row>
    <row r="34" spans="1:6" x14ac:dyDescent="0.25">
      <c r="A34" s="31" t="s">
        <v>393</v>
      </c>
      <c r="B34" s="31" t="s">
        <v>387</v>
      </c>
      <c r="C34" s="83"/>
      <c r="D34" s="84">
        <v>2000</v>
      </c>
      <c r="E34" s="88">
        <v>1</v>
      </c>
      <c r="F34" s="32">
        <f t="shared" si="2"/>
        <v>2000</v>
      </c>
    </row>
    <row r="35" spans="1:6" x14ac:dyDescent="0.25">
      <c r="A35" s="31" t="s">
        <v>394</v>
      </c>
      <c r="B35" s="31" t="s">
        <v>387</v>
      </c>
      <c r="C35" s="83"/>
      <c r="D35" s="84">
        <v>2500</v>
      </c>
      <c r="E35" s="88">
        <v>1</v>
      </c>
      <c r="F35" s="32">
        <f t="shared" si="2"/>
        <v>2500</v>
      </c>
    </row>
    <row r="36" spans="1:6" x14ac:dyDescent="0.25">
      <c r="A36" s="34" t="s">
        <v>395</v>
      </c>
      <c r="B36" s="31"/>
      <c r="C36" s="83"/>
      <c r="D36" s="85">
        <f>SUM(D22:D35)</f>
        <v>14996</v>
      </c>
      <c r="E36" s="31"/>
      <c r="F36" s="35">
        <f>SUM(F22:F35)</f>
        <v>8824.5333333333328</v>
      </c>
    </row>
    <row r="37" spans="1:6" x14ac:dyDescent="0.25">
      <c r="C37" s="74"/>
      <c r="D37" s="74"/>
    </row>
    <row r="38" spans="1:6" x14ac:dyDescent="0.25">
      <c r="A38" s="23" t="s">
        <v>396</v>
      </c>
      <c r="C38" s="74"/>
      <c r="D38" s="74"/>
    </row>
    <row r="39" spans="1:6" x14ac:dyDescent="0.25">
      <c r="A39" t="s">
        <v>397</v>
      </c>
      <c r="C39" s="74"/>
      <c r="D39" s="74">
        <f>'CAPITAL DE TRABAJO'!B11</f>
        <v>65922.318865491994</v>
      </c>
    </row>
    <row r="40" spans="1:6" x14ac:dyDescent="0.25">
      <c r="C40" s="74"/>
      <c r="D40" s="74"/>
    </row>
    <row r="41" spans="1:6" x14ac:dyDescent="0.25">
      <c r="A41" s="23" t="s">
        <v>398</v>
      </c>
      <c r="C41" s="74"/>
      <c r="D41" s="74"/>
    </row>
    <row r="42" spans="1:6" x14ac:dyDescent="0.25">
      <c r="A42" s="125" t="s">
        <v>399</v>
      </c>
      <c r="B42" s="125"/>
      <c r="C42" s="126"/>
      <c r="D42" s="126" t="s">
        <v>269</v>
      </c>
      <c r="E42" s="125" t="s">
        <v>339</v>
      </c>
    </row>
    <row r="43" spans="1:6" x14ac:dyDescent="0.25">
      <c r="A43" s="31" t="s">
        <v>400</v>
      </c>
      <c r="B43" s="31"/>
      <c r="C43" s="83"/>
      <c r="D43" s="83">
        <f>D18</f>
        <v>48836.89284</v>
      </c>
      <c r="E43" s="33">
        <f>D43/$D$46</f>
        <v>0.37637711964006559</v>
      </c>
    </row>
    <row r="44" spans="1:6" x14ac:dyDescent="0.25">
      <c r="A44" s="31" t="s">
        <v>401</v>
      </c>
      <c r="B44" s="31"/>
      <c r="C44" s="83"/>
      <c r="D44" s="83">
        <f>D36</f>
        <v>14996</v>
      </c>
      <c r="E44" s="33">
        <f>D44/$D$46</f>
        <v>0.1155714657075719</v>
      </c>
    </row>
    <row r="45" spans="1:6" x14ac:dyDescent="0.25">
      <c r="A45" s="31" t="s">
        <v>402</v>
      </c>
      <c r="B45" s="31"/>
      <c r="C45" s="83"/>
      <c r="D45" s="83">
        <f>D39</f>
        <v>65922.318865491994</v>
      </c>
      <c r="E45" s="33">
        <f>D45/$D$46</f>
        <v>0.50805141465236248</v>
      </c>
    </row>
    <row r="46" spans="1:6" x14ac:dyDescent="0.25">
      <c r="A46" s="127" t="s">
        <v>403</v>
      </c>
      <c r="B46" s="128"/>
      <c r="C46" s="129"/>
      <c r="D46" s="130">
        <f>SUM(D43:D45)</f>
        <v>129755.21170549199</v>
      </c>
      <c r="E46" s="33">
        <f>D46/$D$46</f>
        <v>1</v>
      </c>
    </row>
    <row r="47" spans="1:6" x14ac:dyDescent="0.25">
      <c r="C47" s="74"/>
      <c r="D47" s="74"/>
    </row>
    <row r="48" spans="1:6" x14ac:dyDescent="0.25">
      <c r="A48" s="23" t="s">
        <v>404</v>
      </c>
      <c r="C48" s="74"/>
      <c r="D48" s="74"/>
    </row>
    <row r="49" spans="1:5" x14ac:dyDescent="0.25">
      <c r="A49" t="s">
        <v>405</v>
      </c>
      <c r="C49" s="74"/>
      <c r="D49" s="74">
        <f>F18</f>
        <v>11766.774060095237</v>
      </c>
    </row>
    <row r="50" spans="1:5" x14ac:dyDescent="0.25">
      <c r="A50" t="s">
        <v>406</v>
      </c>
      <c r="C50" s="74"/>
      <c r="D50" s="74">
        <f>F36</f>
        <v>8824.5333333333328</v>
      </c>
    </row>
    <row r="51" spans="1:5" x14ac:dyDescent="0.25">
      <c r="A51" s="1" t="s">
        <v>407</v>
      </c>
      <c r="C51" s="74"/>
      <c r="D51" s="75">
        <f>(D49+D50)/12</f>
        <v>1715.9422827857143</v>
      </c>
    </row>
    <row r="52" spans="1:5" x14ac:dyDescent="0.25">
      <c r="C52" s="74"/>
      <c r="D52" s="74"/>
    </row>
    <row r="53" spans="1:5" x14ac:dyDescent="0.25">
      <c r="A53" s="23" t="s">
        <v>408</v>
      </c>
      <c r="C53" s="74"/>
      <c r="D53" s="74"/>
    </row>
    <row r="54" spans="1:5" x14ac:dyDescent="0.25">
      <c r="A54" s="89" t="s">
        <v>409</v>
      </c>
      <c r="B54" s="89" t="s">
        <v>410</v>
      </c>
      <c r="C54" s="90"/>
      <c r="D54" s="90" t="s">
        <v>411</v>
      </c>
      <c r="E54" s="89" t="s">
        <v>412</v>
      </c>
    </row>
    <row r="55" spans="1:5" x14ac:dyDescent="0.25">
      <c r="A55" s="31" t="s">
        <v>413</v>
      </c>
      <c r="B55" s="31" t="s">
        <v>414</v>
      </c>
      <c r="C55" s="83"/>
      <c r="D55" s="91">
        <f>0</f>
        <v>0</v>
      </c>
      <c r="E55" s="31" t="s">
        <v>415</v>
      </c>
    </row>
    <row r="56" spans="1:5" ht="30" customHeight="1" x14ac:dyDescent="0.25">
      <c r="A56" s="31" t="s">
        <v>416</v>
      </c>
      <c r="B56" s="31" t="s">
        <v>417</v>
      </c>
      <c r="C56" s="83"/>
      <c r="D56" s="91">
        <f>D5+2*D6+D7</f>
        <v>34147.215722448986</v>
      </c>
      <c r="E56" s="92" t="s">
        <v>418</v>
      </c>
    </row>
    <row r="57" spans="1:5" x14ac:dyDescent="0.25">
      <c r="A57" s="31" t="s">
        <v>419</v>
      </c>
      <c r="B57" s="31" t="s">
        <v>420</v>
      </c>
      <c r="C57" s="83"/>
      <c r="D57" s="91">
        <f>0</f>
        <v>0</v>
      </c>
      <c r="E57" s="92" t="s">
        <v>421</v>
      </c>
    </row>
    <row r="58" spans="1:5" x14ac:dyDescent="0.25">
      <c r="A58" s="25" t="s">
        <v>422</v>
      </c>
    </row>
    <row r="59" spans="1:5" x14ac:dyDescent="0.25">
      <c r="A59" t="s">
        <v>423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>
      <selection sqref="A1:G1"/>
    </sheetView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55" t="s">
        <v>424</v>
      </c>
      <c r="B1" s="153"/>
      <c r="C1" s="153"/>
      <c r="D1" s="153"/>
      <c r="E1" s="153"/>
      <c r="F1" s="153"/>
      <c r="G1" s="153"/>
    </row>
    <row r="3" spans="1:15" x14ac:dyDescent="0.25">
      <c r="A3" s="1" t="s">
        <v>425</v>
      </c>
      <c r="B3" s="38">
        <f>E33</f>
        <v>1172.5</v>
      </c>
      <c r="K3" s="1"/>
      <c r="L3" s="1"/>
      <c r="M3" s="1"/>
      <c r="N3" s="1"/>
      <c r="O3" s="1"/>
    </row>
    <row r="5" spans="1:15" x14ac:dyDescent="0.25">
      <c r="A5" s="145" t="s">
        <v>293</v>
      </c>
      <c r="B5" s="145" t="s">
        <v>161</v>
      </c>
      <c r="C5" s="145" t="s">
        <v>426</v>
      </c>
      <c r="D5" s="145" t="s">
        <v>427</v>
      </c>
      <c r="F5" s="145" t="s">
        <v>428</v>
      </c>
      <c r="G5" s="145" t="s">
        <v>429</v>
      </c>
      <c r="H5" s="145" t="s">
        <v>409</v>
      </c>
    </row>
    <row r="6" spans="1:15" x14ac:dyDescent="0.25">
      <c r="A6" s="44" t="s">
        <v>430</v>
      </c>
      <c r="B6">
        <f t="shared" ref="B6:B17" si="0">MIN(F6,G6)</f>
        <v>8</v>
      </c>
      <c r="C6" s="3">
        <f t="shared" ref="C6:C17" si="1">$B$3</f>
        <v>1172.5</v>
      </c>
      <c r="D6" s="3">
        <f t="shared" ref="D6:D17" si="2">B6*C6</f>
        <v>9380</v>
      </c>
      <c r="F6">
        <f>$D$23</f>
        <v>8</v>
      </c>
      <c r="G6" s="131">
        <v>16</v>
      </c>
      <c r="H6" t="s">
        <v>431</v>
      </c>
    </row>
    <row r="7" spans="1:15" x14ac:dyDescent="0.25">
      <c r="A7" s="132" t="s">
        <v>432</v>
      </c>
      <c r="B7" s="101">
        <f t="shared" si="0"/>
        <v>8</v>
      </c>
      <c r="C7" s="133">
        <f t="shared" si="1"/>
        <v>1172.5</v>
      </c>
      <c r="D7" s="133">
        <f t="shared" si="2"/>
        <v>9380</v>
      </c>
      <c r="E7" s="101"/>
      <c r="F7" s="101">
        <f>$D$23</f>
        <v>8</v>
      </c>
      <c r="G7" s="131">
        <v>16</v>
      </c>
      <c r="H7" s="101" t="s">
        <v>431</v>
      </c>
    </row>
    <row r="8" spans="1:15" x14ac:dyDescent="0.25">
      <c r="A8" s="44" t="s">
        <v>433</v>
      </c>
      <c r="B8">
        <f t="shared" si="0"/>
        <v>7</v>
      </c>
      <c r="C8" s="3">
        <f t="shared" si="1"/>
        <v>1172.5</v>
      </c>
      <c r="D8" s="3">
        <f t="shared" si="2"/>
        <v>8207.5</v>
      </c>
      <c r="F8">
        <f>$D$23</f>
        <v>8</v>
      </c>
      <c r="G8" s="131">
        <v>7</v>
      </c>
      <c r="H8" t="s">
        <v>431</v>
      </c>
    </row>
    <row r="9" spans="1:15" x14ac:dyDescent="0.25">
      <c r="A9" s="132" t="s">
        <v>434</v>
      </c>
      <c r="B9" s="101">
        <f t="shared" si="0"/>
        <v>8</v>
      </c>
      <c r="C9" s="133">
        <f t="shared" si="1"/>
        <v>1172.5</v>
      </c>
      <c r="D9" s="133">
        <f t="shared" si="2"/>
        <v>9380</v>
      </c>
      <c r="E9" s="101"/>
      <c r="F9" s="101">
        <f>$D$23</f>
        <v>8</v>
      </c>
      <c r="G9" s="131">
        <v>8</v>
      </c>
      <c r="H9" s="101" t="s">
        <v>431</v>
      </c>
    </row>
    <row r="10" spans="1:15" x14ac:dyDescent="0.25">
      <c r="A10" s="44" t="s">
        <v>435</v>
      </c>
      <c r="B10">
        <f t="shared" si="0"/>
        <v>11</v>
      </c>
      <c r="C10" s="3">
        <f t="shared" si="1"/>
        <v>1172.5</v>
      </c>
      <c r="D10" s="3">
        <f t="shared" si="2"/>
        <v>12897.5</v>
      </c>
      <c r="F10">
        <f>$D$24</f>
        <v>16</v>
      </c>
      <c r="G10" s="131">
        <v>11</v>
      </c>
      <c r="H10" t="s">
        <v>436</v>
      </c>
    </row>
    <row r="11" spans="1:15" x14ac:dyDescent="0.25">
      <c r="A11" s="132" t="s">
        <v>437</v>
      </c>
      <c r="B11" s="101">
        <f t="shared" si="0"/>
        <v>12</v>
      </c>
      <c r="C11" s="133">
        <f t="shared" si="1"/>
        <v>1172.5</v>
      </c>
      <c r="D11" s="133">
        <f t="shared" si="2"/>
        <v>14070</v>
      </c>
      <c r="E11" s="101"/>
      <c r="F11" s="101">
        <f>$D$24</f>
        <v>16</v>
      </c>
      <c r="G11" s="131">
        <v>12</v>
      </c>
      <c r="H11" s="101" t="s">
        <v>436</v>
      </c>
    </row>
    <row r="12" spans="1:15" x14ac:dyDescent="0.25">
      <c r="A12" s="44" t="s">
        <v>438</v>
      </c>
      <c r="B12">
        <f t="shared" si="0"/>
        <v>15</v>
      </c>
      <c r="C12" s="3">
        <f t="shared" si="1"/>
        <v>1172.5</v>
      </c>
      <c r="D12" s="3">
        <f t="shared" si="2"/>
        <v>17587.5</v>
      </c>
      <c r="F12">
        <f>$D$24</f>
        <v>16</v>
      </c>
      <c r="G12" s="131">
        <v>15</v>
      </c>
      <c r="H12" t="s">
        <v>436</v>
      </c>
    </row>
    <row r="13" spans="1:15" x14ac:dyDescent="0.25">
      <c r="A13" s="132" t="s">
        <v>439</v>
      </c>
      <c r="B13" s="101">
        <f t="shared" si="0"/>
        <v>14</v>
      </c>
      <c r="C13" s="133">
        <f t="shared" si="1"/>
        <v>1172.5</v>
      </c>
      <c r="D13" s="133">
        <f t="shared" si="2"/>
        <v>16415</v>
      </c>
      <c r="E13" s="101"/>
      <c r="F13" s="101">
        <f>$D$24</f>
        <v>16</v>
      </c>
      <c r="G13" s="131">
        <v>14</v>
      </c>
      <c r="H13" s="101" t="s">
        <v>436</v>
      </c>
    </row>
    <row r="14" spans="1:15" x14ac:dyDescent="0.25">
      <c r="A14" s="44" t="s">
        <v>440</v>
      </c>
      <c r="B14">
        <f t="shared" si="0"/>
        <v>16</v>
      </c>
      <c r="C14" s="3">
        <f t="shared" si="1"/>
        <v>1172.5</v>
      </c>
      <c r="D14" s="3">
        <f t="shared" si="2"/>
        <v>18760</v>
      </c>
      <c r="F14">
        <f>$D$25</f>
        <v>16</v>
      </c>
      <c r="G14" s="131">
        <v>16</v>
      </c>
      <c r="H14" t="s">
        <v>441</v>
      </c>
    </row>
    <row r="15" spans="1:15" x14ac:dyDescent="0.25">
      <c r="A15" s="132" t="s">
        <v>442</v>
      </c>
      <c r="B15" s="101">
        <f t="shared" si="0"/>
        <v>13</v>
      </c>
      <c r="C15" s="133">
        <f t="shared" si="1"/>
        <v>1172.5</v>
      </c>
      <c r="D15" s="133">
        <f t="shared" si="2"/>
        <v>15242.5</v>
      </c>
      <c r="E15" s="101"/>
      <c r="F15" s="101">
        <f>$D$25</f>
        <v>16</v>
      </c>
      <c r="G15" s="131">
        <v>13</v>
      </c>
      <c r="H15" s="101" t="s">
        <v>441</v>
      </c>
    </row>
    <row r="16" spans="1:15" x14ac:dyDescent="0.25">
      <c r="A16" s="44" t="s">
        <v>443</v>
      </c>
      <c r="B16">
        <f t="shared" si="0"/>
        <v>15</v>
      </c>
      <c r="C16" s="3">
        <f t="shared" si="1"/>
        <v>1172.5</v>
      </c>
      <c r="D16" s="3">
        <f t="shared" si="2"/>
        <v>17587.5</v>
      </c>
      <c r="F16">
        <f>$D$25</f>
        <v>16</v>
      </c>
      <c r="G16" s="131">
        <v>15</v>
      </c>
      <c r="H16" t="s">
        <v>441</v>
      </c>
    </row>
    <row r="17" spans="1:8" x14ac:dyDescent="0.25">
      <c r="A17" s="132" t="s">
        <v>444</v>
      </c>
      <c r="B17" s="101">
        <f t="shared" si="0"/>
        <v>16</v>
      </c>
      <c r="C17" s="133">
        <f t="shared" si="1"/>
        <v>1172.5</v>
      </c>
      <c r="D17" s="133">
        <f t="shared" si="2"/>
        <v>18760</v>
      </c>
      <c r="E17" s="101"/>
      <c r="F17" s="101">
        <f>$D$25</f>
        <v>16</v>
      </c>
      <c r="G17" s="131">
        <v>16</v>
      </c>
      <c r="H17" s="101" t="s">
        <v>441</v>
      </c>
    </row>
    <row r="19" spans="1:8" x14ac:dyDescent="0.25">
      <c r="A19" s="39" t="s">
        <v>445</v>
      </c>
      <c r="B19" s="39">
        <f>SUM(B6:B17)</f>
        <v>143</v>
      </c>
      <c r="C19" s="39"/>
      <c r="D19" s="40">
        <f>SUM(D6:D17)</f>
        <v>167667.5</v>
      </c>
    </row>
    <row r="21" spans="1:8" x14ac:dyDescent="0.25">
      <c r="A21" s="156" t="s">
        <v>446</v>
      </c>
      <c r="B21" s="153"/>
      <c r="C21" s="153"/>
      <c r="D21" s="153"/>
    </row>
    <row r="22" spans="1:8" x14ac:dyDescent="0.25">
      <c r="A22" s="145" t="s">
        <v>409</v>
      </c>
      <c r="B22" s="145" t="s">
        <v>447</v>
      </c>
      <c r="C22" s="145" t="s">
        <v>448</v>
      </c>
      <c r="D22" s="145" t="s">
        <v>449</v>
      </c>
    </row>
    <row r="23" spans="1:8" x14ac:dyDescent="0.25">
      <c r="A23" t="s">
        <v>431</v>
      </c>
      <c r="B23" t="s">
        <v>450</v>
      </c>
      <c r="C23">
        <v>4</v>
      </c>
      <c r="D23">
        <v>8</v>
      </c>
    </row>
    <row r="24" spans="1:8" x14ac:dyDescent="0.25">
      <c r="A24" s="101" t="s">
        <v>436</v>
      </c>
      <c r="B24" s="101" t="s">
        <v>451</v>
      </c>
      <c r="C24" s="101">
        <v>8</v>
      </c>
      <c r="D24" s="101">
        <v>16</v>
      </c>
    </row>
    <row r="25" spans="1:8" x14ac:dyDescent="0.25">
      <c r="A25" t="s">
        <v>441</v>
      </c>
      <c r="B25" t="s">
        <v>452</v>
      </c>
      <c r="C25">
        <v>8</v>
      </c>
      <c r="D25">
        <v>16</v>
      </c>
    </row>
    <row r="27" spans="1:8" x14ac:dyDescent="0.25">
      <c r="A27" s="156" t="s">
        <v>453</v>
      </c>
      <c r="B27" s="153"/>
      <c r="C27" s="153"/>
      <c r="D27" s="153"/>
      <c r="E27" s="153"/>
    </row>
    <row r="28" spans="1:8" x14ac:dyDescent="0.25">
      <c r="A28" s="145" t="s">
        <v>222</v>
      </c>
      <c r="B28" s="145" t="s">
        <v>454</v>
      </c>
      <c r="C28" s="145" t="s">
        <v>426</v>
      </c>
      <c r="D28" s="145" t="s">
        <v>238</v>
      </c>
      <c r="E28" s="145" t="s">
        <v>455</v>
      </c>
    </row>
    <row r="29" spans="1:8" x14ac:dyDescent="0.25">
      <c r="A29" t="s">
        <v>227</v>
      </c>
      <c r="B29">
        <v>1</v>
      </c>
      <c r="C29" s="116">
        <v>700</v>
      </c>
      <c r="D29" s="134">
        <v>0.45</v>
      </c>
      <c r="E29" s="37">
        <f>C29*D29</f>
        <v>315</v>
      </c>
    </row>
    <row r="30" spans="1:8" x14ac:dyDescent="0.25">
      <c r="A30" s="101" t="s">
        <v>228</v>
      </c>
      <c r="B30" s="101">
        <v>2</v>
      </c>
      <c r="C30" s="116">
        <v>1250</v>
      </c>
      <c r="D30" s="134">
        <v>0.3</v>
      </c>
      <c r="E30" s="135">
        <f>C30*D30</f>
        <v>375</v>
      </c>
    </row>
    <row r="31" spans="1:8" x14ac:dyDescent="0.25">
      <c r="A31" t="s">
        <v>229</v>
      </c>
      <c r="B31">
        <v>3</v>
      </c>
      <c r="C31" s="116">
        <v>1750</v>
      </c>
      <c r="D31" s="134">
        <v>0.15</v>
      </c>
      <c r="E31" s="37">
        <f>C31*D31</f>
        <v>262.5</v>
      </c>
    </row>
    <row r="32" spans="1:8" x14ac:dyDescent="0.25">
      <c r="A32" s="101" t="s">
        <v>456</v>
      </c>
      <c r="B32" s="101">
        <v>4</v>
      </c>
      <c r="C32" s="116">
        <v>2200</v>
      </c>
      <c r="D32" s="134">
        <v>0.1</v>
      </c>
      <c r="E32" s="135">
        <f>C32*D32</f>
        <v>220</v>
      </c>
    </row>
    <row r="33" spans="1:7" x14ac:dyDescent="0.25">
      <c r="A33" s="39" t="s">
        <v>457</v>
      </c>
      <c r="B33" s="39"/>
      <c r="C33" s="39"/>
      <c r="D33" s="41">
        <f>SUM(D29:D32)</f>
        <v>1</v>
      </c>
      <c r="E33" s="42">
        <f>SUM(E29:E32)</f>
        <v>1172.5</v>
      </c>
    </row>
    <row r="35" spans="1:7" x14ac:dyDescent="0.25">
      <c r="A35" s="156" t="s">
        <v>458</v>
      </c>
      <c r="B35" s="153"/>
      <c r="C35" s="153"/>
      <c r="D35" s="153"/>
      <c r="E35" s="153"/>
      <c r="F35" s="153"/>
      <c r="G35" s="153"/>
    </row>
    <row r="36" spans="1:7" x14ac:dyDescent="0.25">
      <c r="A36" t="s">
        <v>459</v>
      </c>
    </row>
    <row r="37" spans="1:7" x14ac:dyDescent="0.25">
      <c r="A37" t="s">
        <v>460</v>
      </c>
    </row>
    <row r="38" spans="1:7" x14ac:dyDescent="0.25">
      <c r="A38" t="s">
        <v>461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selection sqref="A1:D1"/>
    </sheetView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55" t="s">
        <v>462</v>
      </c>
      <c r="B1" s="153"/>
      <c r="C1" s="153"/>
      <c r="D1" s="153"/>
    </row>
    <row r="3" spans="1:15" x14ac:dyDescent="0.25">
      <c r="A3" s="156" t="s">
        <v>463</v>
      </c>
      <c r="B3" s="153"/>
      <c r="C3" s="153"/>
      <c r="D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267</v>
      </c>
      <c r="B4" s="145" t="s">
        <v>464</v>
      </c>
      <c r="C4" s="145" t="s">
        <v>465</v>
      </c>
      <c r="D4" s="145" t="s">
        <v>466</v>
      </c>
    </row>
    <row r="5" spans="1:15" x14ac:dyDescent="0.25">
      <c r="A5" t="s">
        <v>467</v>
      </c>
      <c r="B5" s="116">
        <v>500</v>
      </c>
      <c r="C5" s="3">
        <f>B5*12</f>
        <v>6000</v>
      </c>
      <c r="D5" s="143" t="s">
        <v>468</v>
      </c>
    </row>
    <row r="6" spans="1:15" x14ac:dyDescent="0.25">
      <c r="A6" s="101" t="s">
        <v>469</v>
      </c>
      <c r="B6" s="116">
        <v>300</v>
      </c>
      <c r="C6" s="133">
        <f>B6*12</f>
        <v>3600</v>
      </c>
      <c r="D6" s="144" t="s">
        <v>470</v>
      </c>
    </row>
    <row r="7" spans="1:15" x14ac:dyDescent="0.25">
      <c r="A7" t="s">
        <v>471</v>
      </c>
      <c r="B7" s="116">
        <v>0</v>
      </c>
      <c r="C7" s="3">
        <f>B7*12</f>
        <v>0</v>
      </c>
      <c r="D7" s="143" t="s">
        <v>472</v>
      </c>
    </row>
    <row r="8" spans="1:15" x14ac:dyDescent="0.25">
      <c r="A8" s="39" t="s">
        <v>473</v>
      </c>
      <c r="B8" s="40">
        <f>SUM(B5:B7)</f>
        <v>800</v>
      </c>
      <c r="C8" s="40">
        <f>SUM(C5:C7)</f>
        <v>9600</v>
      </c>
      <c r="D8" s="1"/>
    </row>
    <row r="10" spans="1:15" x14ac:dyDescent="0.25">
      <c r="A10" s="156" t="s">
        <v>474</v>
      </c>
      <c r="B10" s="153"/>
      <c r="C10" s="153"/>
      <c r="D10" s="153"/>
    </row>
    <row r="11" spans="1:15" x14ac:dyDescent="0.25">
      <c r="A11" t="s">
        <v>475</v>
      </c>
      <c r="B11" s="3">
        <f>C8</f>
        <v>9600</v>
      </c>
    </row>
    <row r="12" spans="1:15" x14ac:dyDescent="0.25">
      <c r="A12" s="101" t="s">
        <v>476</v>
      </c>
      <c r="B12" s="133">
        <f>'PROYECCION DE VENTAS'!B19</f>
        <v>143</v>
      </c>
    </row>
    <row r="13" spans="1:15" x14ac:dyDescent="0.25">
      <c r="A13" s="43" t="s">
        <v>477</v>
      </c>
      <c r="B13" s="46">
        <f>B11/B12</f>
        <v>67.132867132867133</v>
      </c>
    </row>
    <row r="14" spans="1:15" x14ac:dyDescent="0.25">
      <c r="A14" s="101" t="s">
        <v>478</v>
      </c>
      <c r="B14" s="133">
        <f>'RESUMEN ECONOMICO'!B5</f>
        <v>167667.5</v>
      </c>
    </row>
    <row r="15" spans="1:15" x14ac:dyDescent="0.25">
      <c r="A15" t="s">
        <v>479</v>
      </c>
      <c r="B15" s="4">
        <f>B11/B14</f>
        <v>5.7256176659161731E-2</v>
      </c>
    </row>
    <row r="16" spans="1:15" x14ac:dyDescent="0.25">
      <c r="A16" s="101" t="s">
        <v>480</v>
      </c>
      <c r="B16" s="133">
        <f>'PROYECCION DE VENTAS'!B3</f>
        <v>1172.5</v>
      </c>
    </row>
    <row r="17" spans="1:4" x14ac:dyDescent="0.25">
      <c r="A17" s="43" t="s">
        <v>481</v>
      </c>
      <c r="B17" s="48">
        <f>B16/B13</f>
        <v>17.465364583333333</v>
      </c>
    </row>
    <row r="19" spans="1:4" x14ac:dyDescent="0.25">
      <c r="A19" s="159" t="s">
        <v>482</v>
      </c>
      <c r="B19" s="153"/>
      <c r="C19" s="153"/>
      <c r="D19" s="153"/>
    </row>
    <row r="20" spans="1:4" x14ac:dyDescent="0.25">
      <c r="A20" s="153"/>
      <c r="B20" s="153"/>
      <c r="C20" s="153"/>
      <c r="D20" s="153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sqref="A1:D1"/>
    </sheetView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155" t="s">
        <v>483</v>
      </c>
      <c r="B1" s="153"/>
      <c r="C1" s="153"/>
      <c r="D1" s="153"/>
    </row>
    <row r="3" spans="1:15" x14ac:dyDescent="0.25">
      <c r="A3" s="115" t="s">
        <v>267</v>
      </c>
      <c r="B3" s="115" t="s">
        <v>464</v>
      </c>
      <c r="C3" s="115" t="s">
        <v>465</v>
      </c>
      <c r="D3" s="115" t="s">
        <v>484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485</v>
      </c>
      <c r="B4" s="116">
        <v>3000</v>
      </c>
      <c r="C4" s="3">
        <f>B4*12</f>
        <v>36000</v>
      </c>
      <c r="D4" s="143" t="s">
        <v>486</v>
      </c>
    </row>
    <row r="5" spans="1:15" x14ac:dyDescent="0.25">
      <c r="A5" s="101" t="s">
        <v>487</v>
      </c>
      <c r="B5" s="116">
        <v>0</v>
      </c>
      <c r="C5" s="133">
        <f>B5*12</f>
        <v>0</v>
      </c>
      <c r="D5" s="144" t="s">
        <v>488</v>
      </c>
    </row>
    <row r="6" spans="1:15" x14ac:dyDescent="0.25">
      <c r="A6" t="s">
        <v>489</v>
      </c>
      <c r="B6" s="116">
        <v>400</v>
      </c>
      <c r="C6" s="3">
        <f>B6*12</f>
        <v>4800</v>
      </c>
      <c r="D6" s="143" t="s">
        <v>490</v>
      </c>
    </row>
    <row r="7" spans="1:15" x14ac:dyDescent="0.25">
      <c r="A7" s="101" t="s">
        <v>491</v>
      </c>
      <c r="B7" s="116">
        <v>400</v>
      </c>
      <c r="C7" s="133">
        <f>B7*12</f>
        <v>4800</v>
      </c>
      <c r="D7" s="144" t="s">
        <v>492</v>
      </c>
    </row>
    <row r="8" spans="1:15" x14ac:dyDescent="0.25">
      <c r="A8" s="39" t="s">
        <v>493</v>
      </c>
      <c r="B8" s="40">
        <f>SUM(B4:B7)</f>
        <v>3800</v>
      </c>
      <c r="C8" s="40">
        <f>SUM(C4:C7)</f>
        <v>45600</v>
      </c>
      <c r="D8" s="1"/>
    </row>
    <row r="10" spans="1:15" x14ac:dyDescent="0.25">
      <c r="A10" s="156" t="s">
        <v>494</v>
      </c>
      <c r="B10" s="153"/>
      <c r="C10" s="153"/>
      <c r="D10" s="153"/>
    </row>
    <row r="11" spans="1:15" x14ac:dyDescent="0.25">
      <c r="A11" t="s">
        <v>495</v>
      </c>
      <c r="B11" s="3">
        <f>C8</f>
        <v>45600</v>
      </c>
    </row>
    <row r="12" spans="1:15" x14ac:dyDescent="0.25">
      <c r="A12" s="101" t="s">
        <v>496</v>
      </c>
      <c r="B12" s="133">
        <f>B8+'G. VENTAS'!B8</f>
        <v>4600</v>
      </c>
    </row>
    <row r="13" spans="1:15" x14ac:dyDescent="0.25">
      <c r="A13" s="43" t="s">
        <v>497</v>
      </c>
      <c r="B13" s="46">
        <f>C8/'PROYECCION DE VENTAS'!B19</f>
        <v>318.88111888111888</v>
      </c>
    </row>
    <row r="14" spans="1:15" x14ac:dyDescent="0.25">
      <c r="A14" s="43" t="s">
        <v>498</v>
      </c>
      <c r="B14" s="49">
        <f>C8/'RESUMEN ECONOMICO'!B5</f>
        <v>0.27196683913101821</v>
      </c>
    </row>
    <row r="15" spans="1:15" x14ac:dyDescent="0.25">
      <c r="A15" t="s">
        <v>499</v>
      </c>
      <c r="B15" s="4">
        <f>C4/C8</f>
        <v>0.78947368421052633</v>
      </c>
    </row>
    <row r="17" spans="1:4" x14ac:dyDescent="0.25">
      <c r="A17" s="159" t="s">
        <v>500</v>
      </c>
      <c r="B17" s="153"/>
      <c r="C17" s="153"/>
      <c r="D17" s="153"/>
    </row>
    <row r="18" spans="1:4" x14ac:dyDescent="0.25">
      <c r="A18" s="153"/>
      <c r="B18" s="153"/>
      <c r="C18" s="153"/>
      <c r="D18" s="153"/>
    </row>
  </sheetData>
  <mergeCells count="3">
    <mergeCell ref="A1:D1"/>
    <mergeCell ref="A17:D18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topLeftCell="A24" workbookViewId="0">
      <selection activeCell="B56" sqref="B56"/>
    </sheetView>
  </sheetViews>
  <sheetFormatPr baseColWidth="10" defaultColWidth="11.42578125" defaultRowHeight="15" x14ac:dyDescent="0.25"/>
  <cols>
    <col min="1" max="1" width="67.140625" bestFit="1" customWidth="1"/>
    <col min="2" max="15" width="11.7109375" customWidth="1"/>
  </cols>
  <sheetData>
    <row r="1" spans="1:15" ht="26.1" customHeight="1" x14ac:dyDescent="0.25">
      <c r="A1" s="155" t="s">
        <v>501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3" spans="1:15" x14ac:dyDescent="0.25">
      <c r="A3" s="1" t="s">
        <v>267</v>
      </c>
      <c r="B3" s="45" t="s">
        <v>430</v>
      </c>
      <c r="C3" s="45" t="s">
        <v>432</v>
      </c>
      <c r="D3" s="45" t="s">
        <v>433</v>
      </c>
      <c r="E3" s="45" t="s">
        <v>434</v>
      </c>
      <c r="F3" s="45" t="s">
        <v>435</v>
      </c>
      <c r="G3" s="45" t="s">
        <v>437</v>
      </c>
      <c r="H3" s="45" t="s">
        <v>438</v>
      </c>
      <c r="I3" s="45" t="s">
        <v>439</v>
      </c>
      <c r="J3" s="45" t="s">
        <v>440</v>
      </c>
      <c r="K3" s="45" t="s">
        <v>442</v>
      </c>
      <c r="L3" s="45" t="s">
        <v>443</v>
      </c>
      <c r="M3" s="45" t="s">
        <v>444</v>
      </c>
      <c r="N3" s="1"/>
      <c r="O3" s="1" t="s">
        <v>445</v>
      </c>
    </row>
    <row r="5" spans="1:15" x14ac:dyDescent="0.25">
      <c r="A5" t="s">
        <v>502</v>
      </c>
    </row>
    <row r="6" spans="1:15" x14ac:dyDescent="0.25">
      <c r="A6" t="s">
        <v>503</v>
      </c>
      <c r="B6" s="74">
        <f>'PROYECCION DE VENTAS'!B6</f>
        <v>8</v>
      </c>
      <c r="C6" s="74">
        <f>'PROYECCION DE VENTAS'!B7</f>
        <v>8</v>
      </c>
      <c r="D6" s="74">
        <f>'PROYECCION DE VENTAS'!B8</f>
        <v>7</v>
      </c>
      <c r="E6" s="74">
        <f>'PROYECCION DE VENTAS'!B9</f>
        <v>8</v>
      </c>
      <c r="F6" s="74">
        <f>'PROYECCION DE VENTAS'!B10</f>
        <v>11</v>
      </c>
      <c r="G6" s="74">
        <f>'PROYECCION DE VENTAS'!B11</f>
        <v>12</v>
      </c>
      <c r="H6" s="74">
        <f>'PROYECCION DE VENTAS'!B12</f>
        <v>15</v>
      </c>
      <c r="I6" s="74">
        <f>'PROYECCION DE VENTAS'!B13</f>
        <v>14</v>
      </c>
      <c r="J6" s="74">
        <f>'PROYECCION DE VENTAS'!B14</f>
        <v>16</v>
      </c>
      <c r="K6" s="74">
        <f>'PROYECCION DE VENTAS'!B15</f>
        <v>13</v>
      </c>
      <c r="L6" s="74">
        <f>'PROYECCION DE VENTAS'!B16</f>
        <v>15</v>
      </c>
      <c r="M6" s="74">
        <f>'PROYECCION DE VENTAS'!B17</f>
        <v>16</v>
      </c>
      <c r="N6" s="74"/>
      <c r="O6" s="74"/>
    </row>
    <row r="7" spans="1:15" x14ac:dyDescent="0.25">
      <c r="A7" t="s">
        <v>504</v>
      </c>
      <c r="B7" s="74">
        <f>'PROYECCION DE VENTAS'!D6</f>
        <v>9380</v>
      </c>
      <c r="C7" s="74">
        <f>'PROYECCION DE VENTAS'!D7</f>
        <v>9380</v>
      </c>
      <c r="D7" s="74">
        <f>'PROYECCION DE VENTAS'!D8</f>
        <v>8207.5</v>
      </c>
      <c r="E7" s="74">
        <f>'PROYECCION DE VENTAS'!D9</f>
        <v>9380</v>
      </c>
      <c r="F7" s="74">
        <f>'PROYECCION DE VENTAS'!D10</f>
        <v>12897.5</v>
      </c>
      <c r="G7" s="74">
        <f>'PROYECCION DE VENTAS'!D11</f>
        <v>14070</v>
      </c>
      <c r="H7" s="74">
        <f>'PROYECCION DE VENTAS'!D12</f>
        <v>17587.5</v>
      </c>
      <c r="I7" s="74">
        <f>'PROYECCION DE VENTAS'!D13</f>
        <v>16415</v>
      </c>
      <c r="J7" s="74">
        <f>'PROYECCION DE VENTAS'!D14</f>
        <v>18760</v>
      </c>
      <c r="K7" s="74">
        <f>'PROYECCION DE VENTAS'!D15</f>
        <v>15242.5</v>
      </c>
      <c r="L7" s="74">
        <f>'PROYECCION DE VENTAS'!D16</f>
        <v>17587.5</v>
      </c>
      <c r="M7" s="74">
        <f>'PROYECCION DE VENTAS'!D17</f>
        <v>18760</v>
      </c>
      <c r="N7" s="74"/>
      <c r="O7" s="74">
        <f>SUM(B7:M7)</f>
        <v>167667.5</v>
      </c>
    </row>
    <row r="8" spans="1:15" x14ac:dyDescent="0.2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x14ac:dyDescent="0.25">
      <c r="A9" t="s">
        <v>505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x14ac:dyDescent="0.25">
      <c r="A10" t="s">
        <v>506</v>
      </c>
      <c r="B10" s="74">
        <f>B6*'C. PRODUCCION'!$E$32</f>
        <v>3200</v>
      </c>
      <c r="C10" s="74">
        <f>C6*'C. PRODUCCION'!$E$32</f>
        <v>3200</v>
      </c>
      <c r="D10" s="74">
        <f>D6*'C. PRODUCCION'!$E$32</f>
        <v>2800</v>
      </c>
      <c r="E10" s="74">
        <f>E6*'C. PRODUCCION'!$E$32</f>
        <v>3200</v>
      </c>
      <c r="F10" s="74">
        <f>F6*'C. PRODUCCION'!$E$32</f>
        <v>4400</v>
      </c>
      <c r="G10" s="74">
        <f>G6*'C. PRODUCCION'!$E$32</f>
        <v>4800</v>
      </c>
      <c r="H10" s="74">
        <f>H6*'C. PRODUCCION'!$E$32</f>
        <v>6000</v>
      </c>
      <c r="I10" s="74">
        <f>I6*'C. PRODUCCION'!$E$32</f>
        <v>5600</v>
      </c>
      <c r="J10" s="74">
        <f>J6*'C. PRODUCCION'!$E$32</f>
        <v>6400</v>
      </c>
      <c r="K10" s="74">
        <f>K6*'C. PRODUCCION'!$E$32</f>
        <v>5200</v>
      </c>
      <c r="L10" s="74">
        <f>L6*'C. PRODUCCION'!$E$32</f>
        <v>6000</v>
      </c>
      <c r="M10" s="74">
        <f>M6*'C. PRODUCCION'!$E$32</f>
        <v>6400</v>
      </c>
      <c r="N10" s="74"/>
      <c r="O10" s="74">
        <f>SUM(B10:M10)</f>
        <v>57200</v>
      </c>
    </row>
    <row r="11" spans="1:15" x14ac:dyDescent="0.25">
      <c r="A11" t="s">
        <v>507</v>
      </c>
      <c r="B11" s="74">
        <f>'GASTOS ADMINISTRATIVOS'!$B$8</f>
        <v>3800</v>
      </c>
      <c r="C11" s="74">
        <f>'GASTOS ADMINISTRATIVOS'!$B$8</f>
        <v>3800</v>
      </c>
      <c r="D11" s="74">
        <f>'GASTOS ADMINISTRATIVOS'!$B$8</f>
        <v>3800</v>
      </c>
      <c r="E11" s="74">
        <f>'GASTOS ADMINISTRATIVOS'!$B$8</f>
        <v>3800</v>
      </c>
      <c r="F11" s="74">
        <f>'GASTOS ADMINISTRATIVOS'!$B$8</f>
        <v>3800</v>
      </c>
      <c r="G11" s="74">
        <f>'GASTOS ADMINISTRATIVOS'!$B$8</f>
        <v>3800</v>
      </c>
      <c r="H11" s="74">
        <f>'GASTOS ADMINISTRATIVOS'!$B$8</f>
        <v>3800</v>
      </c>
      <c r="I11" s="74">
        <f>'GASTOS ADMINISTRATIVOS'!$B$8</f>
        <v>3800</v>
      </c>
      <c r="J11" s="74">
        <f>'GASTOS ADMINISTRATIVOS'!$B$8</f>
        <v>3800</v>
      </c>
      <c r="K11" s="74">
        <f>'GASTOS ADMINISTRATIVOS'!$B$8</f>
        <v>3800</v>
      </c>
      <c r="L11" s="74">
        <f>'GASTOS ADMINISTRATIVOS'!$B$8</f>
        <v>3800</v>
      </c>
      <c r="M11" s="74">
        <f>'GASTOS ADMINISTRATIVOS'!$B$8</f>
        <v>3800</v>
      </c>
      <c r="N11" s="74"/>
      <c r="O11" s="74">
        <f>SUM(B11:M11)</f>
        <v>45600</v>
      </c>
    </row>
    <row r="12" spans="1:15" x14ac:dyDescent="0.25">
      <c r="A12" t="s">
        <v>508</v>
      </c>
      <c r="B12" s="74">
        <f>'G. VENTAS'!$B$8</f>
        <v>800</v>
      </c>
      <c r="C12" s="74">
        <f>'G. VENTAS'!$B$8</f>
        <v>800</v>
      </c>
      <c r="D12" s="74">
        <f>'G. VENTAS'!$B$8</f>
        <v>800</v>
      </c>
      <c r="E12" s="74">
        <f>'G. VENTAS'!$B$8</f>
        <v>800</v>
      </c>
      <c r="F12" s="74">
        <f>'G. VENTAS'!$B$8</f>
        <v>800</v>
      </c>
      <c r="G12" s="74">
        <f>'G. VENTAS'!$B$8</f>
        <v>800</v>
      </c>
      <c r="H12" s="74">
        <f>'G. VENTAS'!$B$8</f>
        <v>800</v>
      </c>
      <c r="I12" s="74">
        <f>'G. VENTAS'!$B$8</f>
        <v>800</v>
      </c>
      <c r="J12" s="74">
        <f>'G. VENTAS'!$B$8</f>
        <v>800</v>
      </c>
      <c r="K12" s="74">
        <f>'G. VENTAS'!$B$8</f>
        <v>800</v>
      </c>
      <c r="L12" s="74">
        <f>'G. VENTAS'!$B$8</f>
        <v>800</v>
      </c>
      <c r="M12" s="74">
        <f>'G. VENTAS'!$B$8</f>
        <v>800</v>
      </c>
      <c r="N12" s="74"/>
      <c r="O12" s="74">
        <f>SUM(B12:M12)</f>
        <v>9600</v>
      </c>
    </row>
    <row r="13" spans="1:15" x14ac:dyDescent="0.25">
      <c r="A13" t="s">
        <v>509</v>
      </c>
      <c r="B13" s="74">
        <f>INVERSION!$D$51</f>
        <v>1715.9422827857143</v>
      </c>
      <c r="C13" s="74">
        <f>INVERSION!$D$51</f>
        <v>1715.9422827857143</v>
      </c>
      <c r="D13" s="74">
        <f>INVERSION!$D$51</f>
        <v>1715.9422827857143</v>
      </c>
      <c r="E13" s="74">
        <f>INVERSION!$D$51</f>
        <v>1715.9422827857143</v>
      </c>
      <c r="F13" s="74">
        <f>INVERSION!$D$51</f>
        <v>1715.9422827857143</v>
      </c>
      <c r="G13" s="74">
        <f>INVERSION!$D$51</f>
        <v>1715.9422827857143</v>
      </c>
      <c r="H13" s="74">
        <f>INVERSION!$D$51</f>
        <v>1715.9422827857143</v>
      </c>
      <c r="I13" s="74">
        <f>INVERSION!$D$51</f>
        <v>1715.9422827857143</v>
      </c>
      <c r="J13" s="74">
        <f>INVERSION!$D$51</f>
        <v>1715.9422827857143</v>
      </c>
      <c r="K13" s="74">
        <f>INVERSION!$D$51</f>
        <v>1715.9422827857143</v>
      </c>
      <c r="L13" s="74">
        <f>INVERSION!$D$51</f>
        <v>1715.9422827857143</v>
      </c>
      <c r="M13" s="74">
        <f>INVERSION!$D$51</f>
        <v>1715.9422827857143</v>
      </c>
      <c r="N13" s="74"/>
      <c r="O13" s="74">
        <f>SUM(B13:M13)</f>
        <v>20591.307393428571</v>
      </c>
    </row>
    <row r="14" spans="1:15" x14ac:dyDescent="0.25">
      <c r="A14" t="s">
        <v>510</v>
      </c>
      <c r="B14" s="74">
        <f t="shared" ref="B14:M14" si="0">SUM(B10:B13)</f>
        <v>9515.9422827857143</v>
      </c>
      <c r="C14" s="74">
        <f t="shared" si="0"/>
        <v>9515.9422827857143</v>
      </c>
      <c r="D14" s="74">
        <f t="shared" si="0"/>
        <v>9115.9422827857143</v>
      </c>
      <c r="E14" s="74">
        <f t="shared" si="0"/>
        <v>9515.9422827857143</v>
      </c>
      <c r="F14" s="74">
        <f t="shared" si="0"/>
        <v>10715.942282785714</v>
      </c>
      <c r="G14" s="74">
        <f t="shared" si="0"/>
        <v>11115.942282785714</v>
      </c>
      <c r="H14" s="74">
        <f t="shared" si="0"/>
        <v>12315.942282785714</v>
      </c>
      <c r="I14" s="74">
        <f t="shared" si="0"/>
        <v>11915.942282785714</v>
      </c>
      <c r="J14" s="74">
        <f t="shared" si="0"/>
        <v>12715.942282785714</v>
      </c>
      <c r="K14" s="74">
        <f t="shared" si="0"/>
        <v>11515.942282785714</v>
      </c>
      <c r="L14" s="74">
        <f t="shared" si="0"/>
        <v>12315.942282785714</v>
      </c>
      <c r="M14" s="74">
        <f t="shared" si="0"/>
        <v>12715.942282785714</v>
      </c>
      <c r="N14" s="74"/>
      <c r="O14" s="74">
        <f>SUM(B14:M14)</f>
        <v>132991.30739342858</v>
      </c>
    </row>
    <row r="15" spans="1:15" x14ac:dyDescent="0.2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x14ac:dyDescent="0.25">
      <c r="A16" t="s">
        <v>511</v>
      </c>
      <c r="B16" s="74">
        <f t="shared" ref="B16:M16" si="1">B7-B14</f>
        <v>-135.94228278571427</v>
      </c>
      <c r="C16" s="74">
        <f t="shared" si="1"/>
        <v>-135.94228278571427</v>
      </c>
      <c r="D16" s="74">
        <f t="shared" si="1"/>
        <v>-908.44228278571427</v>
      </c>
      <c r="E16" s="74">
        <f t="shared" si="1"/>
        <v>-135.94228278571427</v>
      </c>
      <c r="F16" s="74">
        <f t="shared" si="1"/>
        <v>2181.5577172142857</v>
      </c>
      <c r="G16" s="74">
        <f t="shared" si="1"/>
        <v>2954.0577172142857</v>
      </c>
      <c r="H16" s="74">
        <f t="shared" si="1"/>
        <v>5271.5577172142857</v>
      </c>
      <c r="I16" s="74">
        <f t="shared" si="1"/>
        <v>4499.0577172142857</v>
      </c>
      <c r="J16" s="74">
        <f t="shared" si="1"/>
        <v>6044.0577172142857</v>
      </c>
      <c r="K16" s="74">
        <f t="shared" si="1"/>
        <v>3726.5577172142857</v>
      </c>
      <c r="L16" s="74">
        <f t="shared" si="1"/>
        <v>5271.5577172142857</v>
      </c>
      <c r="M16" s="74">
        <f t="shared" si="1"/>
        <v>6044.0577172142857</v>
      </c>
      <c r="N16" s="74"/>
      <c r="O16" s="74">
        <f>O7-O14</f>
        <v>34676.192606571421</v>
      </c>
    </row>
    <row r="17" spans="1:15" x14ac:dyDescent="0.2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x14ac:dyDescent="0.25">
      <c r="A18" t="s">
        <v>512</v>
      </c>
      <c r="B18" s="74">
        <f>B16</f>
        <v>-135.94228278571427</v>
      </c>
      <c r="C18" s="74">
        <f t="shared" ref="C18:M18" si="2">B18+C16</f>
        <v>-271.88456557142854</v>
      </c>
      <c r="D18" s="74">
        <f t="shared" si="2"/>
        <v>-1180.3268483571428</v>
      </c>
      <c r="E18" s="74">
        <f t="shared" si="2"/>
        <v>-1316.2691311428571</v>
      </c>
      <c r="F18" s="74">
        <f t="shared" si="2"/>
        <v>865.28858607142865</v>
      </c>
      <c r="G18" s="74">
        <f t="shared" si="2"/>
        <v>3819.3463032857144</v>
      </c>
      <c r="H18" s="74">
        <f t="shared" si="2"/>
        <v>9090.9040205000001</v>
      </c>
      <c r="I18" s="74">
        <f t="shared" si="2"/>
        <v>13589.961737714286</v>
      </c>
      <c r="J18" s="74">
        <f t="shared" si="2"/>
        <v>19634.019454928573</v>
      </c>
      <c r="K18" s="74">
        <f t="shared" si="2"/>
        <v>23360.577172142861</v>
      </c>
      <c r="L18" s="74">
        <f t="shared" si="2"/>
        <v>28632.134889357148</v>
      </c>
      <c r="M18" s="74">
        <f t="shared" si="2"/>
        <v>34676.192606571436</v>
      </c>
      <c r="N18" s="74"/>
      <c r="O18" s="74"/>
    </row>
    <row r="19" spans="1:15" x14ac:dyDescent="0.2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x14ac:dyDescent="0.25">
      <c r="A20" s="156" t="s">
        <v>513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</row>
    <row r="21" spans="1:15" x14ac:dyDescent="0.25">
      <c r="A21" t="s">
        <v>514</v>
      </c>
      <c r="B21" s="74">
        <f t="shared" ref="B21:M21" si="3">B16</f>
        <v>-135.94228278571427</v>
      </c>
      <c r="C21" s="74">
        <f t="shared" si="3"/>
        <v>-135.94228278571427</v>
      </c>
      <c r="D21" s="74">
        <f t="shared" si="3"/>
        <v>-908.44228278571427</v>
      </c>
      <c r="E21" s="74">
        <f t="shared" si="3"/>
        <v>-135.94228278571427</v>
      </c>
      <c r="F21" s="74">
        <f t="shared" si="3"/>
        <v>2181.5577172142857</v>
      </c>
      <c r="G21" s="74">
        <f t="shared" si="3"/>
        <v>2954.0577172142857</v>
      </c>
      <c r="H21" s="74">
        <f t="shared" si="3"/>
        <v>5271.5577172142857</v>
      </c>
      <c r="I21" s="74">
        <f t="shared" si="3"/>
        <v>4499.0577172142857</v>
      </c>
      <c r="J21" s="74">
        <f t="shared" si="3"/>
        <v>6044.0577172142857</v>
      </c>
      <c r="K21" s="74">
        <f t="shared" si="3"/>
        <v>3726.5577172142857</v>
      </c>
      <c r="L21" s="74">
        <f t="shared" si="3"/>
        <v>5271.5577172142857</v>
      </c>
      <c r="M21" s="74">
        <f t="shared" si="3"/>
        <v>6044.0577172142857</v>
      </c>
      <c r="N21" s="74"/>
      <c r="O21" s="74">
        <f>O16</f>
        <v>34676.192606571421</v>
      </c>
    </row>
    <row r="22" spans="1:15" x14ac:dyDescent="0.25">
      <c r="A22" t="s">
        <v>515</v>
      </c>
      <c r="B22" s="74">
        <f t="shared" ref="B22:M22" si="4">B13</f>
        <v>1715.9422827857143</v>
      </c>
      <c r="C22" s="74">
        <f t="shared" si="4"/>
        <v>1715.9422827857143</v>
      </c>
      <c r="D22" s="74">
        <f t="shared" si="4"/>
        <v>1715.9422827857143</v>
      </c>
      <c r="E22" s="74">
        <f t="shared" si="4"/>
        <v>1715.9422827857143</v>
      </c>
      <c r="F22" s="74">
        <f t="shared" si="4"/>
        <v>1715.9422827857143</v>
      </c>
      <c r="G22" s="74">
        <f t="shared" si="4"/>
        <v>1715.9422827857143</v>
      </c>
      <c r="H22" s="74">
        <f t="shared" si="4"/>
        <v>1715.9422827857143</v>
      </c>
      <c r="I22" s="74">
        <f t="shared" si="4"/>
        <v>1715.9422827857143</v>
      </c>
      <c r="J22" s="74">
        <f t="shared" si="4"/>
        <v>1715.9422827857143</v>
      </c>
      <c r="K22" s="74">
        <f t="shared" si="4"/>
        <v>1715.9422827857143</v>
      </c>
      <c r="L22" s="74">
        <f t="shared" si="4"/>
        <v>1715.9422827857143</v>
      </c>
      <c r="M22" s="74">
        <f t="shared" si="4"/>
        <v>1715.9422827857143</v>
      </c>
      <c r="N22" s="74"/>
      <c r="O22" s="74">
        <f>O13</f>
        <v>20591.307393428571</v>
      </c>
    </row>
    <row r="23" spans="1:15" x14ac:dyDescent="0.25">
      <c r="A23" t="s">
        <v>516</v>
      </c>
      <c r="B23" s="74">
        <f>-'CAPITAL DE TRABAJO'!$E$29/12</f>
        <v>-1784.0206887164829</v>
      </c>
      <c r="C23" s="74">
        <f>-'CAPITAL DE TRABAJO'!$E$29/12</f>
        <v>-1784.0206887164829</v>
      </c>
      <c r="D23" s="74">
        <f>-'CAPITAL DE TRABAJO'!$E$29/12</f>
        <v>-1784.0206887164829</v>
      </c>
      <c r="E23" s="74">
        <f>-'CAPITAL DE TRABAJO'!$E$29/12</f>
        <v>-1784.0206887164829</v>
      </c>
      <c r="F23" s="74">
        <f>-'CAPITAL DE TRABAJO'!$E$29/12</f>
        <v>-1784.0206887164829</v>
      </c>
      <c r="G23" s="74">
        <f>-'CAPITAL DE TRABAJO'!$E$29/12</f>
        <v>-1784.0206887164829</v>
      </c>
      <c r="H23" s="74">
        <f>-'CAPITAL DE TRABAJO'!$E$29/12</f>
        <v>-1784.0206887164829</v>
      </c>
      <c r="I23" s="74">
        <f>-'CAPITAL DE TRABAJO'!$E$29/12</f>
        <v>-1784.0206887164829</v>
      </c>
      <c r="J23" s="74">
        <f>-'CAPITAL DE TRABAJO'!$E$29/12</f>
        <v>-1784.0206887164829</v>
      </c>
      <c r="K23" s="74">
        <f>-'CAPITAL DE TRABAJO'!$E$29/12</f>
        <v>-1784.0206887164829</v>
      </c>
      <c r="L23" s="74">
        <f>-'CAPITAL DE TRABAJO'!$E$29/12</f>
        <v>-1784.0206887164829</v>
      </c>
      <c r="M23" s="74">
        <f>-'CAPITAL DE TRABAJO'!$E$29/12</f>
        <v>-1784.0206887164829</v>
      </c>
      <c r="N23" s="74"/>
      <c r="O23" s="74">
        <f>SUM(B23:M23)</f>
        <v>-21408.248264597791</v>
      </c>
    </row>
    <row r="24" spans="1:15" x14ac:dyDescent="0.25">
      <c r="A24" t="s">
        <v>517</v>
      </c>
      <c r="B24" s="74">
        <f>-MAX(0,$O$16-'CAPITAL DE TRABAJO'!$C$29)*0.1/12</f>
        <v>-195.63493838809518</v>
      </c>
      <c r="C24" s="74">
        <f>-MAX(0,$O$16-'CAPITAL DE TRABAJO'!$C$29)*0.1/12</f>
        <v>-195.63493838809518</v>
      </c>
      <c r="D24" s="74">
        <f>-MAX(0,$O$16-'CAPITAL DE TRABAJO'!$C$29)*0.1/12</f>
        <v>-195.63493838809518</v>
      </c>
      <c r="E24" s="74">
        <f>-MAX(0,$O$16-'CAPITAL DE TRABAJO'!$C$29)*0.1/12</f>
        <v>-195.63493838809518</v>
      </c>
      <c r="F24" s="74">
        <f>-MAX(0,$O$16-'CAPITAL DE TRABAJO'!$C$29)*0.1/12</f>
        <v>-195.63493838809518</v>
      </c>
      <c r="G24" s="74">
        <f>-MAX(0,$O$16-'CAPITAL DE TRABAJO'!$C$29)*0.1/12</f>
        <v>-195.63493838809518</v>
      </c>
      <c r="H24" s="74">
        <f>-MAX(0,$O$16-'CAPITAL DE TRABAJO'!$C$29)*0.1/12</f>
        <v>-195.63493838809518</v>
      </c>
      <c r="I24" s="74">
        <f>-MAX(0,$O$16-'CAPITAL DE TRABAJO'!$C$29)*0.1/12</f>
        <v>-195.63493838809518</v>
      </c>
      <c r="J24" s="74">
        <f>-MAX(0,$O$16-'CAPITAL DE TRABAJO'!$C$29)*0.1/12</f>
        <v>-195.63493838809518</v>
      </c>
      <c r="K24" s="74">
        <f>-MAX(0,$O$16-'CAPITAL DE TRABAJO'!$C$29)*0.1/12</f>
        <v>-195.63493838809518</v>
      </c>
      <c r="L24" s="74">
        <f>-MAX(0,$O$16-'CAPITAL DE TRABAJO'!$C$29)*0.1/12</f>
        <v>-195.63493838809518</v>
      </c>
      <c r="M24" s="74">
        <f>-MAX(0,$O$16-'CAPITAL DE TRABAJO'!$C$29)*0.1/12</f>
        <v>-195.63493838809518</v>
      </c>
      <c r="N24" s="74"/>
      <c r="O24" s="74">
        <f>SUM(B24:M24)</f>
        <v>-2347.6192606571421</v>
      </c>
    </row>
    <row r="25" spans="1:15" x14ac:dyDescent="0.25">
      <c r="A25" s="142" t="s">
        <v>518</v>
      </c>
      <c r="B25" s="82">
        <f t="shared" ref="B25:M25" si="5">B21+B22+B23+B24</f>
        <v>-399.65562710457812</v>
      </c>
      <c r="C25" s="82">
        <f t="shared" si="5"/>
        <v>-399.65562710457812</v>
      </c>
      <c r="D25" s="82">
        <f t="shared" si="5"/>
        <v>-1172.1556271045781</v>
      </c>
      <c r="E25" s="82">
        <f t="shared" si="5"/>
        <v>-399.65562710457812</v>
      </c>
      <c r="F25" s="82">
        <f t="shared" si="5"/>
        <v>1917.8443728954217</v>
      </c>
      <c r="G25" s="82">
        <f t="shared" si="5"/>
        <v>2690.3443728954217</v>
      </c>
      <c r="H25" s="82">
        <f t="shared" si="5"/>
        <v>5007.8443728954217</v>
      </c>
      <c r="I25" s="82">
        <f t="shared" si="5"/>
        <v>4235.3443728954217</v>
      </c>
      <c r="J25" s="82">
        <f t="shared" si="5"/>
        <v>5780.3443728954217</v>
      </c>
      <c r="K25" s="82">
        <f t="shared" si="5"/>
        <v>3462.8443728954217</v>
      </c>
      <c r="L25" s="82">
        <f t="shared" si="5"/>
        <v>5007.8443728954217</v>
      </c>
      <c r="M25" s="82">
        <f t="shared" si="5"/>
        <v>5780.3443728954217</v>
      </c>
      <c r="N25" s="82"/>
      <c r="O25" s="82">
        <f>O21+O22+O23+O24</f>
        <v>31511.632474745056</v>
      </c>
    </row>
    <row r="26" spans="1:15" x14ac:dyDescent="0.25">
      <c r="A26" s="70" t="s">
        <v>519</v>
      </c>
      <c r="B26" s="96">
        <f>0</f>
        <v>0</v>
      </c>
      <c r="C26" s="96">
        <f>0</f>
        <v>0</v>
      </c>
      <c r="D26" s="96">
        <f>0</f>
        <v>0</v>
      </c>
      <c r="E26" s="96">
        <f>0</f>
        <v>0</v>
      </c>
      <c r="F26" s="96">
        <f>-INVERSION!$D$56</f>
        <v>-34147.215722448986</v>
      </c>
      <c r="G26" s="96">
        <f>0</f>
        <v>0</v>
      </c>
      <c r="H26" s="96">
        <f>0</f>
        <v>0</v>
      </c>
      <c r="I26" s="96">
        <f>0</f>
        <v>0</v>
      </c>
      <c r="J26" s="96">
        <f>0</f>
        <v>0</v>
      </c>
      <c r="K26" s="96">
        <f>0</f>
        <v>0</v>
      </c>
      <c r="L26" s="96">
        <f>0</f>
        <v>0</v>
      </c>
      <c r="M26" s="96">
        <f>0</f>
        <v>0</v>
      </c>
      <c r="N26" s="96"/>
      <c r="O26" s="96">
        <f>SUM(B26:M26)</f>
        <v>-34147.215722448986</v>
      </c>
    </row>
    <row r="27" spans="1:15" x14ac:dyDescent="0.25">
      <c r="A27" s="1" t="s">
        <v>520</v>
      </c>
      <c r="B27" s="75">
        <f>B36</f>
        <v>60322.318865491994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x14ac:dyDescent="0.25">
      <c r="A28" s="142" t="s">
        <v>521</v>
      </c>
      <c r="B28" s="82">
        <f>B27+B25+B26</f>
        <v>59922.663238387417</v>
      </c>
      <c r="C28" s="82">
        <f t="shared" ref="C28:M28" si="6">B28+C25+C26</f>
        <v>59523.007611282839</v>
      </c>
      <c r="D28" s="82">
        <f t="shared" si="6"/>
        <v>58350.851984178262</v>
      </c>
      <c r="E28" s="82">
        <f t="shared" si="6"/>
        <v>57951.196357073684</v>
      </c>
      <c r="F28" s="82">
        <f t="shared" si="6"/>
        <v>25721.825007520121</v>
      </c>
      <c r="G28" s="82">
        <f t="shared" si="6"/>
        <v>28412.169380415544</v>
      </c>
      <c r="H28" s="82">
        <f t="shared" si="6"/>
        <v>33420.013753310966</v>
      </c>
      <c r="I28" s="82">
        <f t="shared" si="6"/>
        <v>37655.358126206389</v>
      </c>
      <c r="J28" s="82">
        <f t="shared" si="6"/>
        <v>43435.702499101812</v>
      </c>
      <c r="K28" s="82">
        <f t="shared" si="6"/>
        <v>46898.546871997234</v>
      </c>
      <c r="L28" s="82">
        <f t="shared" si="6"/>
        <v>51906.391244892657</v>
      </c>
      <c r="M28" s="82">
        <f t="shared" si="6"/>
        <v>57686.735617788079</v>
      </c>
      <c r="N28" s="82"/>
      <c r="O28" s="82"/>
    </row>
    <row r="29" spans="1:15" x14ac:dyDescent="0.2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x14ac:dyDescent="0.25">
      <c r="A30" s="156" t="s">
        <v>522</v>
      </c>
      <c r="B30" s="153"/>
      <c r="C30" s="153"/>
      <c r="D30" s="153"/>
      <c r="E30" s="153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x14ac:dyDescent="0.25">
      <c r="A31" t="s">
        <v>523</v>
      </c>
      <c r="B31" s="74">
        <f>'CAPITAL DE TRABAJO'!B20</f>
        <v>89755.211705491995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x14ac:dyDescent="0.25">
      <c r="A32" t="s">
        <v>524</v>
      </c>
      <c r="B32" s="74">
        <f>'CAPITAL DE TRABAJO'!B21</f>
        <v>40000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1:15" x14ac:dyDescent="0.25">
      <c r="A33" t="s">
        <v>525</v>
      </c>
      <c r="B33" s="74">
        <f>-(INVERSION!D18+INVERSION!D36)</f>
        <v>-63832.89284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x14ac:dyDescent="0.25">
      <c r="A34" t="s">
        <v>526</v>
      </c>
      <c r="B34" s="74">
        <f>-'CAPITAL DE TRABAJO'!B9</f>
        <v>-800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x14ac:dyDescent="0.25">
      <c r="A35" t="s">
        <v>527</v>
      </c>
      <c r="B35" s="74">
        <f>-'CAPITAL DE TRABAJO'!B7</f>
        <v>-4800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x14ac:dyDescent="0.25">
      <c r="A36" s="43" t="s">
        <v>528</v>
      </c>
      <c r="B36" s="97">
        <f>SUM(B31:B35)</f>
        <v>60322.318865491994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x14ac:dyDescent="0.2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spans="1:15" x14ac:dyDescent="0.25">
      <c r="A38" s="159" t="s">
        <v>529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x14ac:dyDescent="0.2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x14ac:dyDescent="0.25">
      <c r="A41" s="156" t="s">
        <v>530</v>
      </c>
      <c r="B41" s="153"/>
      <c r="C41" s="153"/>
      <c r="D41" s="153"/>
      <c r="E41" s="153"/>
      <c r="F41" s="153"/>
      <c r="G41" s="74"/>
      <c r="H41" s="74"/>
      <c r="I41" s="74"/>
      <c r="J41" s="74"/>
      <c r="K41" s="74"/>
      <c r="L41" s="74"/>
      <c r="M41" s="74"/>
      <c r="N41" s="74"/>
      <c r="O41" s="74"/>
    </row>
    <row r="42" spans="1:15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x14ac:dyDescent="0.25">
      <c r="A43" s="1" t="s">
        <v>531</v>
      </c>
      <c r="B43" s="93">
        <v>0.2</v>
      </c>
      <c r="C43" s="74" t="s">
        <v>532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x14ac:dyDescent="0.25">
      <c r="A44" t="s">
        <v>533</v>
      </c>
      <c r="B44" s="68">
        <v>2.5000000000000001E-2</v>
      </c>
      <c r="C44" s="74" t="s">
        <v>534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1:15" x14ac:dyDescent="0.25">
      <c r="A45" t="s">
        <v>535</v>
      </c>
      <c r="B45" s="68">
        <v>0.1</v>
      </c>
      <c r="C45" s="74" t="s">
        <v>536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x14ac:dyDescent="0.25">
      <c r="A46" s="145" t="s">
        <v>537</v>
      </c>
      <c r="B46" s="136" t="s">
        <v>538</v>
      </c>
      <c r="C46" s="136" t="s">
        <v>539</v>
      </c>
      <c r="D46" s="136" t="s">
        <v>540</v>
      </c>
      <c r="E46" s="136" t="s">
        <v>541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spans="1:15" x14ac:dyDescent="0.25">
      <c r="A47" t="s">
        <v>542</v>
      </c>
      <c r="B47" s="74"/>
      <c r="C47" s="74">
        <f>'PROYECCION DE VENTAS'!B19</f>
        <v>143</v>
      </c>
      <c r="D47" s="76">
        <v>180</v>
      </c>
      <c r="E47" s="76">
        <v>192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5">
      <c r="A48" t="s">
        <v>543</v>
      </c>
      <c r="B48" s="74"/>
      <c r="C48" s="74">
        <f>O7</f>
        <v>167667.5</v>
      </c>
      <c r="D48" s="74">
        <f>D47*'PROYECCION DE VENTAS'!$B$3</f>
        <v>211050</v>
      </c>
      <c r="E48" s="74">
        <f>E47*'PROYECCION DE VENTAS'!$B$3</f>
        <v>225120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spans="1:15" x14ac:dyDescent="0.25">
      <c r="A49" t="s">
        <v>544</v>
      </c>
      <c r="B49" s="74"/>
      <c r="C49" s="74">
        <f>-O10</f>
        <v>-57200</v>
      </c>
      <c r="D49" s="74">
        <f>-D47*'C. PRODUCCION'!$E$32</f>
        <v>-72000</v>
      </c>
      <c r="E49" s="74">
        <f>-E47*'C. PRODUCCION'!$E$32</f>
        <v>-76800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x14ac:dyDescent="0.25">
      <c r="A50" t="s">
        <v>545</v>
      </c>
      <c r="B50" s="74"/>
      <c r="C50" s="74">
        <f>-(O11+O12)</f>
        <v>-55200</v>
      </c>
      <c r="D50" s="74">
        <f>C50*(1+$B$44)</f>
        <v>-56579.999999999993</v>
      </c>
      <c r="E50" s="74">
        <f>D50*(1+$B$44)</f>
        <v>-57994.499999999985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x14ac:dyDescent="0.25">
      <c r="A51" t="s">
        <v>546</v>
      </c>
      <c r="B51" s="74"/>
      <c r="C51" s="74">
        <f>-O13</f>
        <v>-20591.307393428571</v>
      </c>
      <c r="D51" s="74">
        <f>C51</f>
        <v>-20591.307393428571</v>
      </c>
      <c r="E51" s="74">
        <f>D51</f>
        <v>-20591.307393428571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x14ac:dyDescent="0.25">
      <c r="A52" s="137" t="s">
        <v>547</v>
      </c>
      <c r="B52" s="138"/>
      <c r="C52" s="138">
        <f>SUM(C48:C51)</f>
        <v>34676.192606571429</v>
      </c>
      <c r="D52" s="138">
        <f>SUM(D48:D51)</f>
        <v>61878.692606571429</v>
      </c>
      <c r="E52" s="138">
        <f>SUM(E48:E51)</f>
        <v>69734.192606571451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x14ac:dyDescent="0.25">
      <c r="A53" t="s">
        <v>548</v>
      </c>
      <c r="B53" s="74"/>
      <c r="C53" s="74">
        <f>-MAX(0,C52)*$B$45</f>
        <v>-3467.6192606571431</v>
      </c>
      <c r="D53" s="74">
        <f>-MAX(0,D52)*$B$45</f>
        <v>-6187.8692606571431</v>
      </c>
      <c r="E53" s="74">
        <f>-MAX(0,E52)*$B$45</f>
        <v>-6973.4192606571451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x14ac:dyDescent="0.25">
      <c r="A54" t="s">
        <v>549</v>
      </c>
      <c r="B54" s="74"/>
      <c r="C54" s="74">
        <f>C52+C53</f>
        <v>31208.573345914287</v>
      </c>
      <c r="D54" s="74">
        <f>D52+D53</f>
        <v>55690.823345914287</v>
      </c>
      <c r="E54" s="74">
        <f>E52+E53</f>
        <v>62760.773345914306</v>
      </c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x14ac:dyDescent="0.25">
      <c r="A55" t="s">
        <v>550</v>
      </c>
      <c r="B55" s="74"/>
      <c r="C55" s="74">
        <f>-C51</f>
        <v>20591.307393428571</v>
      </c>
      <c r="D55" s="74">
        <f>-D51</f>
        <v>20591.307393428571</v>
      </c>
      <c r="E55" s="74">
        <f>-E51</f>
        <v>20591.307393428571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</row>
    <row r="56" spans="1:15" x14ac:dyDescent="0.25">
      <c r="A56" t="s">
        <v>551</v>
      </c>
      <c r="B56" s="74">
        <f>-INVERSION!D46</f>
        <v>-129755.21170549199</v>
      </c>
      <c r="C56" s="74">
        <f>-INVERSION!D56</f>
        <v>-34147.215722448986</v>
      </c>
      <c r="D56" s="74">
        <f>0</f>
        <v>0</v>
      </c>
      <c r="E56" s="74">
        <f>0</f>
        <v>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</row>
    <row r="57" spans="1:15" x14ac:dyDescent="0.25">
      <c r="A57" t="s">
        <v>552</v>
      </c>
      <c r="B57" s="74"/>
      <c r="C57" s="74"/>
      <c r="D57" s="74"/>
      <c r="E57" s="74">
        <f>'CAPITAL DE TRABAJO'!B11</f>
        <v>65922.318865491994</v>
      </c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x14ac:dyDescent="0.25">
      <c r="A58" s="94" t="s">
        <v>553</v>
      </c>
      <c r="B58" s="98">
        <f>B56</f>
        <v>-129755.21170549199</v>
      </c>
      <c r="C58" s="98">
        <f>C54+C55+C56</f>
        <v>17652.665016893872</v>
      </c>
      <c r="D58" s="98">
        <f>D54+D55+D56</f>
        <v>76282.130739342858</v>
      </c>
      <c r="E58" s="98">
        <f>E54+E55+E56+E57</f>
        <v>149274.39960483485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x14ac:dyDescent="0.25">
      <c r="A59" t="s">
        <v>554</v>
      </c>
      <c r="B59" s="74">
        <f>B58</f>
        <v>-129755.21170549199</v>
      </c>
      <c r="C59" s="74">
        <f>C58/(1+$B$43)^1</f>
        <v>14710.554180744894</v>
      </c>
      <c r="D59" s="74">
        <f>D58/(1+$B$43)^2</f>
        <v>52973.701902321431</v>
      </c>
      <c r="E59" s="74">
        <f>E58/(1+$B$43)^3</f>
        <v>86385.647919464609</v>
      </c>
      <c r="F59" s="74"/>
      <c r="G59" s="74"/>
      <c r="H59" s="74"/>
      <c r="I59" s="74"/>
      <c r="J59" s="74"/>
      <c r="K59" s="74"/>
      <c r="L59" s="74"/>
      <c r="M59" s="74"/>
      <c r="N59" s="74"/>
      <c r="O59" s="74"/>
    </row>
    <row r="60" spans="1:15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25">
      <c r="A61" s="142" t="s">
        <v>555</v>
      </c>
      <c r="B61" s="82">
        <f>SUM(B59:E59)</f>
        <v>24314.692297038935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</row>
    <row r="62" spans="1:15" x14ac:dyDescent="0.25">
      <c r="A62" s="142" t="s">
        <v>556</v>
      </c>
      <c r="B62" s="95">
        <f>IRR(B58:E58,0.2)</f>
        <v>0.28715972917183041</v>
      </c>
    </row>
    <row r="63" spans="1:15" x14ac:dyDescent="0.25">
      <c r="A63" s="142" t="s">
        <v>557</v>
      </c>
      <c r="B63" s="161" t="str">
        <f>IF(AND(B61&gt;0,B62&gt;B43),"PROYECTO VIABLE (VAN&gt;0 y TIR&gt;COK)","REVISAR VIABILIDAD")</f>
        <v>PROYECTO VIABLE (VAN&gt;0 y TIR&gt;COK)</v>
      </c>
      <c r="C63" s="153"/>
      <c r="D63" s="153"/>
      <c r="E63" s="153"/>
    </row>
    <row r="65" spans="1:6" x14ac:dyDescent="0.25">
      <c r="A65" s="160" t="s">
        <v>558</v>
      </c>
      <c r="B65" s="153"/>
      <c r="C65" s="153"/>
      <c r="D65" s="153"/>
      <c r="E65" s="153"/>
      <c r="F65" s="153"/>
    </row>
    <row r="66" spans="1:6" x14ac:dyDescent="0.25">
      <c r="A66" s="153"/>
      <c r="B66" s="153"/>
      <c r="C66" s="153"/>
      <c r="D66" s="153"/>
      <c r="E66" s="153"/>
      <c r="F66" s="153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>
      <selection activeCell="A34" sqref="A34"/>
    </sheetView>
  </sheetViews>
  <sheetFormatPr baseColWidth="10" defaultColWidth="11.42578125" defaultRowHeight="15" x14ac:dyDescent="0.25"/>
  <cols>
    <col min="1" max="1" width="55.7109375" customWidth="1"/>
    <col min="2" max="2" width="16.7109375" customWidth="1"/>
    <col min="3" max="3" width="2" bestFit="1" customWidth="1"/>
  </cols>
  <sheetData>
    <row r="1" spans="1:15" ht="26.1" customHeight="1" x14ac:dyDescent="0.25">
      <c r="A1" s="155" t="s">
        <v>559</v>
      </c>
      <c r="B1" s="153"/>
    </row>
    <row r="3" spans="1:15" x14ac:dyDescent="0.25">
      <c r="A3" s="145" t="s">
        <v>267</v>
      </c>
      <c r="B3" s="145" t="s">
        <v>560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561</v>
      </c>
      <c r="B4" s="133">
        <f>'PROYECCION DE VENTAS'!B19</f>
        <v>143</v>
      </c>
    </row>
    <row r="5" spans="1:15" x14ac:dyDescent="0.25">
      <c r="A5" t="s">
        <v>757</v>
      </c>
      <c r="B5" s="3">
        <f>'FLUJO DE CAJA'!O7</f>
        <v>167667.5</v>
      </c>
    </row>
    <row r="6" spans="1:15" x14ac:dyDescent="0.25">
      <c r="A6" s="101" t="s">
        <v>758</v>
      </c>
      <c r="B6" s="133">
        <f>'FLUJO DE CAJA'!O10</f>
        <v>57200</v>
      </c>
      <c r="C6" t="s">
        <v>243</v>
      </c>
    </row>
    <row r="7" spans="1:15" x14ac:dyDescent="0.25">
      <c r="A7" s="1" t="s">
        <v>759</v>
      </c>
      <c r="B7" s="24">
        <f>B5-B6</f>
        <v>110467.5</v>
      </c>
    </row>
    <row r="8" spans="1:15" x14ac:dyDescent="0.25">
      <c r="A8" s="101" t="s">
        <v>760</v>
      </c>
      <c r="B8" s="133">
        <f>'FLUJO DE CAJA'!O11</f>
        <v>45600</v>
      </c>
      <c r="C8" t="s">
        <v>243</v>
      </c>
    </row>
    <row r="9" spans="1:15" x14ac:dyDescent="0.25">
      <c r="A9" t="s">
        <v>762</v>
      </c>
      <c r="B9" s="3">
        <f>'FLUJO DE CAJA'!O12</f>
        <v>9600</v>
      </c>
      <c r="C9" t="s">
        <v>243</v>
      </c>
    </row>
    <row r="10" spans="1:15" x14ac:dyDescent="0.25">
      <c r="A10" s="101" t="s">
        <v>761</v>
      </c>
      <c r="B10" s="133">
        <f>'FLUJO DE CAJA'!O13</f>
        <v>20591.307393428571</v>
      </c>
      <c r="C10" t="s">
        <v>243</v>
      </c>
    </row>
    <row r="11" spans="1:15" x14ac:dyDescent="0.25">
      <c r="A11" s="34" t="s">
        <v>510</v>
      </c>
      <c r="B11" s="35">
        <f>'FLUJO DE CAJA'!O14</f>
        <v>132991.30739342858</v>
      </c>
      <c r="C11" t="s">
        <v>243</v>
      </c>
      <c r="D11" s="3"/>
    </row>
    <row r="12" spans="1:15" x14ac:dyDescent="0.25">
      <c r="A12" s="101" t="s">
        <v>547</v>
      </c>
      <c r="B12" s="133">
        <f>B5-B11</f>
        <v>34676.192606571421</v>
      </c>
      <c r="D12" s="3"/>
      <c r="E12" s="3"/>
    </row>
    <row r="13" spans="1:15" x14ac:dyDescent="0.25">
      <c r="A13" t="s">
        <v>562</v>
      </c>
      <c r="B13" s="3">
        <f>'CAPITAL DE TRABAJO'!C29</f>
        <v>11200.000000000002</v>
      </c>
    </row>
    <row r="14" spans="1:15" x14ac:dyDescent="0.25">
      <c r="A14" s="101" t="s">
        <v>763</v>
      </c>
      <c r="B14" s="133">
        <f>B12-B13</f>
        <v>23476.192606571421</v>
      </c>
    </row>
    <row r="15" spans="1:15" ht="15" customHeight="1" x14ac:dyDescent="0.25">
      <c r="A15" t="s">
        <v>563</v>
      </c>
      <c r="B15" s="3">
        <f>B14*0.1</f>
        <v>2347.6192606571421</v>
      </c>
    </row>
    <row r="16" spans="1:15" x14ac:dyDescent="0.25">
      <c r="A16" s="39" t="s">
        <v>564</v>
      </c>
      <c r="B16" s="40">
        <f>B14-B15</f>
        <v>21128.573345914279</v>
      </c>
    </row>
    <row r="18" spans="1:2" x14ac:dyDescent="0.25">
      <c r="A18" s="43" t="s">
        <v>565</v>
      </c>
      <c r="B18" s="46">
        <f>B12+B10</f>
        <v>55267.499999999993</v>
      </c>
    </row>
    <row r="19" spans="1:2" ht="60" customHeight="1" x14ac:dyDescent="0.25">
      <c r="A19" s="160" t="s">
        <v>566</v>
      </c>
      <c r="B19" s="153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>
      <selection sqref="A1:B1"/>
    </sheetView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55" t="s">
        <v>567</v>
      </c>
      <c r="B1" s="153"/>
    </row>
    <row r="3" spans="1:15" x14ac:dyDescent="0.25">
      <c r="A3" s="145" t="s">
        <v>568</v>
      </c>
      <c r="B3" s="145" t="s">
        <v>569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570</v>
      </c>
      <c r="B4" s="103">
        <f>INVERSION!D46+INVERSION!D56</f>
        <v>163902.42742794097</v>
      </c>
    </row>
    <row r="5" spans="1:15" x14ac:dyDescent="0.25">
      <c r="A5" t="s">
        <v>571</v>
      </c>
      <c r="B5" s="74">
        <f>'RESUMEN ECONOMICO'!B5</f>
        <v>167667.5</v>
      </c>
    </row>
    <row r="6" spans="1:15" x14ac:dyDescent="0.25">
      <c r="A6" s="101" t="s">
        <v>572</v>
      </c>
      <c r="B6" s="103">
        <f>'RESUMEN ECONOMICO'!B16</f>
        <v>21128.573345914279</v>
      </c>
    </row>
    <row r="7" spans="1:15" x14ac:dyDescent="0.25">
      <c r="A7" t="s">
        <v>573</v>
      </c>
      <c r="B7" s="4">
        <f>B6/B5</f>
        <v>0.12601472167184624</v>
      </c>
    </row>
    <row r="8" spans="1:15" x14ac:dyDescent="0.25">
      <c r="A8" s="39" t="s">
        <v>574</v>
      </c>
      <c r="B8" s="47">
        <f>B6/B4</f>
        <v>0.12890945959420502</v>
      </c>
    </row>
    <row r="9" spans="1:15" x14ac:dyDescent="0.25">
      <c r="A9" t="s">
        <v>575</v>
      </c>
      <c r="B9" s="74">
        <f>'PROYECCION DE VENTAS'!B3</f>
        <v>1172.5</v>
      </c>
    </row>
    <row r="10" spans="1:15" x14ac:dyDescent="0.25">
      <c r="A10" s="101" t="s">
        <v>576</v>
      </c>
      <c r="B10" s="103">
        <f>'C. PRODUCCION'!E32</f>
        <v>400</v>
      </c>
    </row>
    <row r="11" spans="1:15" x14ac:dyDescent="0.25">
      <c r="A11" t="s">
        <v>577</v>
      </c>
      <c r="B11" s="74">
        <f>B9-B10</f>
        <v>772.5</v>
      </c>
    </row>
    <row r="12" spans="1:15" x14ac:dyDescent="0.25">
      <c r="A12" s="101" t="s">
        <v>578</v>
      </c>
      <c r="B12" s="103">
        <f>'GASTOS ADMINISTRATIVOS'!B8+'G. VENTAS'!B8+INVERSION!D51</f>
        <v>6315.9422827857143</v>
      </c>
    </row>
    <row r="13" spans="1:15" x14ac:dyDescent="0.25">
      <c r="A13" s="39" t="s">
        <v>579</v>
      </c>
      <c r="B13" s="99">
        <f>B12/B11</f>
        <v>8.1759770650947754</v>
      </c>
    </row>
    <row r="14" spans="1:15" x14ac:dyDescent="0.25">
      <c r="A14" s="43" t="s">
        <v>580</v>
      </c>
      <c r="B14" s="97">
        <f>'FLUJO DE CAJA'!M28</f>
        <v>57686.735617788079</v>
      </c>
    </row>
    <row r="15" spans="1:15" x14ac:dyDescent="0.25">
      <c r="A15" t="s">
        <v>581</v>
      </c>
      <c r="B15" s="74">
        <f>MIN('FLUJO DE CAJA'!B28:M28)</f>
        <v>25721.825007520121</v>
      </c>
    </row>
    <row r="16" spans="1:15" x14ac:dyDescent="0.25">
      <c r="A16" s="101" t="s">
        <v>582</v>
      </c>
      <c r="B16" s="103">
        <f>'CAPITAL DE TRABAJO'!E29</f>
        <v>21408.248264597794</v>
      </c>
    </row>
    <row r="17" spans="1:4" x14ac:dyDescent="0.25">
      <c r="A17" s="1" t="s">
        <v>583</v>
      </c>
      <c r="B17" s="75">
        <f>'RESUMEN ECONOMICO'!B7-'RESUMEN ECONOMICO'!B8-'RESUMEN ECONOMICO'!B9</f>
        <v>55267.5</v>
      </c>
    </row>
    <row r="18" spans="1:4" x14ac:dyDescent="0.25">
      <c r="A18" t="s">
        <v>584</v>
      </c>
      <c r="B18" s="74">
        <f>('CAPITAL DE TRABAJO'!B4+'CAPITAL DE TRABAJO'!E29/12)/B11</f>
        <v>8.2641044514129227</v>
      </c>
    </row>
    <row r="19" spans="1:4" x14ac:dyDescent="0.25">
      <c r="A19" s="43" t="s">
        <v>585</v>
      </c>
      <c r="B19" s="97">
        <f>'FLUJO DE CAJA'!B61</f>
        <v>24314.692297038935</v>
      </c>
    </row>
    <row r="20" spans="1:4" x14ac:dyDescent="0.25">
      <c r="A20" s="43" t="s">
        <v>586</v>
      </c>
      <c r="B20" s="49">
        <f>'FLUJO DE CAJA'!B62</f>
        <v>0.28715972917183041</v>
      </c>
    </row>
    <row r="22" spans="1:4" x14ac:dyDescent="0.25">
      <c r="A22" s="156" t="s">
        <v>587</v>
      </c>
      <c r="B22" s="153"/>
      <c r="C22" s="153"/>
      <c r="D22" s="153"/>
    </row>
    <row r="23" spans="1:4" x14ac:dyDescent="0.25">
      <c r="A23" s="145" t="s">
        <v>267</v>
      </c>
      <c r="B23" s="145" t="s">
        <v>588</v>
      </c>
      <c r="C23" s="145" t="s">
        <v>589</v>
      </c>
      <c r="D23" s="145" t="s">
        <v>590</v>
      </c>
    </row>
    <row r="24" spans="1:4" x14ac:dyDescent="0.25">
      <c r="A24" t="s">
        <v>591</v>
      </c>
      <c r="B24" s="3">
        <v>110</v>
      </c>
      <c r="C24" s="3">
        <f>'PROYECCION DE VENTAS'!B19</f>
        <v>143</v>
      </c>
      <c r="D24" s="3">
        <v>175</v>
      </c>
    </row>
    <row r="25" spans="1:4" x14ac:dyDescent="0.25">
      <c r="A25" t="s">
        <v>543</v>
      </c>
      <c r="B25" s="3">
        <f>B24*'PROYECCION DE VENTAS'!$B$3</f>
        <v>128975</v>
      </c>
      <c r="C25" s="3">
        <f>C24*'PROYECCION DE VENTAS'!$B$3</f>
        <v>167667.5</v>
      </c>
      <c r="D25" s="3">
        <f>D24*'PROYECCION DE VENTAS'!$B$3</f>
        <v>205187.5</v>
      </c>
    </row>
    <row r="26" spans="1:4" x14ac:dyDescent="0.25">
      <c r="A26" s="101" t="s">
        <v>592</v>
      </c>
      <c r="B26" s="133">
        <f>B24*('PROYECCION DE VENTAS'!$B$3-'C. PRODUCCION'!$E$32)</f>
        <v>84975</v>
      </c>
      <c r="C26" s="133">
        <f>C24*('PROYECCION DE VENTAS'!$B$3-'C. PRODUCCION'!$E$32)</f>
        <v>110467.5</v>
      </c>
      <c r="D26" s="133">
        <f>D24*('PROYECCION DE VENTAS'!$B$3-'C. PRODUCCION'!$E$32)</f>
        <v>135187.5</v>
      </c>
    </row>
    <row r="27" spans="1:4" x14ac:dyDescent="0.25">
      <c r="A27" t="s">
        <v>593</v>
      </c>
      <c r="B27" s="3">
        <f>-('CAPITAL DE TRABAJO'!$B$4*12+INVERSION!$D$51*12+'CAPITAL DE TRABAJO'!$C$29)</f>
        <v>-86991.307393428579</v>
      </c>
      <c r="C27" s="3">
        <f>B27</f>
        <v>-86991.307393428579</v>
      </c>
      <c r="D27" s="3">
        <f>B27</f>
        <v>-86991.307393428579</v>
      </c>
    </row>
    <row r="28" spans="1:4" x14ac:dyDescent="0.25">
      <c r="A28" s="101" t="s">
        <v>594</v>
      </c>
      <c r="B28" s="133">
        <f>B26+B27</f>
        <v>-2016.3073934285785</v>
      </c>
      <c r="C28" s="133">
        <f>C26+C27</f>
        <v>23476.192606571421</v>
      </c>
      <c r="D28" s="133">
        <f>D26+D27</f>
        <v>48196.192606571421</v>
      </c>
    </row>
    <row r="29" spans="1:4" x14ac:dyDescent="0.25">
      <c r="A29" t="s">
        <v>548</v>
      </c>
      <c r="B29" s="3">
        <f>-MAX(0,B28)*0.1</f>
        <v>0</v>
      </c>
      <c r="C29" s="3">
        <f>-MAX(0,C28)*0.1</f>
        <v>-2347.6192606571421</v>
      </c>
      <c r="D29" s="3">
        <f>-MAX(0,D28)*0.1</f>
        <v>-4819.6192606571421</v>
      </c>
    </row>
    <row r="30" spans="1:4" x14ac:dyDescent="0.25">
      <c r="A30" s="39" t="s">
        <v>595</v>
      </c>
      <c r="B30" s="40">
        <f>B28+B29</f>
        <v>-2016.3073934285785</v>
      </c>
      <c r="C30" s="40">
        <f>C28+C29</f>
        <v>21128.573345914279</v>
      </c>
      <c r="D30" s="40">
        <f>D28+D29</f>
        <v>43376.573345914279</v>
      </c>
    </row>
    <row r="31" spans="1:4" x14ac:dyDescent="0.25">
      <c r="A31" t="s">
        <v>596</v>
      </c>
      <c r="B31" t="str">
        <f>IF(B30&gt;0,"Viable","Pérdida")</f>
        <v>Pérdida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30.7109375" customWidth="1"/>
    <col min="2" max="2" width="40.7109375" bestFit="1" customWidth="1"/>
    <col min="3" max="3" width="123.7109375" bestFit="1" customWidth="1"/>
  </cols>
  <sheetData>
    <row r="1" spans="1:15" ht="26.1" customHeight="1" x14ac:dyDescent="0.25">
      <c r="A1" s="162" t="s">
        <v>597</v>
      </c>
      <c r="B1" s="153"/>
      <c r="C1" s="153"/>
    </row>
    <row r="3" spans="1:15" x14ac:dyDescent="0.25">
      <c r="A3" s="156" t="s">
        <v>598</v>
      </c>
      <c r="B3" s="153"/>
      <c r="C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599</v>
      </c>
      <c r="B4" s="145" t="s">
        <v>600</v>
      </c>
      <c r="C4" s="145" t="s">
        <v>601</v>
      </c>
    </row>
    <row r="5" spans="1:15" x14ac:dyDescent="0.25">
      <c r="A5" t="s">
        <v>602</v>
      </c>
      <c r="B5" t="s">
        <v>603</v>
      </c>
      <c r="C5" t="s">
        <v>604</v>
      </c>
    </row>
    <row r="6" spans="1:15" x14ac:dyDescent="0.25">
      <c r="A6" s="101" t="s">
        <v>605</v>
      </c>
      <c r="B6" s="101" t="s">
        <v>606</v>
      </c>
      <c r="C6" s="101" t="s">
        <v>607</v>
      </c>
    </row>
    <row r="7" spans="1:15" x14ac:dyDescent="0.25">
      <c r="A7" t="s">
        <v>608</v>
      </c>
      <c r="B7" t="s">
        <v>609</v>
      </c>
      <c r="C7" t="s">
        <v>610</v>
      </c>
    </row>
    <row r="8" spans="1:15" x14ac:dyDescent="0.25">
      <c r="A8" s="43" t="s">
        <v>611</v>
      </c>
      <c r="B8" s="43" t="s">
        <v>612</v>
      </c>
      <c r="C8" s="43" t="s">
        <v>613</v>
      </c>
    </row>
    <row r="9" spans="1:15" x14ac:dyDescent="0.25">
      <c r="C9" s="143"/>
    </row>
    <row r="10" spans="1:15" x14ac:dyDescent="0.25">
      <c r="A10" s="156" t="s">
        <v>614</v>
      </c>
      <c r="B10" s="153"/>
      <c r="C10" s="153"/>
    </row>
    <row r="11" spans="1:15" x14ac:dyDescent="0.25">
      <c r="A11" s="145" t="s">
        <v>615</v>
      </c>
      <c r="B11" s="145" t="s">
        <v>569</v>
      </c>
      <c r="C11" s="146" t="s">
        <v>93</v>
      </c>
    </row>
    <row r="12" spans="1:15" x14ac:dyDescent="0.25">
      <c r="A12" s="43" t="s">
        <v>248</v>
      </c>
      <c r="B12" s="50">
        <v>3.3860000000000001</v>
      </c>
      <c r="C12" s="43" t="s">
        <v>616</v>
      </c>
    </row>
    <row r="13" spans="1:15" x14ac:dyDescent="0.25">
      <c r="A13" t="s">
        <v>617</v>
      </c>
      <c r="B13" s="4">
        <v>2.5000000000000001E-2</v>
      </c>
      <c r="C13" t="s">
        <v>618</v>
      </c>
    </row>
    <row r="14" spans="1:15" x14ac:dyDescent="0.25">
      <c r="A14" s="101" t="s">
        <v>619</v>
      </c>
      <c r="B14" s="104">
        <v>0.18</v>
      </c>
      <c r="C14" s="101" t="s">
        <v>620</v>
      </c>
    </row>
    <row r="15" spans="1:15" x14ac:dyDescent="0.25">
      <c r="A15" t="s">
        <v>621</v>
      </c>
      <c r="B15" t="s">
        <v>622</v>
      </c>
      <c r="C15" t="s">
        <v>623</v>
      </c>
    </row>
    <row r="17" spans="1:3" x14ac:dyDescent="0.25">
      <c r="A17" s="156" t="s">
        <v>624</v>
      </c>
      <c r="B17" s="153"/>
      <c r="C17" s="153"/>
    </row>
    <row r="18" spans="1:3" x14ac:dyDescent="0.25">
      <c r="A18" s="145" t="s">
        <v>625</v>
      </c>
      <c r="B18" s="166" t="s">
        <v>626</v>
      </c>
      <c r="C18" s="153"/>
    </row>
    <row r="19" spans="1:3" x14ac:dyDescent="0.25">
      <c r="A19" t="s">
        <v>627</v>
      </c>
      <c r="B19" s="163" t="s">
        <v>628</v>
      </c>
      <c r="C19" s="153"/>
    </row>
    <row r="20" spans="1:3" x14ac:dyDescent="0.25">
      <c r="A20" s="101" t="s">
        <v>629</v>
      </c>
      <c r="B20" s="164" t="s">
        <v>630</v>
      </c>
      <c r="C20" s="153"/>
    </row>
    <row r="21" spans="1:3" x14ac:dyDescent="0.25">
      <c r="A21" t="s">
        <v>631</v>
      </c>
      <c r="B21" s="163" t="s">
        <v>632</v>
      </c>
      <c r="C21" s="153"/>
    </row>
    <row r="22" spans="1:3" x14ac:dyDescent="0.25">
      <c r="A22" s="101" t="s">
        <v>633</v>
      </c>
      <c r="B22" s="164" t="s">
        <v>634</v>
      </c>
      <c r="C22" s="153"/>
    </row>
    <row r="23" spans="1:3" x14ac:dyDescent="0.25">
      <c r="A23" s="43" t="s">
        <v>635</v>
      </c>
      <c r="B23" s="165" t="s">
        <v>636</v>
      </c>
      <c r="C23" s="153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26.7109375" customWidth="1"/>
    <col min="2" max="2" width="48.5703125" bestFit="1" customWidth="1"/>
    <col min="3" max="3" width="16.7109375" customWidth="1"/>
    <col min="4" max="4" width="20.7109375" customWidth="1"/>
  </cols>
  <sheetData>
    <row r="1" spans="1:15" ht="24" customHeight="1" x14ac:dyDescent="0.25">
      <c r="A1" s="162" t="s">
        <v>637</v>
      </c>
      <c r="B1" s="153"/>
      <c r="C1" s="153"/>
      <c r="D1" s="153"/>
    </row>
    <row r="3" spans="1:15" x14ac:dyDescent="0.25">
      <c r="A3" s="145" t="s">
        <v>638</v>
      </c>
      <c r="B3" s="145" t="s">
        <v>639</v>
      </c>
      <c r="C3" s="145" t="s">
        <v>640</v>
      </c>
      <c r="D3" s="145" t="s">
        <v>641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642</v>
      </c>
      <c r="B4" s="143" t="s">
        <v>643</v>
      </c>
      <c r="C4" s="3">
        <v>1200</v>
      </c>
      <c r="D4" t="s">
        <v>644</v>
      </c>
    </row>
    <row r="5" spans="1:15" x14ac:dyDescent="0.25">
      <c r="A5" s="101" t="s">
        <v>645</v>
      </c>
      <c r="B5" s="144" t="s">
        <v>646</v>
      </c>
      <c r="C5" s="133">
        <v>1500</v>
      </c>
      <c r="D5" s="101" t="s">
        <v>644</v>
      </c>
    </row>
    <row r="6" spans="1:15" x14ac:dyDescent="0.25">
      <c r="A6" t="s">
        <v>647</v>
      </c>
      <c r="B6" s="143" t="s">
        <v>648</v>
      </c>
      <c r="C6" s="3">
        <v>1800</v>
      </c>
      <c r="D6" t="s">
        <v>649</v>
      </c>
    </row>
    <row r="7" spans="1:15" x14ac:dyDescent="0.25">
      <c r="A7" s="101" t="s">
        <v>264</v>
      </c>
      <c r="B7" s="144" t="s">
        <v>650</v>
      </c>
      <c r="C7" s="133">
        <v>400</v>
      </c>
      <c r="D7" s="101" t="s">
        <v>651</v>
      </c>
    </row>
    <row r="8" spans="1:15" x14ac:dyDescent="0.25">
      <c r="A8" t="s">
        <v>652</v>
      </c>
      <c r="B8" s="143" t="s">
        <v>653</v>
      </c>
      <c r="C8" s="3">
        <v>210</v>
      </c>
      <c r="D8" t="s">
        <v>644</v>
      </c>
    </row>
    <row r="9" spans="1:15" x14ac:dyDescent="0.25">
      <c r="A9" s="101" t="s">
        <v>654</v>
      </c>
      <c r="B9" s="144" t="s">
        <v>655</v>
      </c>
      <c r="C9" s="133">
        <v>1300</v>
      </c>
      <c r="D9" s="101" t="s">
        <v>644</v>
      </c>
    </row>
    <row r="11" spans="1:15" x14ac:dyDescent="0.25">
      <c r="A11" s="159" t="s">
        <v>656</v>
      </c>
      <c r="B11" s="153"/>
      <c r="C11" s="153"/>
      <c r="D11" s="153"/>
    </row>
    <row r="12" spans="1:15" x14ac:dyDescent="0.25">
      <c r="A12" s="153"/>
      <c r="B12" s="153"/>
      <c r="C12" s="153"/>
      <c r="D12" s="153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>
      <selection sqref="A1:D1"/>
    </sheetView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162" t="s">
        <v>657</v>
      </c>
      <c r="B1" s="153"/>
      <c r="C1" s="153"/>
      <c r="D1" s="153"/>
    </row>
    <row r="3" spans="1:15" x14ac:dyDescent="0.25">
      <c r="A3" s="145" t="s">
        <v>638</v>
      </c>
      <c r="B3" s="145" t="s">
        <v>258</v>
      </c>
      <c r="C3" s="145" t="s">
        <v>658</v>
      </c>
      <c r="D3" s="145" t="s">
        <v>659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660</v>
      </c>
      <c r="B4" s="3">
        <f>ANEXOS!C4</f>
        <v>1200</v>
      </c>
      <c r="C4" s="27">
        <f>COFACE!$B$12</f>
        <v>3.3860000000000001</v>
      </c>
      <c r="D4" s="3">
        <f>B4*C4</f>
        <v>4063.2000000000003</v>
      </c>
    </row>
    <row r="5" spans="1:15" x14ac:dyDescent="0.25">
      <c r="A5" s="101" t="s">
        <v>645</v>
      </c>
      <c r="B5" s="133">
        <f>ANEXOS!C5</f>
        <v>1500</v>
      </c>
      <c r="C5" s="139">
        <f>COFACE!$B$12</f>
        <v>3.3860000000000001</v>
      </c>
      <c r="D5" s="133">
        <f>B5*C5</f>
        <v>5079</v>
      </c>
    </row>
    <row r="6" spans="1:15" x14ac:dyDescent="0.25">
      <c r="A6" t="s">
        <v>661</v>
      </c>
      <c r="B6" s="3">
        <f>ANEXOS!C6</f>
        <v>1800</v>
      </c>
      <c r="C6" s="27">
        <f>COFACE!$B$12</f>
        <v>3.3860000000000001</v>
      </c>
      <c r="D6" s="3">
        <f>B6*C6</f>
        <v>6094.8</v>
      </c>
    </row>
    <row r="7" spans="1:15" x14ac:dyDescent="0.25">
      <c r="A7" s="101" t="s">
        <v>264</v>
      </c>
      <c r="B7" s="133">
        <f>ANEXOS!C7</f>
        <v>400</v>
      </c>
      <c r="C7" s="139">
        <f>COFACE!$B$12</f>
        <v>3.3860000000000001</v>
      </c>
      <c r="D7" s="133">
        <f>B7*C7</f>
        <v>1354.4</v>
      </c>
    </row>
    <row r="8" spans="1:15" x14ac:dyDescent="0.25">
      <c r="A8" s="39" t="s">
        <v>662</v>
      </c>
      <c r="B8" s="40">
        <f>SUM(B4:B7)</f>
        <v>4900</v>
      </c>
      <c r="C8" s="39"/>
      <c r="D8" s="40">
        <f>SUM(D4:D7)</f>
        <v>16591.400000000001</v>
      </c>
    </row>
    <row r="10" spans="1:15" x14ac:dyDescent="0.25">
      <c r="A10" s="160" t="s">
        <v>663</v>
      </c>
      <c r="B10" s="153"/>
      <c r="C10" s="153"/>
      <c r="D10" s="153"/>
    </row>
    <row r="11" spans="1:15" x14ac:dyDescent="0.25">
      <c r="A11" s="153"/>
      <c r="B11" s="153"/>
      <c r="C11" s="153"/>
      <c r="D11" s="153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167" t="s">
        <v>664</v>
      </c>
      <c r="B1" s="153"/>
      <c r="C1" s="153"/>
      <c r="D1" s="153"/>
      <c r="E1" s="153"/>
      <c r="F1" s="153"/>
    </row>
    <row r="3" spans="1:6" x14ac:dyDescent="0.25">
      <c r="A3" s="100" t="s">
        <v>665</v>
      </c>
      <c r="B3" s="100" t="s">
        <v>666</v>
      </c>
      <c r="C3" s="100" t="s">
        <v>667</v>
      </c>
      <c r="D3" s="100" t="s">
        <v>668</v>
      </c>
      <c r="E3" s="100" t="s">
        <v>669</v>
      </c>
      <c r="F3" s="100" t="s">
        <v>670</v>
      </c>
    </row>
    <row r="4" spans="1:6" x14ac:dyDescent="0.25">
      <c r="A4" s="101" t="s">
        <v>671</v>
      </c>
      <c r="B4" s="101" t="s">
        <v>672</v>
      </c>
      <c r="C4" s="101" t="s">
        <v>673</v>
      </c>
      <c r="D4" s="101" t="s">
        <v>674</v>
      </c>
      <c r="E4" s="101" t="s">
        <v>675</v>
      </c>
      <c r="F4" s="101" t="s">
        <v>676</v>
      </c>
    </row>
    <row r="5" spans="1:6" x14ac:dyDescent="0.25">
      <c r="A5" s="101" t="s">
        <v>671</v>
      </c>
      <c r="B5" s="101" t="s">
        <v>677</v>
      </c>
      <c r="C5" s="101" t="s">
        <v>678</v>
      </c>
      <c r="D5" s="101" t="s">
        <v>679</v>
      </c>
      <c r="E5" s="101" t="s">
        <v>680</v>
      </c>
      <c r="F5" s="101" t="s">
        <v>681</v>
      </c>
    </row>
    <row r="6" spans="1:6" x14ac:dyDescent="0.25">
      <c r="A6" s="101" t="s">
        <v>671</v>
      </c>
      <c r="B6" s="101" t="s">
        <v>682</v>
      </c>
      <c r="C6" s="101" t="s">
        <v>683</v>
      </c>
      <c r="D6" s="101" t="s">
        <v>684</v>
      </c>
      <c r="E6" s="101" t="s">
        <v>685</v>
      </c>
      <c r="F6" s="101" t="s">
        <v>686</v>
      </c>
    </row>
    <row r="7" spans="1:6" x14ac:dyDescent="0.25">
      <c r="A7" s="101" t="s">
        <v>687</v>
      </c>
      <c r="B7" s="101" t="s">
        <v>688</v>
      </c>
      <c r="C7" s="101" t="s">
        <v>689</v>
      </c>
      <c r="D7" s="101" t="s">
        <v>690</v>
      </c>
      <c r="E7" s="101" t="s">
        <v>691</v>
      </c>
      <c r="F7" s="101" t="s">
        <v>692</v>
      </c>
    </row>
    <row r="8" spans="1:6" x14ac:dyDescent="0.25">
      <c r="A8" s="101" t="s">
        <v>693</v>
      </c>
      <c r="B8" s="101" t="s">
        <v>694</v>
      </c>
      <c r="C8" s="101" t="s">
        <v>695</v>
      </c>
      <c r="D8" s="101" t="s">
        <v>696</v>
      </c>
      <c r="E8" s="101" t="s">
        <v>697</v>
      </c>
      <c r="F8" s="101" t="s">
        <v>698</v>
      </c>
    </row>
    <row r="9" spans="1:6" x14ac:dyDescent="0.25">
      <c r="A9" s="101" t="s">
        <v>699</v>
      </c>
      <c r="B9" s="101" t="s">
        <v>700</v>
      </c>
      <c r="C9" s="101" t="s">
        <v>701</v>
      </c>
      <c r="D9" s="101" t="s">
        <v>702</v>
      </c>
      <c r="E9" s="101" t="s">
        <v>703</v>
      </c>
      <c r="F9" s="101" t="s">
        <v>704</v>
      </c>
    </row>
    <row r="10" spans="1:6" x14ac:dyDescent="0.25">
      <c r="A10" s="101" t="s">
        <v>699</v>
      </c>
      <c r="B10" s="101" t="s">
        <v>705</v>
      </c>
      <c r="C10" s="101" t="s">
        <v>706</v>
      </c>
      <c r="D10" s="101" t="s">
        <v>707</v>
      </c>
      <c r="E10" s="101" t="s">
        <v>708</v>
      </c>
      <c r="F10" s="101" t="s">
        <v>709</v>
      </c>
    </row>
    <row r="11" spans="1:6" x14ac:dyDescent="0.25">
      <c r="A11" s="101" t="s">
        <v>710</v>
      </c>
      <c r="B11" s="101" t="s">
        <v>711</v>
      </c>
      <c r="C11" s="101" t="s">
        <v>712</v>
      </c>
      <c r="D11" s="101" t="s">
        <v>713</v>
      </c>
      <c r="E11" s="101" t="s">
        <v>714</v>
      </c>
      <c r="F11" s="101" t="s">
        <v>686</v>
      </c>
    </row>
    <row r="12" spans="1:6" x14ac:dyDescent="0.25">
      <c r="A12" s="101" t="s">
        <v>710</v>
      </c>
      <c r="B12" s="101" t="s">
        <v>715</v>
      </c>
      <c r="C12" s="101" t="s">
        <v>716</v>
      </c>
      <c r="D12" s="101" t="s">
        <v>717</v>
      </c>
      <c r="E12" s="101" t="s">
        <v>718</v>
      </c>
      <c r="F12" s="101" t="s">
        <v>686</v>
      </c>
    </row>
    <row r="13" spans="1:6" x14ac:dyDescent="0.25">
      <c r="A13" s="101" t="s">
        <v>693</v>
      </c>
      <c r="B13" s="101" t="s">
        <v>719</v>
      </c>
      <c r="C13" s="101" t="s">
        <v>720</v>
      </c>
      <c r="D13" s="101" t="s">
        <v>721</v>
      </c>
      <c r="E13" s="101" t="s">
        <v>722</v>
      </c>
      <c r="F13" s="101" t="s">
        <v>723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167" t="s">
        <v>724</v>
      </c>
      <c r="B1" s="153"/>
      <c r="C1" s="153"/>
      <c r="D1" s="153"/>
      <c r="E1" s="153"/>
      <c r="F1" s="153"/>
      <c r="G1" s="153"/>
    </row>
    <row r="3" spans="1:7" x14ac:dyDescent="0.25">
      <c r="A3" s="100" t="s">
        <v>725</v>
      </c>
      <c r="B3" s="100" t="s">
        <v>726</v>
      </c>
      <c r="C3" s="100" t="s">
        <v>727</v>
      </c>
      <c r="D3" s="100" t="s">
        <v>728</v>
      </c>
      <c r="E3" s="100" t="s">
        <v>729</v>
      </c>
      <c r="F3" s="100" t="s">
        <v>730</v>
      </c>
      <c r="G3" s="100" t="s">
        <v>731</v>
      </c>
    </row>
    <row r="4" spans="1:7" x14ac:dyDescent="0.25">
      <c r="A4" s="101" t="s">
        <v>732</v>
      </c>
      <c r="B4" s="103">
        <f>SEGMENTACION!C18</f>
        <v>143</v>
      </c>
      <c r="C4" s="103">
        <f>'PROYECCION DE VENTAS'!B19</f>
        <v>143</v>
      </c>
      <c r="D4" s="103">
        <f t="shared" ref="D4:D13" si="0">B4-C4</f>
        <v>0</v>
      </c>
      <c r="E4" s="103">
        <v>0.01</v>
      </c>
      <c r="F4" s="102" t="str">
        <f>IF(ABS(D4)&lt;=E4,"OK","REVISAR")</f>
        <v>OK</v>
      </c>
      <c r="G4" s="101" t="s">
        <v>733</v>
      </c>
    </row>
    <row r="5" spans="1:7" x14ac:dyDescent="0.25">
      <c r="A5" s="101" t="s">
        <v>734</v>
      </c>
      <c r="B5" s="104">
        <f>'PROYECCION DE VENTAS'!D33</f>
        <v>1</v>
      </c>
      <c r="C5" s="104">
        <f>1</f>
        <v>1</v>
      </c>
      <c r="D5" s="104">
        <f t="shared" si="0"/>
        <v>0</v>
      </c>
      <c r="E5" s="103">
        <v>1E-3</v>
      </c>
      <c r="F5" s="102" t="str">
        <f>IF(ABS(D5)&lt;=E5,"OK","REVISAR")</f>
        <v>OK</v>
      </c>
      <c r="G5" s="101" t="s">
        <v>735</v>
      </c>
    </row>
    <row r="6" spans="1:7" x14ac:dyDescent="0.25">
      <c r="A6" s="101" t="s">
        <v>736</v>
      </c>
      <c r="B6" s="103">
        <f>INVERSION!D56</f>
        <v>34147.215722448986</v>
      </c>
      <c r="C6" s="103">
        <f>0</f>
        <v>0</v>
      </c>
      <c r="D6" s="103">
        <f t="shared" si="0"/>
        <v>34147.215722448986</v>
      </c>
      <c r="E6" s="103">
        <v>0</v>
      </c>
      <c r="F6" s="102" t="str">
        <f>IF(B6&gt;0,"OK","REVISAR")</f>
        <v>OK</v>
      </c>
      <c r="G6" s="101" t="s">
        <v>737</v>
      </c>
    </row>
    <row r="7" spans="1:7" x14ac:dyDescent="0.25">
      <c r="A7" s="101" t="s">
        <v>738</v>
      </c>
      <c r="B7" s="103">
        <f>-'FLUJO DE CAJA'!C56</f>
        <v>34147.215722448986</v>
      </c>
      <c r="C7" s="103">
        <f>INVERSION!D56</f>
        <v>34147.215722448986</v>
      </c>
      <c r="D7" s="103">
        <f t="shared" si="0"/>
        <v>0</v>
      </c>
      <c r="E7" s="103">
        <v>0.01</v>
      </c>
      <c r="F7" s="102" t="str">
        <f>IF(ABS(D7)&lt;=E7,"OK","REVISAR")</f>
        <v>OK</v>
      </c>
      <c r="G7" s="101" t="s">
        <v>739</v>
      </c>
    </row>
    <row r="8" spans="1:7" x14ac:dyDescent="0.25">
      <c r="A8" s="101" t="s">
        <v>740</v>
      </c>
      <c r="B8" s="103">
        <f>'FLUJO DE CAJA'!E57</f>
        <v>65922.318865491994</v>
      </c>
      <c r="C8" s="103">
        <f>'CAPITAL DE TRABAJO'!B11</f>
        <v>65922.318865491994</v>
      </c>
      <c r="D8" s="103">
        <f t="shared" si="0"/>
        <v>0</v>
      </c>
      <c r="E8" s="103">
        <v>0.01</v>
      </c>
      <c r="F8" s="102" t="str">
        <f>IF(ABS(D8)&lt;=E8,"OK","REVISAR")</f>
        <v>OK</v>
      </c>
      <c r="G8" s="101" t="s">
        <v>741</v>
      </c>
    </row>
    <row r="9" spans="1:7" x14ac:dyDescent="0.25">
      <c r="A9" s="101" t="s">
        <v>742</v>
      </c>
      <c r="B9" s="104">
        <f>'G. EXPORT'!D46</f>
        <v>1.6808040816326533</v>
      </c>
      <c r="C9" s="104">
        <f>('G. EXPORT'!D44-'G. EXPORT'!D48)/'G. EXPORT'!D17</f>
        <v>1.6808040816326533</v>
      </c>
      <c r="D9" s="104">
        <f t="shared" si="0"/>
        <v>0</v>
      </c>
      <c r="E9" s="103">
        <v>1E-4</v>
      </c>
      <c r="F9" s="102" t="str">
        <f>IF(ABS(D9)&lt;=E9,"OK","REVISAR")</f>
        <v>OK</v>
      </c>
      <c r="G9" s="101" t="s">
        <v>743</v>
      </c>
    </row>
    <row r="10" spans="1:7" x14ac:dyDescent="0.25">
      <c r="A10" s="101" t="s">
        <v>744</v>
      </c>
      <c r="B10" s="103">
        <f>SUM(INVERSION!E5:E8)</f>
        <v>17</v>
      </c>
      <c r="C10" s="103">
        <f>17</f>
        <v>17</v>
      </c>
      <c r="D10" s="103">
        <f t="shared" si="0"/>
        <v>0</v>
      </c>
      <c r="E10" s="103">
        <v>0.01</v>
      </c>
      <c r="F10" s="102" t="str">
        <f>IF(ABS(D10)&lt;=E10,"OK","REVISAR")</f>
        <v>OK</v>
      </c>
      <c r="G10" s="101" t="s">
        <v>745</v>
      </c>
    </row>
    <row r="11" spans="1:7" x14ac:dyDescent="0.25">
      <c r="A11" s="101" t="s">
        <v>746</v>
      </c>
      <c r="B11" s="103">
        <f>'FLUJO DE CAJA'!B61</f>
        <v>24314.692297038935</v>
      </c>
      <c r="C11" s="103">
        <f>0</f>
        <v>0</v>
      </c>
      <c r="D11" s="103">
        <f t="shared" si="0"/>
        <v>24314.692297038935</v>
      </c>
      <c r="E11" s="103">
        <v>0</v>
      </c>
      <c r="F11" s="102" t="str">
        <f>IF(B11&gt;0,"OK","REVISAR")</f>
        <v>OK</v>
      </c>
      <c r="G11" s="101" t="s">
        <v>747</v>
      </c>
    </row>
    <row r="12" spans="1:7" x14ac:dyDescent="0.25">
      <c r="A12" s="101" t="s">
        <v>748</v>
      </c>
      <c r="B12" s="104">
        <f>'FLUJO DE CAJA'!B62</f>
        <v>0.28715972917183041</v>
      </c>
      <c r="C12" s="104">
        <f>'FLUJO DE CAJA'!B43</f>
        <v>0.2</v>
      </c>
      <c r="D12" s="104">
        <f t="shared" si="0"/>
        <v>8.7159729171830402E-2</v>
      </c>
      <c r="E12" s="103">
        <v>0</v>
      </c>
      <c r="F12" s="102" t="str">
        <f>IF(B12&gt;C12,"OK","REVISAR")</f>
        <v>OK</v>
      </c>
      <c r="G12" s="101" t="s">
        <v>749</v>
      </c>
    </row>
    <row r="13" spans="1:7" x14ac:dyDescent="0.25">
      <c r="A13" s="101" t="s">
        <v>750</v>
      </c>
      <c r="B13" s="103">
        <f>'RESUMEN FINANCIERO'!B15</f>
        <v>25721.825007520121</v>
      </c>
      <c r="C13" s="103">
        <f>0</f>
        <v>0</v>
      </c>
      <c r="D13" s="103">
        <f t="shared" si="0"/>
        <v>25721.825007520121</v>
      </c>
      <c r="E13" s="103">
        <v>0</v>
      </c>
      <c r="F13" s="102" t="str">
        <f>IF(B13&gt;0,"OK","REVISAR")</f>
        <v>OK</v>
      </c>
      <c r="G13" s="101" t="s">
        <v>751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Mozombite</cp:lastModifiedBy>
  <cp:revision/>
  <dcterms:created xsi:type="dcterms:W3CDTF">2026-06-23T04:27:32Z</dcterms:created>
  <dcterms:modified xsi:type="dcterms:W3CDTF">2026-06-24T22:36:27Z</dcterms:modified>
  <cp:category/>
  <cp:contentStatus/>
</cp:coreProperties>
</file>