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ad713ac88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TULA" sheetId="1" r:id="R7475421024a34718"/>
    <x:sheet xmlns:r="http://schemas.openxmlformats.org/officeDocument/2006/relationships" name="PRESENTACION" sheetId="2" r:id="R7402f6f915eb41fb"/>
    <x:sheet xmlns:r="http://schemas.openxmlformats.org/officeDocument/2006/relationships" name="FICHA TECNICA" sheetId="3" r:id="R47aaafd449714c65"/>
    <x:sheet xmlns:r="http://schemas.openxmlformats.org/officeDocument/2006/relationships" name="COMPETIDORES" sheetId="4" r:id="R666dc8be68fb45ba"/>
    <x:sheet xmlns:r="http://schemas.openxmlformats.org/officeDocument/2006/relationships" name="SEGMENTACION" sheetId="5" r:id="R14c518c8b6d14063"/>
    <x:sheet xmlns:r="http://schemas.openxmlformats.org/officeDocument/2006/relationships" name="C. PRODUCCION" sheetId="6" r:id="R7d4f5d4ca13b4505"/>
    <x:sheet xmlns:r="http://schemas.openxmlformats.org/officeDocument/2006/relationships" name="G. EXPORT" sheetId="7" r:id="Rc4973df343634ea8"/>
    <x:sheet xmlns:r="http://schemas.openxmlformats.org/officeDocument/2006/relationships" name="CAPITAL DE TRABAJO" sheetId="8" r:id="R755b6a7662214806"/>
    <x:sheet xmlns:r="http://schemas.openxmlformats.org/officeDocument/2006/relationships" name="INVERSION" sheetId="9" r:id="Rac0272f987074b89"/>
    <x:sheet xmlns:r="http://schemas.openxmlformats.org/officeDocument/2006/relationships" name="PROYECCION DE VENTAS" sheetId="10" r:id="R3a50e84164b2401c"/>
    <x:sheet xmlns:r="http://schemas.openxmlformats.org/officeDocument/2006/relationships" name="G. VENTAS" sheetId="11" r:id="Rd92e2df07f7d41e8"/>
    <x:sheet xmlns:r="http://schemas.openxmlformats.org/officeDocument/2006/relationships" name="GASTOS ADMINISTRATIVOS" sheetId="12" r:id="R65314b2d6112401c"/>
    <x:sheet xmlns:r="http://schemas.openxmlformats.org/officeDocument/2006/relationships" name="FLUJO DE CAJA" sheetId="13" r:id="Rb8a9ffb94ce246d3"/>
    <x:sheet xmlns:r="http://schemas.openxmlformats.org/officeDocument/2006/relationships" name="RESUMEN ECONOMICO" sheetId="14" r:id="Ra5858d91ddcc470a"/>
    <x:sheet xmlns:r="http://schemas.openxmlformats.org/officeDocument/2006/relationships" name="RESUMEN FINANCIERO" sheetId="15" r:id="Rce056d1b86504e03"/>
    <x:sheet xmlns:r="http://schemas.openxmlformats.org/officeDocument/2006/relationships" name="COFACE" sheetId="16" r:id="R4a0bc4b8a20c40f2"/>
    <x:sheet xmlns:r="http://schemas.openxmlformats.org/officeDocument/2006/relationships" name="ANEXOS" sheetId="17" r:id="R351c9f697c02403a"/>
    <x:sheet xmlns:r="http://schemas.openxmlformats.org/officeDocument/2006/relationships" name="COTIZACIONES" sheetId="18" r:id="R0117c2a65f5a4b2f"/>
    <x:sheet xmlns:r="http://schemas.openxmlformats.org/officeDocument/2006/relationships" name="JUSTIFICACION" sheetId="19" r:id="R0031af9fd5f74ef1"/>
    <x:sheet xmlns:r="http://schemas.openxmlformats.org/officeDocument/2006/relationships" name="CHECKS" sheetId="20" r:id="R2cd276efac254434"/>
  </x:sheets>
</x:workbook>
</file>

<file path=xl/sharedStrings.xml><?xml version="1.0" encoding="utf-8"?>
<x:sst xmlns:x="http://schemas.openxmlformats.org/spreadsheetml/2006/main">
  <x:si>
    <x:t xml:space="preserve">PLAN MAESTRO FINANCIERO</x:t>
  </x:si>
  <x:si>
    <x:t xml:space="preserve">GLOBAL EVENT IMPORTS S.A.C.</x:t>
  </x:si>
  <x:si>
    <x:t xml:space="preserve">Evidencia de Aprendizaje 2 (EA2) - Análisis de Viabilidad</x:t>
  </x:si>
  <x:si>
    <x:t xml:space="preserve">INTEGRANTES (100% participación):</x:t>
  </x:si>
  <x:si>
    <x:t xml:space="preserve">Jahir Azael Castillo Paucas</x:t>
  </x:si>
  <x:si>
    <x:t xml:space="preserve">Jostin Alexander Chávez Estela</x:t>
  </x:si>
  <x:si>
    <x:t xml:space="preserve">Marilin Andrea Medina Apolinario</x:t>
  </x:si>
  <x:si>
    <x:t xml:space="preserve">Eric Laureano Mozombite Shishco</x:t>
  </x:si>
  <x:si>
    <x:t xml:space="preserve">María Fernanda Ruiz Luna</x:t>
  </x:si>
  <x:si>
    <x:t xml:space="preserve">Docente: Mg. Jaime Orlando Chávez Tasayco</x:t>
  </x:si>
  <x:si>
    <x:t xml:space="preserve">Sección: 26-2-564P-A</x:t>
  </x:si>
  <x:si>
    <x:t xml:space="preserve">Carrera: Administración y Gestión de Negocios Internacionales</x:t>
  </x:si>
  <x:si>
    <x:t xml:space="preserve">Lima, Perú | Ciclo 2026-II</x:t>
  </x:si>
  <x:si>
    <x:t xml:space="preserve">PRESENTACIÓN  -  GLOBAL EVENT IMPORTS S.A.C.</x:t>
  </x:si>
  <x:si>
    <x:t xml:space="preserve">DESCRIPCIÓN DEL NEGOCIO</x:t>
  </x:si>
  <x:si>
    <x:t xml:space="preserve">Global Event Imports S.A.C. es una empresa importadora y proveedora de servicios B2B, especializada en el alquiler y la operación de ecosistemas tecnológicos interactivos para eventos sociales y corporativos de alta gama en el Perú.</x:t>
  </x:si>
  <x:si>
    <x:t xml:space="preserve">Modelo de negocio: importamos hardware desde Shenzhen y Guangzhou (China) y lo operamos localmente bajo la modalidad de activos fijos (CAPEX) reusables, reduciendo la merma física (10-15%) característica de la decoración tradicional de eventos.</x:t>
  </x:si>
  <x:si>
    <x:t xml:space="preserve">Mercado objetivo: Wedding Planners y productoras de eventos corporativos, segmento A/B de Lima Metropolitana.</x:t>
  </x:si>
  <x:si>
    <x:t xml:space="preserve">Diferenciales: OTIF 96%  -  disponibilidad técnica 98%  -  descarga de contenido digital en menos de 12 segundos  -  4 líneas de producto integradas.</x:t>
  </x:si>
  <x:si>
    <x:t xml:space="preserve">FICHA TÉCNICA DE PRODUCTOS - GLOBAL EVENT IMPORTS S.A.C.</x:t>
  </x:si>
  <x:si>
    <x:t xml:space="preserve">ATRIBUTO</x:t>
  </x:si>
  <x:si>
    <x:t xml:space="preserve">Línea 1: Glam &amp; Motion (360°)</x:t>
  </x:si>
  <x:si>
    <x:t xml:space="preserve">Línea 2: Interactive Mirror &amp; Tótems</x:t>
  </x:si>
  <x:si>
    <x:t xml:space="preserve">Línea 3: Immersive Booths (LED)</x:t>
  </x:si>
  <x:si>
    <x:t xml:space="preserve">Línea 4: Audio-Guestbooks</x:t>
  </x:si>
  <x:si>
    <x:t xml:space="preserve">Partida Arancelaria</x:t>
  </x:si>
  <x:si>
    <x:t xml:space="preserve">8479.89.90.00</x:t>
  </x:si>
  <x:si>
    <x:t xml:space="preserve">8471.41.00.00</x:t>
  </x:si>
  <x:si>
    <x:t xml:space="preserve">8531.20.00.00</x:t>
  </x:si>
  <x:si>
    <x:t xml:space="preserve">8519.81.90.00</x:t>
  </x:si>
  <x:si>
    <x:t xml:space="preserve">Descripción Arancelaria</x:t>
  </x:si>
  <x:si>
    <x:t xml:space="preserve">Maquinas y aparatos mecanicos con funcion propia, no expresados en otra parte del capitulo 84</x:t>
  </x:si>
  <x:si>
    <x:t xml:space="preserve">Maquinas automaticas para tratamiento de datos que incluyan unidad central de tratamiento, unidad de entrada y salida en la misma envoltura</x:t>
  </x:si>
  <x:si>
    <x:t xml:space="preserve">Paneles indicadores con diodos emisores de luz (LED) - Los demas</x:t>
  </x:si>
  <x:si>
    <x:t xml:space="preserve">Aparatos de grabación o reproducción de sonido de soporte semiconductor</x:t>
  </x:si>
  <x:si>
    <x:t xml:space="preserve">Nombre Comercial</x:t>
  </x:si>
  <x:si>
    <x:t xml:space="preserve">Plataforma Giratoria 360°</x:t>
  </x:si>
  <x:si>
    <x:t xml:space="preserve">Espejo Mágico Táctil &amp; Tótem Slim</x:t>
  </x:si>
  <x:si>
    <x:t xml:space="preserve">Cabina Inflable Inmersiva LED</x:t>
  </x:si>
  <x:si>
    <x:t xml:space="preserve">Teléfono Audio-Guestbook Vintage</x:t>
  </x:si>
  <x:si>
    <x:t xml:space="preserve">Marca</x:t>
  </x:si>
  <x:si>
    <x:t xml:space="preserve">Global Event - Glam</x:t>
  </x:si>
  <x:si>
    <x:t xml:space="preserve">Global Event - Mirror</x:t>
  </x:si>
  <x:si>
    <x:t xml:space="preserve">Global Event - Booth</x:t>
  </x:si>
  <x:si>
    <x:t xml:space="preserve">Global Event - Guestbook</x:t>
  </x:si>
  <x:si>
    <x:t xml:space="preserve">Composición</x:t>
  </x:si>
  <x:si>
    <x:t xml:space="preserve">Brazo de acero y fibra de carbono, motor eléctrico de torque constante, adaptador GoPro</x:t>
  </x:si>
  <x:si>
    <x:t xml:space="preserve">Panel táctil LED Slim, espejo templado reflectante, impresora de sublimación térmica</x:t>
  </x:si>
  <x:si>
    <x:t xml:space="preserve">Lona Oxford reforzada, cintas LED RGB direccionables, soplador de aire silencioso</x:t>
  </x:si>
  <x:si>
    <x:t xml:space="preserve">Carcasa de resina vintage, circuito electrónico integrado, micrófono de condensador, tarjeta SD</x:t>
  </x:si>
  <x:si>
    <x:t xml:space="preserve">Condiciones de almacenaje</x:t>
  </x:si>
  <x:si>
    <x:t xml:space="preserve">Almacén seco en Lima, en flight cases reforzados anti-humedad y golpes</x:t>
  </x:si>
  <x:si>
    <x:t xml:space="preserve">Posición vertical en estante acolchado Clase A, fundas protectoras de neopreno</x:t>
  </x:si>
  <x:si>
    <x:t xml:space="preserve">Plegado en bolsas impermeables, libre de humedad e insectos</x:t>
  </x:si>
  <x:si>
    <x:t xml:space="preserve">Caja acolchada individual, evitar campos magnéticos y humedad</x:t>
  </x:si>
  <x:si>
    <x:t xml:space="preserve">Empaque de Importación</x:t>
  </x:si>
  <x:si>
    <x:t xml:space="preserve">Flight Case reforzado con esquinas de aluminio y espuma de alta densidad</x:t>
  </x:si>
  <x:si>
    <x:t xml:space="preserve">Flight Case de madera contrachapada con ruedas y espuma amortiguadora</x:t>
  </x:si>
  <x:si>
    <x:t xml:space="preserve">Caja de cartón corrugado de doble pared con espuma protectora EPE</x:t>
  </x:si>
  <x:si>
    <x:t xml:space="preserve">Caja de cartón reforzado con moldes de espuma EVA</x:t>
  </x:si>
  <x:si>
    <x:t xml:space="preserve">Presentación / Dimensión</x:t>
  </x:si>
  <x:si>
    <x:t xml:space="preserve">Plataforma de 100 cm de diámetro para hasta 4 personas, peso 45 kg</x:t>
  </x:si>
  <x:si>
    <x:t xml:space="preserve">Pantalla de 55 pulgadas táctil interactiva, peso 35 kg</x:t>
  </x:si>
  <x:si>
    <x:t xml:space="preserve">Cabina inflable de 2.5m x 2.5m x 2.5m con soplador interno</x:t>
  </x:si>
  <x:si>
    <x:t xml:space="preserve">Teléfono de mesa modelo retro de 25cm x 15cm x 15cm, peso 1.5 kg</x:t>
  </x:si>
  <x:si>
    <x:t xml:space="preserve">Vida Útil Proyectada</x:t>
  </x:si>
  <x:si>
    <x:t xml:space="preserve">5 años (60 meses) bajo mantenimiento preventivo semanal</x:t>
  </x:si>
  <x:si>
    <x:t xml:space="preserve">4 años (48 meses) con calibración periódica de pantalla táctil</x:t>
  </x:si>
  <x:si>
    <x:t xml:space="preserve">3 años (36 meses) de operación continua (reemplazo de LED si fallan)</x:t>
  </x:si>
  <x:si>
    <x:t xml:space="preserve">5 años (60 meses) de operación técnica</x:t>
  </x:si>
  <x:si>
    <x:t xml:space="preserve">Certificaciones</x:t>
  </x:si>
  <x:si>
    <x:t xml:space="preserve">CE, RoHS, FCC, ISO 9001 (Proveedor Shenzhen)</x:t>
  </x:si>
  <x:si>
    <x:t xml:space="preserve">CE, RoHS, UL, ISO 9001 (Proveedor Shenzhen)</x:t>
  </x:si>
  <x:si>
    <x:t xml:space="preserve">CE, RoHS, UL, Certificado Ignífugo NFPA 701</x:t>
  </x:si>
  <x:si>
    <x:t xml:space="preserve">CE, RoHS, FCC</x:t>
  </x:si>
  <x:si>
    <x:t xml:space="preserve">Zonas de Producción</x:t>
  </x:si>
  <x:si>
    <x:t xml:space="preserve">Shenzhen (Guangdong, China)</x:t>
  </x:si>
  <x:si>
    <x:t xml:space="preserve">Guangzhou (Guangdong, China)</x:t>
  </x:si>
  <x:si>
    <x:t xml:space="preserve">Régimen de Importación</x:t>
  </x:si>
  <x:si>
    <x:t xml:space="preserve">Mercancía No Restringida (Despacho Anticipado Callao)</x:t>
  </x:si>
  <x:si>
    <x:t xml:space="preserve">Unidades a importar</x:t>
  </x:si>
  <x:si>
    <x:t xml:space="preserve">MARCO REGULATORIO DE IMPORTACIÓN (Entidades Gubernamentales del Perú)</x:t>
  </x:si>
  <x:si>
    <x:t xml:space="preserve">ENTIDAD</x:t>
  </x:si>
  <x:si>
    <x:t xml:space="preserve">COMPETENCIA REGULATORIA SOBRE NUESTROS PRODUCTOS</x:t>
  </x:si>
  <x:si>
    <x:t xml:space="preserve">ENLACE OFICIAL</x:t>
  </x:si>
  <x:si>
    <x:t xml:space="preserve">SUNAT - Aduanas</x:t>
  </x:si>
  <x:si>
    <x:t xml:space="preserve">Clasificación arancelaria y régimen de importación (Despacho Anticipado en el Callao) de los 4 productos.</x:t>
  </x:si>
  <x:si>
    <x:t xml:space="preserve">Arancel SUNAT - Aduanet</x:t>
  </x:si>
  <x:si>
    <x:t xml:space="preserve">MTC - Homologación</x:t>
  </x:si>
  <x:si>
    <x:t xml:space="preserve">Certificado obligatorio para equipos que emiten radiofrecuencia: routers Multi-Carrier, cámaras 360°, espejos y cabinas con WiFi/subida a la nube y audio digital.</x:t>
  </x:si>
  <x:si>
    <x:t xml:space="preserve">MTC - Solicitar homologación</x:t>
  </x:si>
  <x:si>
    <x:t xml:space="preserve">MTC - Consulta de equipos homologados</x:t>
  </x:si>
  <x:si>
    <x:t xml:space="preserve">Verificación en línea de si la marca y modelo del equipo ya cuenta con homologación vigente.</x:t>
  </x:si>
  <x:si>
    <x:t xml:space="preserve">MTC - Consulta de homologados</x:t>
  </x:si>
  <x:si>
    <x:t xml:space="preserve">MINAM - RAEE (D.S. 009-2019-MINAM)</x:t>
  </x:si>
  <x:si>
    <x:t xml:space="preserve">Régimen de gestión de Residuos de Aparatos Eléctricos y Electrónicos; obligaciones del importador de AEE.</x:t>
  </x:si>
  <x:si>
    <x:t xml:space="preserve">MINAM - Régimen RAEE</x:t>
  </x:si>
  <x:si>
    <x:t xml:space="preserve">INDECOPI</x:t>
  </x:si>
  <x:si>
    <x:t xml:space="preserve">Registro de la marca propia (Global Event) y reglamentos técnicos de seguridad de productos eléctricos.</x:t>
  </x:si>
  <x:si>
    <x:t xml:space="preserve">INDECOPI - Registro de marca</x:t>
  </x:si>
  <x:si>
    <x:t xml:space="preserve">VUCE</x:t>
  </x:si>
  <x:si>
    <x:t xml:space="preserve">Ventanilla Única de Comercio Exterior: gestión de la solicitud de homologación MTC y permisos de importación.</x:t>
  </x:si>
  <x:si>
    <x:t xml:space="preserve">VUCE - Comercio Exterior</x:t>
  </x:si>
  <x:si>
    <x:t xml:space="preserve">REFERENCIAS COMERCIALES (Cotización de Proveedores - China)</x:t>
  </x:si>
  <x:si>
    <x:t xml:space="preserve">PRODUCTO</x:t>
  </x:si>
  <x:si>
    <x:t xml:space="preserve">FUENTE</x:t>
  </x:si>
  <x:si>
    <x:t xml:space="preserve">ENLACE</x:t>
  </x:si>
  <x:si>
    <x:t xml:space="preserve">Plataformas 360°</x:t>
  </x:si>
  <x:si>
    <x:t xml:space="preserve">Alibaba - 360 Photo Booth</x:t>
  </x:si>
  <x:si>
    <x:t xml:space="preserve">Ver cotizacion</x:t>
  </x:si>
  <x:si>
    <x:t xml:space="preserve">Espejos Interactivos / Tótems</x:t>
  </x:si>
  <x:si>
    <x:t xml:space="preserve">Alibaba - Smart Mirror Photo Booth</x:t>
  </x:si>
  <x:si>
    <x:t xml:space="preserve">Cabinas LED Inflables</x:t>
  </x:si>
  <x:si>
    <x:t xml:space="preserve">Alibaba - LED Inflatable Photo Booth</x:t>
  </x:si>
  <x:si>
    <x:t xml:space="preserve">Audio-Guestbooks</x:t>
  </x:si>
  <x:si>
    <x:t xml:space="preserve">Alibaba - Audio Guest Book Wedding</x:t>
  </x:si>
  <x:si>
    <x:t xml:space="preserve">ANÁLISIS DE COMPETIDORES - MERCADO DE EVENTOS PREMIUM (LIMA)</x:t>
  </x:si>
  <x:si>
    <x:t xml:space="preserve">COMPETIDOR</x:t>
  </x:si>
  <x:si>
    <x:t xml:space="preserve">SERVICIOS / LÍNEAS</x:t>
  </x:si>
  <x:si>
    <x:t xml:space="preserve">TICKET REFERENCIAL</x:t>
  </x:si>
  <x:si>
    <x:t xml:space="preserve">FORTALEZA</x:t>
  </x:si>
  <x:si>
    <x:t xml:space="preserve">DEBILIDAD</x:t>
  </x:si>
  <x:si>
    <x:t xml:space="preserve">SITIO WEB</x:t>
  </x:si>
  <x:si>
    <x:t xml:space="preserve">FRK Studio</x:t>
  </x:si>
  <x:si>
    <x:t xml:space="preserve">Photobooth, 360°, fotos con IA, GIFs, photobooth móvil, llaveros (6 experiencias)</x:t>
  </x:si>
  <x:si>
    <x:t xml:space="preserve">Desde S/. 650 (2 h)</x:t>
  </x:si>
  <x:si>
    <x:t xml:space="preserve">+500 eventos, operadores certificados, impresión instantánea, galerías digitales</x:t>
  </x:si>
  <x:si>
    <x:t xml:space="preserve">Enfoque por equipo individual; sin servicio de audio-guestbook</x:t>
  </x:si>
  <x:si>
    <x:t xml:space="preserve">frkstudio.pe</x:t>
  </x:si>
  <x:si>
    <x:t xml:space="preserve">Espacio Digital 360</x:t>
  </x:si>
  <x:si>
    <x:t xml:space="preserve">iBooth Selfie, Plataforma 360°, Espejo Mágico 65", Tótem (4 equipos, con IA)</x:t>
  </x:si>
  <x:si>
    <x:t xml:space="preserve">Desde S/. 500-750 (2 h, sin IGV)</x:t>
  </x:si>
  <x:si>
    <x:t xml:space="preserve">IA integrada, clientes corporativos (BCP, L'Oréal, Unilever), cumple SCTR</x:t>
  </x:si>
  <x:si>
    <x:t xml:space="preserve">Sin audio-guestbook; competidor directo más fuerte</x:t>
  </x:si>
  <x:si>
    <x:t xml:space="preserve">espaciodigital360.com</x:t>
  </x:si>
  <x:si>
    <x:t xml:space="preserve">Selfie 360 Lima</x:t>
  </x:si>
  <x:si>
    <x:t xml:space="preserve">Plataforma 360° (especializado)</x:t>
  </x:si>
  <x:si>
    <x:t xml:space="preserve">Bajo cotización</x:t>
  </x:si>
  <x:si>
    <x:t xml:space="preserve">Especialización y precio en plataforma 360°</x:t>
  </x:si>
  <x:si>
    <x:t xml:space="preserve">Una sola línea de producto; sin diversificación</x:t>
  </x:si>
  <x:si>
    <x:t xml:space="preserve">selfie360lima.com</x:t>
  </x:si>
  <x:si>
    <x:t xml:space="preserve">Black Moustache</x:t>
  </x:si>
  <x:si>
    <x:t xml:space="preserve">Cabinas de fotos, cabinas 360°, plataformas de video</x:t>
  </x:si>
  <x:si>
    <x:t xml:space="preserve">Marca establecida en fotocabinas para eventos</x:t>
  </x:si>
  <x:si>
    <x:t xml:space="preserve">Portafolio limitado a cabinas; sin espejo ni audio</x:t>
  </x:si>
  <x:si>
    <x:t xml:space="preserve">fotocabinasenlima.com.pe</x:t>
  </x:si>
  <x:si>
    <x:t xml:space="preserve">GLOBAL EVENT IMPORTS (Nosotros)</x:t>
  </x:si>
  <x:si>
    <x:t xml:space="preserve">4 líneas integradas: Glam 360°, Espejo &amp; Tótem, Cabina LED, Audio-Guestbook</x:t>
  </x:si>
  <x:si>
    <x:t xml:space="preserve">Escalonado: S/. 700 (individual) a S/. 2,200 (full)</x:t>
  </x:si>
  <x:si>
    <x:t xml:space="preserve">Oferta escalonada (individual a full); ÚNICO con Audio-Guestbook; modelo B2B integral; OTIF 96%; descarga &lt;12 s</x:t>
  </x:si>
  <x:si>
    <x:t xml:space="preserve">Marca nueva por posicionar en el mercado</x:t>
  </x:si>
  <x:si>
    <x:t xml:space="preserve">(en desarrollo)</x:t>
  </x:si>
  <x:si>
    <x:t xml:space="preserve">Nota: Precios de competidores tomados de sus webs oficiales (jun. 2026), por equipo individual / 2 horas.</x:t>
  </x:si>
  <x:si>
    <x:t xml:space="preserve">Global Event maneja precios escalonados por paquete: Individual S/. 700 | Dúo S/. 1,250 | Trío S/. 1,750 | Full S/. 2,200. Ticket promedio ponderado: ~S/. 1,173 (mix 45/30/15/10, ver PROYECCION DE VENTAS).</x:t>
  </x:si>
  <x:si>
    <x:t xml:space="preserve">EMBUDO DE SEGMENTACION Y TAMANO DE MERCADO B2B - FUENTES ACTUALIZADAS</x:t>
  </x:si>
  <x:si>
    <x:t xml:space="preserve">CRITERIO DE SEGMENTACION</x:t>
  </x:si>
  <x:si>
    <x:t xml:space="preserve">PORCENTAJE (%)</x:t>
  </x:si>
  <x:si>
    <x:t xml:space="preserve">CANTIDAD</x:t>
  </x:si>
  <x:si>
    <x:t xml:space="preserve">MEDIDA</x:t>
  </x:si>
  <x:si>
    <x:t xml:space="preserve">FUENTE RELEVANTE (LINK DE CONSULTA)</x:t>
  </x:si>
  <x:si>
    <x:t xml:space="preserve">POBLACION DEL PAIS (PERU)</x:t>
  </x:si>
  <x:si>
    <x:t xml:space="preserve">PERSONAS</x:t>
  </x:si>
  <x:si>
    <x:t xml:space="preserve">INEI - Poblacion y vivienda: https://m.inei.gob.pe/estadisticas/indice-tematico/poblacion-y-vivienda/</x:t>
  </x:si>
  <x:si>
    <x:t xml:space="preserve">NICHO DE MERCADO (LIMA METROPOLITANA)</x:t>
  </x:si>
  <x:si>
    <x:t xml:space="preserve">INEI/Gob.pe - Lima 2025: https://www.gob.pe/institucion/inei/noticias/1087571-lima-supera-los-10-millones-400-mil-habitantes</x:t>
  </x:si>
  <x:si>
    <x:t xml:space="preserve">EDAD OBJETIVO (18 A 64 ANOS - PEA)</x:t>
  </x:si>
  <x:si>
    <x:t xml:space="preserve">INEI - Ocupacion y empleo: https://m.inei.gob.pe/estadisticas/indice-tematico/ocupacion-y-empleo/</x:t>
  </x:si>
  <x:si>
    <x:t xml:space="preserve">NIVEL SOCIOECONOMICO (NSE A/B)</x:t>
  </x:si>
  <x:si>
    <x:t xml:space="preserve">APEIM - NSE Peru: https://apeim.com.pe/</x:t>
  </x:si>
  <x:si>
    <x:t xml:space="preserve">PODER ADQUISITIVO (PEA OCUPADA EN A/B)</x:t>
  </x:si>
  <x:si>
    <x:t xml:space="preserve">INEI - Mercado laboral / PEA: https://m.inei.gob.pe/estadisticas/indice-tematico/ocupacion-y-empleo/</x:t>
  </x:si>
  <x:si>
    <x:t xml:space="preserve">INTERES EN TECNOLOGIA / EVENTOS INTERACTIVOS</x:t>
  </x:si>
  <x:si>
    <x:t xml:space="preserve">INEI ENAHO - consumo hogares: https://www.datosabiertos.gob.pe/dataset/encuesta-nacional-de-hogares-enaho-2024-instituto-nacional-de-estad%C3%ADstica-e-inform%C3%A1tica-inei</x:t>
  </x:si>
  <x:si>
    <x:t xml:space="preserve">CONSUMO PER CAPITA DE EVENTOS PREMIUM (ANUAL)</x:t>
  </x:si>
  <x:si>
    <x:t xml:space="preserve">EVENTOS</x:t>
  </x:si>
  <x:si>
    <x:t xml:space="preserve">Supuesto interno: tasa de conversion anual sobre publico interesado</x:t>
  </x:si>
  <x:si>
    <x:t xml:space="preserve">DEMANDA POTENCIAL DE EVENTOS</x:t>
  </x:si>
  <x:si>
    <x:t xml:space="preserve">EVENTOS/ANO</x:t>
  </x:si>
  <x:si>
    <x:t xml:space="preserve">Calculado: personas objetivo x consumo anual de eventos premium</x:t>
  </x:si>
  <x:si>
    <x:t xml:space="preserve">PRODUCCION NACIONAL (OFERTA LOCAL DE EVENTOS)</x:t>
  </x:si>
  <x:si>
    <x:t xml:space="preserve">SUNAT - Operatividad aduanera: https://www.sunat.gob.pe/operatividadaduanera/index.html</x:t>
  </x:si>
  <x:si>
    <x:t xml:space="preserve">IMPORTACION / TECNOLOGIA INTERACTIVA COMPLEMENTARIA</x:t>
  </x:si>
  <x:si>
    <x:t xml:space="preserve">Trade Map - comercio internacional: https://www.trademap.org/</x:t>
  </x:si>
  <x:si>
    <x:t xml:space="preserve">EXPORTACION / EVENTOS ATENDIDOS FUERA DEL MERCADO OBJETIVO</x:t>
  </x:si>
  <x:si>
    <x:t xml:space="preserve">Trade Map - servicios/comercio: https://www.trademap.org/</x:t>
  </x:si>
  <x:si>
    <x:t xml:space="preserve">DEMANDA APARENTE (OFERTA TOTAL DISPONIBLE)</x:t>
  </x:si>
  <x:si>
    <x:t xml:space="preserve">Formula: Produccion + Importacion - Exportacion</x:t>
  </x:si>
  <x:si>
    <x:t xml:space="preserve">DEMANDA INSATISFECHA EN EL MERCADO</x:t>
  </x:si>
  <x:si>
    <x:t xml:space="preserve">Formula: Demanda Potencial - Demanda Aparente</x:t>
  </x:si>
  <x:si>
    <x:t xml:space="preserve">PARTICIPACION REQUERIDA DE GLOBAL EVENT</x:t>
  </x:si>
  <x:si>
    <x:t xml:space="preserve">% SOBRE DEMANDA INSATISFECHA</x:t>
  </x:si>
  <x:si>
    <x:t xml:space="preserve">Formula: Eventos Año 1 / Demanda Insatisfecha; evita market share hardcodeado</x:t>
  </x:si>
  <x:si>
    <x:t xml:space="preserve">UNIDADES A CUBRIR ANUAL (EVENTOS META GLOBAL EVENT)</x:t>
  </x:si>
  <x:si>
    <x:t xml:space="preserve">EVENTOS META</x:t>
  </x:si>
  <x:si>
    <x:t xml:space="preserve">Redondeo de eventos meta requerido para calzar con PROYECCION DE VENTAS</x:t>
  </x:si>
  <x:si>
    <x:t xml:space="preserve">PERFIL DEL CLIENTE Y CANALES DE DISTRIBUCION (B2B)</x:t>
  </x:si>
  <x:si>
    <x:t xml:space="preserve">EMPRESA / REPOSITORIO DE EVENTOS</x:t>
  </x:si>
  <x:si>
    <x:t xml:space="preserve">TIPO DE ACTOR</x:t>
  </x:si>
  <x:si>
    <x:t xml:space="preserve">DESCRIPCION COMERCIAL / VALOR DE CANAL</x:t>
  </x:si>
  <x:si>
    <x:t xml:space="preserve">COBERTURA DE MERCADO</x:t>
  </x:si>
  <x:si>
    <x:t xml:space="preserve">ENLACE DE REFERENCIA (LINK DE CONSULTA)</x:t>
  </x:si>
  <x:si>
    <x:t xml:space="preserve">Grace Producciones</x:t>
  </x:si>
  <x:si>
    <x:t xml:space="preserve">Cliente B2B / Canal</x:t>
  </x:si>
  <x:si>
    <x:t xml:space="preserve">Productora de eventos y activaciones corporativas de alta gama.</x:t>
  </x:si>
  <x:si>
    <x:t xml:space="preserve">Nacional / Lima</x:t>
  </x:si>
  <x:si>
    <x:t xml:space="preserve">Grace Producciones: https://graceproducciones.com/</x:t>
  </x:si>
  <x:si>
    <x:t xml:space="preserve">Colmena Producciones</x:t>
  </x:si>
  <x:si>
    <x:t xml:space="preserve">Agencia productora especializada en eventos corporativos y activaciones B2B.</x:t>
  </x:si>
  <x:si>
    <x:t xml:space="preserve">Colmena Producciones: https://colmenaproducciones.com/</x:t>
  </x:si>
  <x:si>
    <x:t xml:space="preserve">Directorio inEventos</x:t>
  </x:si>
  <x:si>
    <x:t xml:space="preserve">Repositorio de Canales</x:t>
  </x:si>
  <x:si>
    <x:t xml:space="preserve">Directorio integral de productoras y organizadoras en Lima Metropolitana.</x:t>
  </x:si>
  <x:si>
    <x:t xml:space="preserve">Lima Metropolitana</x:t>
  </x:si>
  <x:si>
    <x:t xml:space="preserve">inEventos Lima: https://www.ineventos.com/pe/lima</x:t>
  </x:si>
  <x:si>
    <x:t xml:space="preserve">Directorio Ebombo</x:t>
  </x:si>
  <x:si>
    <x:t xml:space="preserve">Seleccion y analisis de las mejores productoras de eventos en Peru.</x:t>
  </x:si>
  <x:si>
    <x:t xml:space="preserve">Nacional</x:t>
  </x:si>
  <x:si>
    <x:t xml:space="preserve">Ebombo Blog: https://www.ebombo.com/blog/mejores-productoras-de-eventos-en-peru/</x:t>
  </x:si>
  <x:si>
    <x:t xml:space="preserve">Directorio Mercadillo</x:t>
  </x:si>
  <x:si>
    <x:t xml:space="preserve">Catalogo de empresas de eventos corporativos y activaciones B2B en Lima.</x:t>
  </x:si>
  <x:si>
    <x:t xml:space="preserve">Mercadillo Peru: https://www.mercadillo.pe/</x:t>
  </x:si>
  <x:si>
    <x:t xml:space="preserve">ESTRUCTURA DE COSTO VARIABLE POR SERVICIO - GLOBAL EVENT IMPORTS S.A.C.</x:t>
  </x:si>
  <x:si>
    <x:t xml:space="preserve">A. COSTOS UNITARIOS DE OPERACIÓN</x:t>
  </x:si>
  <x:si>
    <x:t xml:space="preserve">COMPONENTE</x:t>
  </x:si>
  <x:si>
    <x:t xml:space="preserve">APLICACIÓN</x:t>
  </x:si>
  <x:si>
    <x:t xml:space="preserve">COSTO (S/.)</x:t>
  </x:si>
  <x:si>
    <x:t xml:space="preserve">Transporte tercerizado de equipos (van + estiba)</x:t>
  </x:si>
  <x:si>
    <x:t xml:space="preserve">Por evento</x:t>
  </x:si>
  <x:si>
    <x:t xml:space="preserve">Internet móvil Multi-Carrier (router/datos)</x:t>
  </x:si>
  <x:si>
    <x:t xml:space="preserve">Consumibles fotográficos (papel térmico, tintas)</x:t>
  </x:si>
  <x:si>
    <x:t xml:space="preserve">Por equipo</x:t>
  </x:si>
  <x:si>
    <x:t xml:space="preserve">Operador tecnico (PLANILLA FIJA - ver GASTOS ADMIN)</x:t>
  </x:si>
  <x:si>
    <x:t xml:space="preserve">Planilla fija</x:t>
  </x:si>
  <x:si>
    <x:t xml:space="preserve">Costo fijo por evento (movilidad + internet)</x:t>
  </x:si>
  <x:si>
    <x:t xml:space="preserve">Costo incremental por equipo (solo consumibles)</x:t>
  </x:si>
  <x:si>
    <x:t xml:space="preserve">B. COSTO VARIABLE POR PAQUETE (según número de equipos operados)</x:t>
  </x:si>
  <x:si>
    <x:t xml:space="preserve">PAQUETE</x:t>
  </x:si>
  <x:si>
    <x:t xml:space="preserve">N° EQUIPOS</x:t>
  </x:si>
  <x:si>
    <x:t xml:space="preserve">COSTO FIJO / EVENTO</x:t>
  </x:si>
  <x:si>
    <x:t xml:space="preserve">COSTO POR EQUIPOS</x:t>
  </x:si>
  <x:si>
    <x:t xml:space="preserve">CV TOTAL</x:t>
  </x:si>
  <x:si>
    <x:t xml:space="preserve">Individual</x:t>
  </x:si>
  <x:si>
    <x:t xml:space="preserve">Dúo</x:t>
  </x:si>
  <x:si>
    <x:t xml:space="preserve">Trío</x:t>
  </x:si>
  <x:si>
    <x:t xml:space="preserve">Full (4 líneas)</x:t>
  </x:si>
  <x:si>
    <x:t xml:space="preserve">C. MARGEN DE CONTRIBUCIÓN Y PRECIO POR PAQUETE</x:t>
  </x:si>
  <x:si>
    <x:t xml:space="preserve">COSTO VARIABLE</x:t>
  </x:si>
  <x:si>
    <x:t xml:space="preserve">PRECIO FIJADO</x:t>
  </x:si>
  <x:si>
    <x:t xml:space="preserve">MARGEN CONTRIB. (S/.)</x:t>
  </x:si>
  <x:si>
    <x:t xml:space="preserve">MARGEN S/.</x:t>
  </x:si>
  <x:si>
    <x:t xml:space="preserve">MARGEN %</x:t>
  </x:si>
  <x:si>
    <x:t xml:space="preserve">D. COSTO VARIABLE PONDERADO POR FASE</x:t>
  </x:si>
  <x:si>
    <x:t xml:space="preserve">F1 mix</x:t>
  </x:si>
  <x:si>
    <x:t xml:space="preserve">F2 mix</x:t>
  </x:si>
  <x:si>
    <x:t xml:space="preserve">F3 mix</x:t>
  </x:si>
  <x:si>
    <x:t xml:space="preserve">CV unit.</x:t>
  </x:si>
  <x:si>
    <x:t xml:space="preserve">PRECIO PONDERADO</x:t>
  </x:si>
  <x:si>
    <x:t xml:space="preserve">Duo</x:t>
  </x:si>
  <x:si>
    <x:t xml:space="preserve">Trio</x:t>
  </x:si>
  <x:si>
    <x:t xml:space="preserve">Full</x:t>
  </x:si>
  <x:si>
    <x:t xml:space="preserve">CV PONDERADO (S/.)</x:t>
  </x:si>
  <x:si>
    <x:t xml:space="preserve">TICKET PONDERADO (S/.)</x:t>
  </x:si>
  <x:si>
    <x:t xml:space="preserve">**</x:t>
  </x:si>
  <x:si>
    <x:t xml:space="preserve">MARGEN PONDERADO (S/.)</x:t>
  </x:si>
  <x:si>
    <x:t xml:space="preserve">* Columna E = promedio ponderado anual (150 ev): ancla para proyeccion multianual y escenarios.</x:t>
  </x:si>
  <x:si>
    <x:t xml:space="preserve">** CV por evento = transporte + internet + consumibles. Operadores en PLANILLA FIJA.</x:t>
  </x:si>
  <x:si>
    <x:t xml:space="preserve">* Operadores en PLANILLA FIJA. CV por evento = transporte + internet + consumibles unicamente.</x:t>
  </x:si>
  <x:si>
    <x:t xml:space="preserve">** Margen ponderado F1=75.6%, F2=77.0%, F3=79.1% — mejora al subir mix premium.</x:t>
  </x:si>
  <x:si>
    <x:t xml:space="preserve">MATRIZ DE COSTOS DE IMPORTACIÓN (DFI): China -&gt; Almacén Lima</x:t>
  </x:si>
  <x:si>
    <x:t xml:space="preserve">PARÁMETROS TRIBUTARIOS Y CAMBIARIOS</x:t>
  </x:si>
  <x:si>
    <x:t xml:space="preserve">Tipo de cambio (S/. por USD)</x:t>
  </x:si>
  <x:si>
    <x:t xml:space="preserve">SUNAT:</x:t>
  </x:si>
  <x:si>
    <x:t xml:space="preserve">https://e-consulta.sunat.gob.pe/cl-at-ittipcam/tcS01Alias</x:t>
  </x:si>
  <x:si>
    <x:t xml:space="preserve">Ad Valorem (arancel s/ CIF)</x:t>
  </x:si>
  <x:si>
    <x:t xml:space="preserve">IGV de importación</x:t>
  </x:si>
  <x:si>
    <x:t xml:space="preserve">IPM (Impuesto Promoción Municipal)</x:t>
  </x:si>
  <x:si>
    <x:t xml:space="preserve">Percepción IGV (adelanto recuperable)</x:t>
  </x:si>
  <x:si>
    <x:t xml:space="preserve">Seguro de carga (% del FOB)</x:t>
  </x:si>
  <x:si>
    <x:t xml:space="preserve">1. VALOR FOB DE LA MERCANCÍA (cotización China)</x:t>
  </x:si>
  <x:si>
    <x:t xml:space="preserve">EQUIPO IMPORTADO</x:t>
  </x:si>
  <x:si>
    <x:t xml:space="preserve">COTIZACIÓN USD</x:t>
  </x:si>
  <x:si>
    <x:t xml:space="preserve">FOB USD</x:t>
  </x:si>
  <x:si>
    <x:t xml:space="preserve">FOB S/.</x:t>
  </x:si>
  <x:si>
    <x:t xml:space="preserve">Plataforma 360° (Glam &amp; Motion)</x:t>
  </x:si>
  <x:si>
    <x:t xml:space="preserve">Espejo Mágico &amp; Tótem</x:t>
  </x:si>
  <x:si>
    <x:t xml:space="preserve">Cabina LED Inmersiva</x:t>
  </x:si>
  <x:si>
    <x:t xml:space="preserve">Audio-Guestbook</x:t>
  </x:si>
  <x:si>
    <x:t xml:space="preserve">FOB TOTAL</x:t>
  </x:si>
  <x:si>
    <x:t xml:space="preserve">2. COSTOS INTERNACIONALES (FOB -&gt; CIF)</x:t>
  </x:si>
  <x:si>
    <x:t xml:space="preserve">CONCEPTO</x:t>
  </x:si>
  <x:si>
    <x:t xml:space="preserve">MONTO USD</x:t>
  </x:si>
  <x:si>
    <x:t xml:space="preserve">MONTO S/.</x:t>
  </x:si>
  <x:si>
    <x:t xml:space="preserve">Flete marítimo internacional (Shenzhen-Callao)</x:t>
  </x:si>
  <x:si>
    <x:t xml:space="preserve">VALOR CIF (FOB + flete + seguro)</x:t>
  </x:si>
  <x:si>
    <x:t xml:space="preserve">3. TRIBUTOS DE IMPORTACIÓN (sobre el valor CIF)</x:t>
  </x:si>
  <x:si>
    <x:t xml:space="preserve">Ad Valorem (arancel)</x:t>
  </x:si>
  <x:si>
    <x:t xml:space="preserve">IGV de importación (sobre CIF + Ad Valorem)</x:t>
  </x:si>
  <x:si>
    <x:t xml:space="preserve">IPM (sobre CIF + Ad Valorem)</x:t>
  </x:si>
  <x:si>
    <x:t xml:space="preserve">Percepción IGV (sobre CIF + AV + IGV + IPM)</x:t>
  </x:si>
  <x:si>
    <x:t xml:space="preserve">TOTAL TRIBUTOS</x:t>
  </x:si>
  <x:si>
    <x:t xml:space="preserve">4. GASTOS DE NACIONALIZACIÓN Y AGENTE</x:t>
  </x:si>
  <x:si>
    <x:t xml:space="preserve">Comisión de agente de aduanas</x:t>
  </x:si>
  <x:si>
    <x:t xml:space="preserve">Gastos portuarios / THC / handling</x:t>
  </x:si>
  <x:si>
    <x:t xml:space="preserve">Almacenaje temporal en depósito</x:t>
  </x:si>
  <x:si>
    <x:t xml:space="preserve">Vistos buenos, aforo e inspección</x:t>
  </x:si>
  <x:si>
    <x:t xml:space="preserve">TOTAL GASTOS DE NACIONALIZACIÓN</x:t>
  </x:si>
  <x:si>
    <x:t xml:space="preserve">5. TRANSPORTE INTERNO (Callao -&gt; Lima)</x:t>
  </x:si>
  <x:si>
    <x:t xml:space="preserve">Flete local, cuadrilla y posicionamiento</x:t>
  </x:si>
  <x:si>
    <x:t xml:space="preserve">COSTO TOTAL DE IMPORTACIÓN (DDP - puesto en almacén)</x:t>
  </x:si>
  <x:si>
    <x:t xml:space="preserve">Factor capitalizable neto (DDP sin tributos recuperables / FOB)</x:t>
  </x:si>
  <x:si>
    <x:t xml:space="preserve">Sobrecosto capitalizable neto (% sobre FOB)</x:t>
  </x:si>
  <x:si>
    <x:t xml:space="preserve">Tributos recuperables (IGV + IPM + Percepción) - crédito fiscal</x:t>
  </x:si>
  <x:si>
    <x:t xml:space="preserve">Nota: El DDP refleja el desembolso aduanero total. Para CAPEX se capitaliza el DDP neto de IGV, IPM y percepción por ser tributos recuperables; el importe recuperable se trata como capital de trabajo/crédito fiscal.</x:t>
  </x:si>
  <x:si>
    <x:t xml:space="preserve">6. CRONOGRAMA DE IMPORTACIÓN (LEAD TIME ESTIMADO — FASE 1)</x:t>
  </x:si>
  <x:si>
    <x:t xml:space="preserve">ETAPA</x:t>
  </x:si>
  <x:si>
    <x:t xml:space="preserve">DURACIÓN</x:t>
  </x:si>
  <x:si>
    <x:t xml:space="preserve">MES</x:t>
  </x:si>
  <x:si>
    <x:t xml:space="preserve">Gestiones, formalización, selección de proveedor, cotización y orden de compra</x:t>
  </x:si>
  <x:si>
    <x:t xml:space="preserve">4-5 sem</x:t>
  </x:si>
  <x:si>
    <x:t xml:space="preserve">Julio 2026</x:t>
  </x:si>
  <x:si>
    <x:t xml:space="preserve">Producción en China (equipos a medida: 360°, cabina LED)</x:t>
  </x:si>
  <x:si>
    <x:t xml:space="preserve">3-5 sem</x:t>
  </x:si>
  <x:si>
    <x:t xml:space="preserve">Agosto 2026</x:t>
  </x:si>
  <x:si>
    <x:t xml:space="preserve">Embarque FOB + tránsito marítimo (Shenzhen → Callao)</x:t>
  </x:si>
  <x:si>
    <x:t xml:space="preserve">6-7 sem</x:t>
  </x:si>
  <x:si>
    <x:t xml:space="preserve">Sep-Oct 2026</x:t>
  </x:si>
  <x:si>
    <x:t xml:space="preserve">Desaduanaje, tributos y nacionalización (régimen anticipado)</x:t>
  </x:si>
  <x:si>
    <x:t xml:space="preserve">1-2 sem</x:t>
  </x:si>
  <x:si>
    <x:t xml:space="preserve">Octubre 2026</x:t>
  </x:si>
  <x:si>
    <x:t xml:space="preserve">Traslado a base de operaciones (domicilio de socios), pruebas y homologación MTC</x:t>
  </x:si>
  <x:si>
    <x:t xml:space="preserve">1 sem</x:t>
  </x:si>
  <x:si>
    <x:t xml:space="preserve">Noviembre 2026</x:t>
  </x:si>
  <x:si>
    <x:t xml:space="preserve">INICIO DE OPERACIONES (Mes 1 del flujo de caja)</x:t>
  </x:si>
  <x:si>
    <x:t xml:space="preserve">Nota: Jul-Oct 2026 es periodo pre-operativo (inversión sin ingresos); su costo se cubre con capital de trabajo. El arranque coincide con la temporada alta de eventos (nov-dic).</x:t>
  </x:si>
  <x:si>
    <x:t xml:space="preserve">CAPITAL DE TRABAJO Y ESTRUCTURA DE FINANCIAMIENTO</x:t>
  </x:si>
  <x:si>
    <x:t xml:space="preserve">A. NECESIDAD DE CAPITAL DE TRABAJO</x:t>
  </x:si>
  <x:si>
    <x:t xml:space="preserve">MONTO (S/.)</x:t>
  </x:si>
  <x:si>
    <x:t xml:space="preserve">TIPO</x:t>
  </x:si>
  <x:si>
    <x:t xml:space="preserve">DETALLE / REFERENCIA</x:t>
  </x:si>
  <x:si>
    <x:t xml:space="preserve">Gastos fijos mensuales (administración + ventas)</x:t>
  </x:si>
  <x:si>
    <x:t xml:space="preserve">Cálculo</x:t>
  </x:si>
  <x:si>
    <x:t xml:space="preserve">Suma de gastos fijos mensuales de administración y ventas</x:t>
  </x:si>
  <x:si>
    <x:t xml:space="preserve">Meses de cobertura operativa (reserva de seguridad)</x:t>
  </x:si>
  <x:si>
    <x:t xml:space="preserve">Dato / Input</x:t>
  </x:si>
  <x:si>
    <x:t xml:space="preserve">Meses de gastos fijos a cubrir para seguridad operativa</x:t>
  </x:si>
  <x:si>
    <x:t xml:space="preserve">Necesidad operativa (mayor entre cobertura y déficit del flujo)</x:t>
  </x:si>
  <x:si>
    <x:t xml:space="preserve">Protege ante rampa lenta: el mayor entre 3 meses de gastos fijos y el déficit acumulado del flujo operativo</x:t>
  </x:si>
  <x:si>
    <x:t xml:space="preserve">Periodo pre-operativo de importación (jul-oct 2026, sin ingresos)</x:t>
  </x:si>
  <x:si>
    <x:t xml:space="preserve">4 meses de almacén + servicios + marketing durante la importación; los 6 socios difieren sueldo hasta iniciar operación</x:t>
  </x:si>
  <x:si>
    <x:t xml:space="preserve">Reserva de contingencia regulatoria (planilla, requisito del proyecto)</x:t>
  </x:si>
  <x:si>
    <x:t xml:space="preserve">Reserva equivalente a planilla y fondo de emergencia (requisito del proyecto)</x:t>
  </x:si>
  <x:si>
    <x:t xml:space="preserve">Presupuesto de formalización (SUNARP)</x:t>
  </x:si>
  <x:si>
    <x:t xml:space="preserve">Gastos iniciales notariales y registrales de constitución</x:t>
  </x:si>
  <x:si>
    <x:t xml:space="preserve">Crédito fiscal/percepción recuperable de importación</x:t>
  </x:si>
  <x:si>
    <x:t xml:space="preserve">Tributos recuperables: no se capitalizan; se tratan como crédito fiscal/percepción.</x:t>
  </x:si>
  <x:si>
    <x:t xml:space="preserve">CAPITAL DE TRABAJO REQUERIDO TOTAL</x:t>
  </x:si>
  <x:si>
    <x:t xml:space="preserve">Operación, pre-operativo, contingencia, formalización y crédito fiscal recuperable.</x:t>
  </x:si>
  <x:si>
    <x:t xml:space="preserve">B. INVERSIÓN TOTAL A FINANCIAR</x:t>
  </x:si>
  <x:si>
    <x:t xml:space="preserve">Inversión en activos (tangibles + intangibles)</x:t>
  </x:si>
  <x:si>
    <x:t xml:space="preserve">Capital de trabajo requerido</x:t>
  </x:si>
  <x:si>
    <x:t xml:space="preserve">INVERSIÓN TOTAL A FINANCIAR</x:t>
  </x:si>
  <x:si>
    <x:t xml:space="preserve">C. FUENTES DE FINANCIAMIENTO</x:t>
  </x:si>
  <x:si>
    <x:t xml:space="preserve">PARTICIPACIÓN</x:t>
  </x:si>
  <x:si>
    <x:t xml:space="preserve">Aporte de socios (6 fundadores)</x:t>
  </x:si>
  <x:si>
    <x:t xml:space="preserve">Préstamo bancario</x:t>
  </x:si>
  <x:si>
    <x:t xml:space="preserve">TOTAL FINANCIADO</x:t>
  </x:si>
  <x:si>
    <x:t xml:space="preserve">Aporte por socio (÷6 fundadores)</x:t>
  </x:si>
  <x:si>
    <x:t xml:space="preserve">D. CUADRO DE AMORTIZACIÓN DEL PRÉSTAMO</x:t>
  </x:si>
  <x:si>
    <x:t xml:space="preserve">TEA (Tasa Efectiva Anual)</x:t>
  </x:si>
  <x:si>
    <x:t xml:space="preserve">Plazo (años)</x:t>
  </x:si>
  <x:si>
    <x:t xml:space="preserve">AÑO</x:t>
  </x:si>
  <x:si>
    <x:t xml:space="preserve">SALDO INICIAL</x:t>
  </x:si>
  <x:si>
    <x:t xml:space="preserve">INTERÉS</x:t>
  </x:si>
  <x:si>
    <x:t xml:space="preserve">AMORTIZACIÓN</x:t>
  </x:si>
  <x:si>
    <x:t xml:space="preserve">CUOTA ANUAL</x:t>
  </x:si>
  <x:si>
    <x:t xml:space="preserve">SALDO FINAL</x:t>
  </x:si>
  <x:si>
    <x:t xml:space="preserve">TOTALES</x:t>
  </x:si>
  <x:si>
    <x:t xml:space="preserve">Nota: El interés del préstamo es un gasto financiero anual; la cuota afecta la liquidez. Ajustar montos y TEA según oferta bancaria real.</x:t>
  </x:si>
  <x:si>
    <x:t xml:space="preserve">ESTRUCTURA DE INVERSIÓN INICIAL (LEAN - FASE 1) - GLOBAL EVENT IMPORTS S.A.C.</x:t>
  </x:si>
  <x:si>
    <x:t xml:space="preserve">1. ACTIVOS TANGIBLES (Año 0 / Fase 1)</x:t>
  </x:si>
  <x:si>
    <x:t xml:space="preserve">ACTIVO</x:t>
  </x:si>
  <x:si>
    <x:t xml:space="preserve">CANT</x:t>
  </x:si>
  <x:si>
    <x:t xml:space="preserve">COSTO UNIT. S/.</x:t>
  </x:si>
  <x:si>
    <x:t xml:space="preserve">COSTO TOTAL S/.</x:t>
  </x:si>
  <x:si>
    <x:t xml:space="preserve">VIDA ÚTIL</x:t>
  </x:si>
  <x:si>
    <x:t xml:space="preserve">DEPREC. ANUAL</x:t>
  </x:si>
  <x:si>
    <x:t xml:space="preserve">Plataforma 360° Glam &amp; Motion</x:t>
  </x:si>
  <x:si>
    <x:t xml:space="preserve">Espejo Mágico y Tótem</x:t>
  </x:si>
  <x:si>
    <x:t xml:space="preserve">Conectividad base y equipos de red (router/NAS)</x:t>
  </x:si>
  <x:si>
    <x:t xml:space="preserve">Escritorios y mobiliario de oficina</x:t>
  </x:si>
  <x:si>
    <x:t xml:space="preserve">Sillas y mobiliario complementario</x:t>
  </x:si>
  <x:si>
    <x:t xml:space="preserve">Computadoras de escritorio</x:t>
  </x:si>
  <x:si>
    <x:t xml:space="preserve">Laptop gerencial</x:t>
  </x:si>
  <x:si>
    <x:t xml:space="preserve">Impresora multifuncional</x:t>
  </x:si>
  <x:si>
    <x:t xml:space="preserve">Estanterías y racks de almacén (clasif. ABC)</x:t>
  </x:si>
  <x:si>
    <x:t xml:space="preserve">Equipos de seguridad y videovigilancia (CCTV)</x:t>
  </x:si>
  <x:si>
    <x:t xml:space="preserve">Kit de herramientas y mantenimiento técnico</x:t>
  </x:si>
  <x:si>
    <x:t xml:space="preserve">SUBTOTAL ACTIVOS TANGIBLES</x:t>
  </x:si>
  <x:si>
    <x:t xml:space="preserve">2. ACTIVOS INTANGIBLES (Formación de la empresa e inicio de operaciones)</x:t>
  </x:si>
  <x:si>
    <x:t xml:space="preserve">VALOR S/.</x:t>
  </x:si>
  <x:si>
    <x:t xml:space="preserve">AMORT. (años)</x:t>
  </x:si>
  <x:si>
    <x:t xml:space="preserve">AMORT. ANUAL</x:t>
  </x:si>
  <x:si>
    <x:t xml:space="preserve">Reserva de nombre (SUNARP)</x:t>
  </x:si>
  <x:si>
    <x:t xml:space="preserve">Formación</x:t>
  </x:si>
  <x:si>
    <x:t xml:space="preserve">Elaboración de minuta de constitución</x:t>
  </x:si>
  <x:si>
    <x:t xml:space="preserve">Escritura pública / Notaría</x:t>
  </x:si>
  <x:si>
    <x:t xml:space="preserve">Inscripción en Registros Públicos (SUNARP)</x:t>
  </x:si>
  <x:si>
    <x:t xml:space="preserve">Legalización de libros contables</x:t>
  </x:si>
  <x:si>
    <x:t xml:space="preserve">Registro de marca (INDECOPI)</x:t>
  </x:si>
  <x:si>
    <x:t xml:space="preserve">Licencia de funcionamiento municipal</x:t>
  </x:si>
  <x:si>
    <x:t xml:space="preserve">Operación</x:t>
  </x:si>
  <x:si>
    <x:t xml:space="preserve">Certificado ITSE (Defensa Civil)</x:t>
  </x:si>
  <x:si>
    <x:t xml:space="preserve">Registro de importador (Aduanas/VUCE)</x:t>
  </x:si>
  <x:si>
    <x:t xml:space="preserve">Homologación MTC (equipos de RF)</x:t>
  </x:si>
  <x:si>
    <x:t xml:space="preserve">Software de gestión y catálogo digital</x:t>
  </x:si>
  <x:si>
    <x:t xml:space="preserve">Desarrollo web e e-commerce</x:t>
  </x:si>
  <x:si>
    <x:t xml:space="preserve">Capacitación inicial del personal</x:t>
  </x:si>
  <x:si>
    <x:t xml:space="preserve">Gastos pre-operativos (demos y pruebas)</x:t>
  </x:si>
  <x:si>
    <x:t xml:space="preserve">SUBTOTAL ACTIVOS INTANGIBLES</x:t>
  </x:si>
  <x:si>
    <x:t xml:space="preserve">3. CAPITAL DE TRABAJO</x:t>
  </x:si>
  <x:si>
    <x:t xml:space="preserve">Capital de trabajo requerido (ver hoja CAPITAL DE TRABAJO)</x:t>
  </x:si>
  <x:si>
    <x:t xml:space="preserve">4. INVERSIÓN INICIAL FASE 1 (AÑO 0)</x:t>
  </x:si>
  <x:si>
    <x:t xml:space="preserve">RUBRO</x:t>
  </x:si>
  <x:si>
    <x:t xml:space="preserve">Activos tangibles</x:t>
  </x:si>
  <x:si>
    <x:t xml:space="preserve">Activos intangibles</x:t>
  </x:si>
  <x:si>
    <x:t xml:space="preserve">Capital de trabajo</x:t>
  </x:si>
  <x:si>
    <x:t xml:space="preserve">INVERSIÓN INICIAL TOTAL</x:t>
  </x:si>
  <x:si>
    <x:t xml:space="preserve">5. DEPRECIACIÓN Y AMORTIZACIÓN</x:t>
  </x:si>
  <x:si>
    <x:t xml:space="preserve">Depreciación anual (activos tangibles)</x:t>
  </x:si>
  <x:si>
    <x:t xml:space="preserve">Amortización anual (activos intangibles)</x:t>
  </x:si>
  <x:si>
    <x:t xml:space="preserve">DEPRECIACIÓN + AMORTIZACIÓN MENSUAL</x:t>
  </x:si>
  <x:si>
    <x:t xml:space="preserve">6. PLAN DE IMPORTACIÓN POR FASES (estrategia de mitigación de riesgo)</x:t>
  </x:si>
  <x:si>
    <x:t xml:space="preserve">FASE</x:t>
  </x:si>
  <x:si>
    <x:t xml:space="preserve">EQUIPOS A IMPORTAR</x:t>
  </x:si>
  <x:si>
    <x:t xml:space="preserve">CAPEX ESTIMADO S/.</x:t>
  </x:si>
  <x:si>
    <x:t xml:space="preserve">FINANCIAMIENTO</x:t>
  </x:si>
  <x:si>
    <x:t xml:space="preserve">Fase 1 (Nov 2026 - Feb 2027)</x:t>
  </x:si>
  <x:si>
    <x:t xml:space="preserve">1 de cada línea (4 equipos): 360°, Espejo, Cabina, Audio</x:t>
  </x:si>
  <x:si>
    <x:t xml:space="preserve">Socios + préstamo</x:t>
  </x:si>
  <x:si>
    <x:t xml:space="preserve">Fase 2 (Mar - Jun 2027)</x:t>
  </x:si>
  <x:si>
    <x:t xml:space="preserve">+1 Plataforma, +2 Espejos, +1 Cabina (duplica capacidad a 8 equipos)</x:t>
  </x:si>
  <x:si>
    <x:t xml:space="preserve">Autofinanciada con caja operativa; ver FLUJO F26.</x:t>
  </x:si>
  <x:si>
    <x:t xml:space="preserve">Fase 3 (Jul 2027+ / Año 2)</x:t>
  </x:si>
  <x:si>
    <x:t xml:space="preserve">Completar portafolio y expansión a provincias</x:t>
  </x:si>
  <x:si>
    <x:t xml:space="preserve">Reinversión de utilidades</x:t>
  </x:si>
  <x:si>
    <x:t xml:space="preserve">Nota: El vehículo de transporte se terceriza como gasto operativo (OPEX) por evento, no se compra en Año 0.</x:t>
  </x:si>
  <x:si>
    <x:t xml:space="preserve">Nota: La importación de la Fase 1 toma ~4 meses (jul-oct 2026, ver cronograma en G. EXPORT). Las operaciones inician en noviembre 2026, en plena temporada alta.</x:t>
  </x:si>
  <x:si>
    <x:t xml:space="preserve">PROYECCIÓN DE VENTAS — NOV 2026 A OCT 2027 (ESCALONADA POR FASE Y ESTACIONALIDAD)</x:t>
  </x:si>
  <x:si>
    <x:t xml:space="preserve">TICKET PROMEDIO PONDERADO ANUAL (S/.) - proyeccion multianual y escenarios</x:t>
  </x:si>
  <x:si>
    <x:t xml:space="preserve">PRECIO (S/.)</x:t>
  </x:si>
  <x:si>
    <x:t xml:space="preserve">INGRESOS (S/.)</x:t>
  </x:si>
  <x:si>
    <x:t xml:space="preserve">CAPACIDAD/MES</x:t>
  </x:si>
  <x:si>
    <x:t xml:space="preserve">DEMANDA EST.</x:t>
  </x:si>
  <x:si>
    <x:t xml:space="preserve">Nov 2026</x:t>
  </x:si>
  <x:si>
    <x:t xml:space="preserve">Fase 1</x:t>
  </x:si>
  <x:si>
    <x:t xml:space="preserve">Dic 2026</x:t>
  </x:si>
  <x:si>
    <x:t xml:space="preserve">Ene 2027</x:t>
  </x:si>
  <x:si>
    <x:t xml:space="preserve">Feb 2027</x:t>
  </x:si>
  <x:si>
    <x:t xml:space="preserve">Mar 2027</x:t>
  </x:si>
  <x:si>
    <x:t xml:space="preserve">Fase 2</x:t>
  </x:si>
  <x:si>
    <x:t xml:space="preserve">Abr 2027</x:t>
  </x:si>
  <x:si>
    <x:t xml:space="preserve">May 2027</x:t>
  </x:si>
  <x:si>
    <x:t xml:space="preserve">Jun 2027</x:t>
  </x:si>
  <x:si>
    <x:t xml:space="preserve">Jul 2027</x:t>
  </x:si>
  <x:si>
    <x:t xml:space="preserve">Fase 3</x:t>
  </x:si>
  <x:si>
    <x:t xml:space="preserve">Ago 2027</x:t>
  </x:si>
  <x:si>
    <x:t xml:space="preserve">Sep 2027</x:t>
  </x:si>
  <x:si>
    <x:t xml:space="preserve">Oct 2027</x:t>
  </x:si>
  <x:si>
    <x:t xml:space="preserve">TOTAL AÑO 1</x:t>
  </x:si>
  <x:si>
    <x:t xml:space="preserve">CAPACIDAD INSTALADA POR FASE</x:t>
  </x:si>
  <x:si>
    <x:t xml:space="preserve">MESES</x:t>
  </x:si>
  <x:si>
    <x:t xml:space="preserve">EQUIPOS</x:t>
  </x:si>
  <x:si>
    <x:t xml:space="preserve">EVENTOS/MES MÁX</x:t>
  </x:si>
  <x:si>
    <x:t xml:space="preserve">Meses 1-4</x:t>
  </x:si>
  <x:si>
    <x:t xml:space="preserve">Meses 5-8</x:t>
  </x:si>
  <x:si>
    <x:t xml:space="preserve">Meses 9-12</x:t>
  </x:si>
  <x:si>
    <x:t xml:space="preserve">MIX DE PAQUETES POR FASE</x:t>
  </x:si>
  <x:si>
    <x:t xml:space="preserve">Paquete</x:t>
  </x:si>
  <x:si>
    <x:t xml:space="preserve">Precio unit.</x:t>
  </x:si>
  <x:si>
    <x:t xml:space="preserve">TICKET POND.</x:t>
  </x:si>
  <x:si>
    <x:t xml:space="preserve">CV POND.</x:t>
  </x:si>
  <x:si>
    <x:t xml:space="preserve">MARGEN POND.</x:t>
  </x:si>
  <x:si>
    <x:t xml:space="preserve">Año operativo: Nov 2026 – Oct 2027. Los meses Jul-Oct 2026 son pre-operativos (importación, sin ingresos; cubiertos por capital de trabajo).</x:t>
  </x:si>
  <x:si>
    <x:t xml:space="preserve">La demanda refleja estacionalidad limeña: pico en bodas, graduaciones y fin de año (nov-dic); valle en verano/vacaciones (ene-feb); repuntes en Día de la Madre (may) y Fiestas Patrias/graduaciones (jul).</x:t>
  </x:si>
  <x:si>
    <x:t xml:space="preserve">En Fase 1 (nov-feb) la capacidad instalada (8 eventos/mes) TOPA la demanda alta de fin de año: se deja mercado sin atender, lo que justifica la expansión a Fase 2.</x:t>
  </x:si>
  <x:si>
    <x:t xml:space="preserve">GASTOS DE VENTAS Y MARKETING — ESTRATEGIA DIGITAL B2B</x:t>
  </x:si>
  <x:si>
    <x:t xml:space="preserve">A. PRESUPUESTO DE MARKETING (canales y objetivos)</x:t>
  </x:si>
  <x:si>
    <x:t xml:space="preserve">MENSUAL (S/.)</x:t>
  </x:si>
  <x:si>
    <x:t xml:space="preserve">ANUAL (S/.)</x:t>
  </x:si>
  <x:si>
    <x:t xml:space="preserve">CANAL / OBJETIVO ESTRATÉGICO</x:t>
  </x:si>
  <x:si>
    <x:t xml:space="preserve">Campañas Google Ads B2B</x:t>
  </x:si>
  <x:si>
    <x:t xml:space="preserve">Captación de alta intención: búsquedas "cabina 360", "photobooth", "eventos Lima"</x:t>
  </x:si>
  <x:si>
    <x:t xml:space="preserve">Pauta y contenido en redes sociales</x:t>
  </x:si>
  <x:si>
    <x:t xml:space="preserve">Branding: contenido visual de eventos en Instagram, TikTok y Facebook (alta viralidad)</x:t>
  </x:si>
  <x:si>
    <x:t xml:space="preserve">Muestreos y demos en ferias</x:t>
  </x:si>
  <x:si>
    <x:t xml:space="preserve">Sin participación este año (medida de ahorro de costos)</x:t>
  </x:si>
  <x:si>
    <x:t xml:space="preserve">TOTAL MARKETING / MES</x:t>
  </x:si>
  <x:si>
    <x:t xml:space="preserve">B. INDICADORES DE EFICIENCIA DE MARKETING</x:t>
  </x:si>
  <x:si>
    <x:t xml:space="preserve">Inversión anual en marketing (S/.)</x:t>
  </x:si>
  <x:si>
    <x:t xml:space="preserve">Eventos proyectados Año 1</x:t>
  </x:si>
  <x:si>
    <x:t xml:space="preserve">CAC — Costo de adquisición por evento (S/.)</x:t>
  </x:si>
  <x:si>
    <x:t xml:space="preserve">Ingresos anuales (S/.)</x:t>
  </x:si>
  <x:si>
    <x:t xml:space="preserve">Marketing como % de los ingresos</x:t>
  </x:si>
  <x:si>
    <x:t xml:space="preserve">Ticket promedio por evento (S/.)</x:t>
  </x:si>
  <x:si>
    <x:t xml:space="preserve">Retorno por evento (ticket ÷ CAC, veces)</x:t>
  </x:si>
  <x:si>
    <x:t xml:space="preserve">Estrategia 100% digital y de bajo costo (sin ferias): captación por búsqueda con intención de compra (Google Ads) + branding visual en redes, donde el contenido de eventos es altamente compartible. El CAC de ~S/.67 por evento frente a un ticket de ~S/.1,173 implica un retorno de ~17x por sol invertido en captación.</x:t>
  </x:si>
  <x:si>
    <x:t xml:space="preserve">GASTOS ADMINISTRATIVOS - PLANILLA MYPE Y ESTRUCTURA DE COSTOS FIJOS</x:t>
  </x:si>
  <x:si>
    <x:t xml:space="preserve">NATURALEZA / DETALLE</x:t>
  </x:si>
  <x:si>
    <x:t xml:space="preserve">Planilla MYPE (3 socios + operarios part-time)</x:t>
  </x:si>
  <x:si>
    <x:t xml:space="preserve">Promedio ponderado de las 3 fases (Regimen Pequena Empresa). Detalle abajo.</x:t>
  </x:si>
  <x:si>
    <x:t xml:space="preserve">Alquiler (se opera desde domicilio de socios)</x:t>
  </x:si>
  <x:si>
    <x:t xml:space="preserve">Operacion desde domicilio: alquiler eliminado (ahorro)</x:t>
  </x:si>
  <x:si>
    <x:t xml:space="preserve">Servicios (luz, agua, internet, telefono)</x:t>
  </x:si>
  <x:si>
    <x:t xml:space="preserve">Servicios basicos de la base de operaciones</x:t>
  </x:si>
  <x:si>
    <x:t xml:space="preserve">Mantenimiento de equipos y repuestos</x:t>
  </x:si>
  <x:si>
    <x:t xml:space="preserve">Preventivo, repuestos, almacenamiento en nube y software</x:t>
  </x:si>
  <x:si>
    <x:t xml:space="preserve">TOTAL GASTOS ADMINISTRATIVOS / MES</x:t>
  </x:si>
  <x:si>
    <x:t xml:space="preserve">B. INDICADORES DE ESTRUCTURA DE COSTOS FIJOS</x:t>
  </x:si>
  <x:si>
    <x:t xml:space="preserve">Gasto administrativo anual (S/.)</x:t>
  </x:si>
  <x:si>
    <x:t xml:space="preserve">Gastos fijos totales / mes (admin + ventas)</x:t>
  </x:si>
  <x:si>
    <x:t xml:space="preserve">C. DETALLE DE LA PLANILLA MYPE POR FASE (Regimen Pequena Empresa - RMV S/.1,130)</x:t>
  </x:si>
  <x:si>
    <x:t xml:space="preserve">CARGO</x:t>
  </x:si>
  <x:si>
    <x:t xml:space="preserve">BASICO</x:t>
  </x:si>
  <x:si>
    <x:t xml:space="preserve">ESSALUD 9%</x:t>
  </x:si>
  <x:si>
    <x:t xml:space="preserve">CTS b/24</x:t>
  </x:si>
  <x:si>
    <x:t xml:space="preserve">GRATIF b/12</x:t>
  </x:si>
  <x:si>
    <x:t xml:space="preserve">TOTAL EMP.</x:t>
  </x:si>
  <x:si>
    <x:t xml:space="preserve">FASE 1 (Nov 26 - Feb 27) - 5 personas</x:t>
  </x:si>
  <x:si>
    <x:t xml:space="preserve">SUBTOTAL FASE 1 / MES</x:t>
  </x:si>
  <x:si>
    <x:t xml:space="preserve">FASE 2 (Mar 27 - Jun 27) - 6 personas</x:t>
  </x:si>
  <x:si>
    <x:t xml:space="preserve">SUBTOTAL FASE 2 / MES</x:t>
  </x:si>
  <x:si>
    <x:t xml:space="preserve">FASE 3 (Jul 27 - Oct 27) - 7 personas</x:t>
  </x:si>
  <x:si>
    <x:t xml:space="preserve">SUBTOTAL FASE 3 / MES</x:t>
  </x:si>
  <x:si>
    <x:t xml:space="preserve">ESTADO DE RESULTADOS Y FLUJO DE CAJA PROYECTADO — GLOBAL EVENT IMPORTS S.A.C. (S/.)</x:t>
  </x:si>
  <x:si>
    <x:t xml:space="preserve">INGRESOS</x:t>
  </x:si>
  <x:si>
    <x:t xml:space="preserve">Eventos contratados</x:t>
  </x:si>
  <x:si>
    <x:t xml:space="preserve">Ingresos por servicios</x:t>
  </x:si>
  <x:si>
    <x:t xml:space="preserve">EGRESOS (ESTADO DE RESULTADOS — incluye depreciación)</x:t>
  </x:si>
  <x:si>
    <x:t xml:space="preserve">Costo variable (eventos x C.V. promedio)</x:t>
  </x:si>
  <x:si>
    <x:t xml:space="preserve">Gastos administrativos</x:t>
  </x:si>
  <x:si>
    <x:t xml:space="preserve">Gastos de ventas y marketing</x:t>
  </x:si>
  <x:si>
    <x:t xml:space="preserve">Depreciación + amortización (activos)</x:t>
  </x:si>
  <x:si>
    <x:t xml:space="preserve">TOTAL EGRESOS</x:t>
  </x:si>
  <x:si>
    <x:t xml:space="preserve">UTILIDAD OPERATIVA DEL MES (EBIT, antes de financiamiento e impuestos)</x:t>
  </x:si>
  <x:si>
    <x:t xml:space="preserve">UTILIDAD OPERATIVA ACUMULADA</x:t>
  </x:si>
  <x:si>
    <x:t xml:space="preserve">FLUJO DE CAJA FINANCIERO (método indirecto — con servicio de deuda e impuestos)</x:t>
  </x:si>
  <x:si>
    <x:t xml:space="preserve">Utilidad operativa del mes (EBIT)</x:t>
  </x:si>
  <x:si>
    <x:t xml:space="preserve">(+) Depreciación y amortización (gasto NO-caja)</x:t>
  </x:si>
  <x:si>
    <x:t xml:space="preserve">(−) Servicio de deuda (cuota: interés + amortización)</x:t>
  </x:si>
  <x:si>
    <x:t xml:space="preserve">(−) Impuesto a la Renta (MYPE Tributario 10%, provisión)</x:t>
  </x:si>
  <x:si>
    <x:t xml:space="preserve">FLUJO OPERATIVO NETO DEL MES</x:t>
  </x:si>
  <x:si>
    <x:t xml:space="preserve">(−) CAPEX Fase 2 (expansión de capacidad)</x:t>
  </x:si>
  <x:si>
    <x:t xml:space="preserve">Saldo de caja inicial de operación (Nov 2026)</x:t>
  </x:si>
  <x:si>
    <x:t xml:space="preserve">SALDO DE CAJA ACUMULADO (fin de mes)</x:t>
  </x:si>
  <x:si>
    <x:t xml:space="preserve">MOMENTO 0 — INVERSIÓN Y FINANCIAMIENTO (Año 0: jul-oct 2026)</x:t>
  </x:si>
  <x:si>
    <x:t xml:space="preserve">Aporte de socios (ingreso de capital)</x:t>
  </x:si>
  <x:si>
    <x:t xml:space="preserve">Préstamo bancario (desembolso)</x:t>
  </x:si>
  <x:si>
    <x:t xml:space="preserve">(−) Inversión en activos (tangibles + intangibles)</x:t>
  </x:si>
  <x:si>
    <x:t xml:space="preserve">(−) Formalización (SUNARP)</x:t>
  </x:si>
  <x:si>
    <x:t xml:space="preserve">(−) Burn pre-operativo de importación (jul-oct)</x:t>
  </x:si>
  <x:si>
    <x:t xml:space="preserve">(=) SALDO DE CAJA AL INICIAR OPERACIÓN (Nov 2026)</x:t>
  </x:si>
  <x:si>
    <x:t xml:space="preserve">D. FLUJO DE CAJA LIBRE Y EVALUACIÓN DE RENTABILIDAD (VAN / TIR) — HORIZONTE 3 AÑOS</x:t>
  </x:si>
  <x:si>
    <x:t xml:space="preserve">Tasa de descuento (COK)</x:t>
  </x:si>
  <x:si>
    <x:t xml:space="preserve">Costo de oportunidad del capital (sector eventos, editable)</x:t>
  </x:si>
  <x:si>
    <x:t xml:space="preserve">Inflación anual de gastos fijos</x:t>
  </x:si>
  <x:si>
    <x:t xml:space="preserve">BCRP (rango meta)</x:t>
  </x:si>
  <x:si>
    <x:t xml:space="preserve">Tasa de impuesto (MYPE Tributario)</x:t>
  </x:si>
  <x:si>
    <x:t xml:space="preserve">SUNAT</x:t>
  </x:si>
  <x:si>
    <x:t xml:space="preserve">FLUJO DE CAJA LIBRE (económico, S/.)</x:t>
  </x:si>
  <x:si>
    <x:t xml:space="preserve">Año 0</x:t>
  </x:si>
  <x:si>
    <x:t xml:space="preserve">Año 1</x:t>
  </x:si>
  <x:si>
    <x:t xml:space="preserve">Año 2</x:t>
  </x:si>
  <x:si>
    <x:t xml:space="preserve">Año 3</x:t>
  </x:si>
  <x:si>
    <x:t xml:space="preserve">Eventos del año</x:t>
  </x:si>
  <x:si>
    <x:t xml:space="preserve">Ingresos</x:t>
  </x:si>
  <x:si>
    <x:t xml:space="preserve">(−) Costo variable</x:t>
  </x:si>
  <x:si>
    <x:t xml:space="preserve">(−) Gastos fijos (admin + ventas)</x:t>
  </x:si>
  <x:si>
    <x:t xml:space="preserve">(−) Depreciación y amortización</x:t>
  </x:si>
  <x:si>
    <x:t xml:space="preserve">(=) UTILIDAD OPERATIVA (EBIT)</x:t>
  </x:si>
  <x:si>
    <x:t xml:space="preserve">(−) Impuesto a la Renta (MYPE)</x:t>
  </x:si>
  <x:si>
    <x:t xml:space="preserve">(=) NOPAT (utilidad operativa neta)</x:t>
  </x:si>
  <x:si>
    <x:t xml:space="preserve">(+) Depreciación (gasto no-caja)</x:t>
  </x:si>
  <x:si>
    <x:t xml:space="preserve">(−) Inversión inicial / CAPEX expansión</x:t>
  </x:si>
  <x:si>
    <x:t xml:space="preserve">(+) Recuperación de capital de trabajo (fin de horizonte)</x:t>
  </x:si>
  <x:si>
    <x:t xml:space="preserve">(=) FLUJO DE CAJA LIBRE</x:t>
  </x:si>
  <x:si>
    <x:t xml:space="preserve">Flujo de caja descontado</x:t>
  </x:si>
  <x:si>
    <x:t xml:space="preserve">VAN — Valor Actual Neto (al COK)</x:t>
  </x:si>
  <x:si>
    <x:t xml:space="preserve">TIR — Tasa Interna de Retorno</x:t>
  </x:si>
  <x:si>
    <x:t xml:space="preserve">DECISIÓN DE VIABILIDAD</x:t>
  </x:si>
  <x:si>
    <x:t xml:space="preserve">Nota: Evaluación económica del proyecto sin financiamiento. Año 1 incluye rampa y CAPEX Fase 2; Años 2-3 usan mayor utilización de capacidad. Incluye recuperación del capital de trabajo al cierre del horizonte.</x:t>
  </x:si>
  <x:si>
    <x:t xml:space="preserve">RESUMEN ECONÓMICO - AÑO 1 (Escenario Realista)</x:t>
  </x:si>
  <x:si>
    <x:t xml:space="preserve">VALOR (S/.)</x:t>
  </x:si>
  <x:si>
    <x:t xml:space="preserve">Total eventos Año 1</x:t>
  </x:si>
  <x:si>
    <x:t xml:space="preserve">(+) Ingresos brutos</x:t>
  </x:si>
  <x:si>
    <x:t xml:space="preserve">(- ) Costo variable total</x:t>
  </x:si>
  <x:si>
    <x:t xml:space="preserve">*</x:t>
  </x:si>
  <x:si>
    <x:t xml:space="preserve">(=) Margen bruto</x:t>
  </x:si>
  <x:si>
    <x:t xml:space="preserve">(-) Gastos administrativos (anual)</x:t>
  </x:si>
  <x:si>
    <x:t xml:space="preserve">(-) Gastos de ventas (anual)</x:t>
  </x:si>
  <x:si>
    <x:t xml:space="preserve">(-) Depreciación (anual)</x:t>
  </x:si>
  <x:si>
    <x:t xml:space="preserve">(−) Gastos financieros (intereses préstamo, Año 1)</x:t>
  </x:si>
  <x:si>
    <x:t xml:space="preserve">(=) UTILIDAD ANTES DE IMPUESTOS</x:t>
  </x:si>
  <x:si>
    <x:t xml:space="preserve">(−) Impuesto a la Renta (MYPE Tributario, 10%)</x:t>
  </x:si>
  <x:si>
    <x:t xml:space="preserve">UTILIDAD NETA DEL EJERCICIO</x:t>
  </x:si>
  <x:si>
    <x:t xml:space="preserve">EBITDA (caja operativa antes de deprec., deuda e impuestos)</x:t>
  </x:si>
  <x:si>
    <x:t xml:space="preserve">Nota: Utilidad neta positiva tras intereses e impuestos. El régimen MYPE Tributario se modela al 10% y los valores se actualizan desde Flujo de Caja, Capital de Trabajo e Inversión.</x:t>
  </x:si>
  <x:si>
    <x:t xml:space="preserve">INDICADORES FINANCIEROS CLAVE - AÑO 1</x:t>
  </x:si>
  <x:si>
    <x:t xml:space="preserve">MÉTRICA</x:t>
  </x:si>
  <x:si>
    <x:t xml:space="preserve">VALOR</x:t>
  </x:si>
  <x:si>
    <x:t xml:space="preserve">Inversión total modelada (inicial + CAPEX Fase 2)</x:t>
  </x:si>
  <x:si>
    <x:t xml:space="preserve">Ingresos anuales</x:t>
  </x:si>
  <x:si>
    <x:t xml:space="preserve">Utilidad neta anual (después de intereses e IR)</x:t>
  </x:si>
  <x:si>
    <x:t xml:space="preserve">Margen neto</x:t>
  </x:si>
  <x:si>
    <x:t xml:space="preserve">ROI (sobre CAPEX)</x:t>
  </x:si>
  <x:si>
    <x:t xml:space="preserve">Precio unitario por evento</x:t>
  </x:si>
  <x:si>
    <x:t xml:space="preserve">Costo variable por evento (promedio ponderado)</x:t>
  </x:si>
  <x:si>
    <x:t xml:space="preserve">Margen de contribución por evento</x:t>
  </x:si>
  <x:si>
    <x:t xml:space="preserve">Costos fijos + depreciación mensual</x:t>
  </x:si>
  <x:si>
    <x:t xml:space="preserve">PUNTO DE EQUILIBRIO (eventos por mes)</x:t>
  </x:si>
  <x:si>
    <x:t xml:space="preserve">Saldo de caja acumulado fin de Año 1 (con servicio de deuda)</x:t>
  </x:si>
  <x:si>
    <x:t xml:space="preserve">Saldo de caja mínimo del año (colchón de solvencia)</x:t>
  </x:si>
  <x:si>
    <x:t xml:space="preserve">Servicio de deuda anual (cuota préstamo)</x:t>
  </x:si>
  <x:si>
    <x:t xml:space="preserve">EBITDA anual (caja operativa antes de deuda)</x:t>
  </x:si>
  <x:si>
    <x:t xml:space="preserve">Punto de equilibrio de caja (incl. cuota préstamo, ev/mes)</x:t>
  </x:si>
  <x:si>
    <x:t xml:space="preserve">VAN del proyecto (3 años, al COK)</x:t>
  </x:si>
  <x:si>
    <x:t xml:space="preserve">TIR del proyecto (3 años)</x:t>
  </x:si>
  <x:si>
    <x:t xml:space="preserve">PESIMISTA</x:t>
  </x:si>
  <x:si>
    <x:t xml:space="preserve">REALISTA</x:t>
  </x:si>
  <x:si>
    <x:t xml:space="preserve">OPTIMISTA</x:t>
  </x:si>
  <x:si>
    <x:t xml:space="preserve">Eventos en el año</x:t>
  </x:si>
  <x:si>
    <x:t xml:space="preserve">Margen de contribución</x:t>
  </x:si>
  <x:si>
    <x:t xml:space="preserve">(−) Gastos fijos + deprec. + intereses (anual)</x:t>
  </x:si>
  <x:si>
    <x:t xml:space="preserve">(=) Utilidad antes de impuestos</x:t>
  </x:si>
  <x:si>
    <x:t xml:space="preserve">(=) UTILIDAD NETA</x:t>
  </x:si>
  <x:si>
    <x:t xml:space="preserve">Resultado</x:t>
  </x:si>
  <x:si>
    <x:t xml:space="preserve">RIESGO PAÍS, CLIMA DE NEGOCIOS Y SUPUESTOS MACROECONÓMICOS — PERÚ</x:t>
  </x:si>
  <x:si>
    <x:t xml:space="preserve">A. EVALUACIÓN DE RIESGO PAÍS Y CLIMA DE NEGOCIOS (COFACE)</x:t>
  </x:si>
  <x:si>
    <x:t xml:space="preserve">INDICADOR</x:t>
  </x:si>
  <x:si>
    <x:t xml:space="preserve">EVALUACIÓN</x:t>
  </x:si>
  <x:si>
    <x:t xml:space="preserve">FUENTE / NOTA</x:t>
  </x:si>
  <x:si>
    <x:t xml:space="preserve">Riesgo país (Perú)</x:t>
  </x:si>
  <x:si>
    <x:t xml:space="preserve">A4 – B (moderado a significativo)</x:t>
  </x:si>
  <x:si>
    <x:t xml:space="preserve">COFACE - verificar grado vigente: https://www.coface.com/news-economy-and-insights/business-risk-dashboard/country-risk-files/peru</x:t>
  </x:si>
  <x:si>
    <x:t xml:space="preserve">Clima de negocios (Perú)</x:t>
  </x:si>
  <x:si>
    <x:t xml:space="preserve">A4 (aceptable)</x:t>
  </x:si>
  <x:si>
    <x:t xml:space="preserve">COFACE - clima de negocios: https://www.coface.com/news-economy-and-insights/business-risk-dashboard/country-risk-files/peru</x:t>
  </x:si>
  <x:si>
    <x:t xml:space="preserve">Escala COFACE</x:t>
  </x:si>
  <x:si>
    <x:t xml:space="preserve">A1 (mín.) → A2 → A3 → A4 → B → C → D → E (máx.)</x:t>
  </x:si>
  <x:si>
    <x:t xml:space="preserve">Perú se ubica en el rango medio de la escala</x:t>
  </x:si>
  <x:si>
    <x:t xml:space="preserve">¿Aplica a nuestro caso?</x:t>
  </x:si>
  <x:si>
    <x:t xml:space="preserve">SÍ</x:t>
  </x:si>
  <x:si>
    <x:t xml:space="preserve">Importamos desde China: el riesgo país y el tipo de cambio inciden directamente en costos</x:t>
  </x:si>
  <x:si>
    <x:t xml:space="preserve">B. SUPUESTOS MACROECONÓMICOS (fuentes oficiales — NO son de COFACE)</x:t>
  </x:si>
  <x:si>
    <x:t xml:space="preserve">VARIABLE</x:t>
  </x:si>
  <x:si>
    <x:t xml:space="preserve">SUNAT tipo de cambio: https://e-consulta.sunat.gob.pe/cl-at-ittipcam/tcS01Alias</x:t>
  </x:si>
  <x:si>
    <x:t xml:space="preserve">Inflación proyectada anual</x:t>
  </x:si>
  <x:si>
    <x:t xml:space="preserve">BCRP reporte de inflación/rango meta: https://www.bcrp.gob.pe/publicaciones/reporte-de-inflacion.html</x:t>
  </x:si>
  <x:si>
    <x:t xml:space="preserve">IGV</x:t>
  </x:si>
  <x:si>
    <x:t xml:space="preserve">SUNAT IGV: https://orientacion.sunat.gob.pe/3051-concepto-tasa-y-operaciones-gravadas-igv-empresas</x:t>
  </x:si>
  <x:si>
    <x:t xml:space="preserve">Régimen tributario</x:t>
  </x:si>
  <x:si>
    <x:t xml:space="preserve">MYPE Tributario (IR 10% hasta 15 UIT)</x:t>
  </x:si>
  <x:si>
    <x:t xml:space="preserve">SUNAT RMT: https://orientacion.sunat.gob.pe/3053-regimen-mype-tributario-rmt</x:t>
  </x:si>
  <x:si>
    <x:t xml:space="preserve">C. CONTEXTO SECTORIAL Y LECTURA PARA EL PROYECTO</x:t>
  </x:si>
  <x:si>
    <x:t xml:space="preserve">ASPECTO</x:t>
  </x:si>
  <x:si>
    <x:t xml:space="preserve">DETALLE</x:t>
  </x:si>
  <x:si>
    <x:t xml:space="preserve">Crecimiento del sector eventos</x:t>
  </x:si>
  <x:si>
    <x:t xml:space="preserve">~18% anual (estimado de mercado / gremios; NO es dato COFACE)</x:t>
  </x:si>
  <x:si>
    <x:t xml:space="preserve">Fortaleza</x:t>
  </x:si>
  <x:si>
    <x:t xml:space="preserve">Alta demanda en Lima y provincias (bodas, graduaciones, corporativo premium)</x:t>
  </x:si>
  <x:si>
    <x:t xml:space="preserve">Riesgo clave</x:t>
  </x:si>
  <x:si>
    <x:t xml:space="preserve">Dependencia de importaciones y volatilidad del tipo de cambio</x:t>
  </x:si>
  <x:si>
    <x:t xml:space="preserve">Mitigación</x:t>
  </x:si>
  <x:si>
    <x:t xml:space="preserve">Importación por fases, margen de contribución amplio (S/.773/evento), proveedores ISO 9001</x:t>
  </x:si>
  <x:si>
    <x:t xml:space="preserve">CONCLUSIÓN</x:t>
  </x:si>
  <x:si>
    <x:t xml:space="preserve">Riesgo país moderado y clima aceptable; el modelo es viable y resiste shocks moderados de tipo de cambio</x:t>
  </x:si>
  <x:si>
    <x:t xml:space="preserve">ANEXO 1: ACTIVOS OPERATIVOS Y COTIZACIONES (importación China)</x:t>
  </x:si>
  <x:si>
    <x:t xml:space="preserve">EQUIPO</x:t>
  </x:si>
  <x:si>
    <x:t xml:space="preserve">ESPECIFICACIÓN</x:t>
  </x:si>
  <x:si>
    <x:t xml:space="preserve">COTIZACIÓN (USD)</x:t>
  </x:si>
  <x:si>
    <x:t xml:space="preserve">PROVEEDOR / ORIGEN</x:t>
  </x:si>
  <x:si>
    <x:t xml:space="preserve">Plataforma giratoria 360°</x:t>
  </x:si>
  <x:si>
    <x:t xml:space="preserve">Motorizada, fibra de carbono, brazos estabilizadores</x:t>
  </x:si>
  <x:si>
    <x:t xml:space="preserve">Shenzhen</x:t>
  </x:si>
  <x:si>
    <x:t xml:space="preserve">Espejo Mágico / Tótem</x:t>
  </x:si>
  <x:si>
    <x:t xml:space="preserve">Pantalla táctil 55 pulgadas, impresión térmica</x:t>
  </x:si>
  <x:si>
    <x:t xml:space="preserve">Cabina LED Immersive</x:t>
  </x:si>
  <x:si>
    <x:t xml:space="preserve">Estructura inflable 2x2m, 500 LED, cromakey</x:t>
  </x:si>
  <x:si>
    <x:t xml:space="preserve">Guangzhou</x:t>
  </x:si>
  <x:si>
    <x:t xml:space="preserve">Teléfono vintage modificado, subida a la nube</x:t>
  </x:si>
  <x:si>
    <x:t xml:space="preserve">Yiwu</x:t>
  </x:si>
  <x:si>
    <x:t xml:space="preserve">Router Multi-Carrier</x:t>
  </x:si>
  <x:si>
    <x:t xml:space="preserve">Doble SIM, conectividad portátil en venue</x:t>
  </x:si>
  <x:si>
    <x:t xml:space="preserve">Kit de contingencia Clase A</x:t>
  </x:si>
  <x:si>
    <x:t xml:space="preserve">Repuestos físicos críticos (fuentes, cables)</x:t>
  </x:si>
  <x:si>
    <x:t xml:space="preserve">Nota: Las cotizaciones FOB (Shenzhen/Guangzhou/Yiwu) de las 4 líneas principales son la FUENTE de costeo de la hoja G. EXPORT (DFI) y, vía ésta, de INVERSIÓN. El costo en soles se obtiene en la hoja COTIZACIONES (USD × tipo de cambio SUNAT).</x:t>
  </x:si>
  <x:si>
    <x:t xml:space="preserve">ANEXO 2: DETALLE DE COTIZACIONES Y CONVERSIÓN A SOLES</x:t>
  </x:si>
  <x:si>
    <x:t xml:space="preserve">TIPO DE CAMBIO</x:t>
  </x:si>
  <x:si>
    <x:t xml:space="preserve">COSTO EN S/.</x:t>
  </x:si>
  <x:si>
    <x:t xml:space="preserve">Plataforma 360°</x:t>
  </x:si>
  <x:si>
    <x:t xml:space="preserve">Cabina LED</x:t>
  </x:si>
  <x:si>
    <x:t xml:space="preserve">TOTAL 4 LÍNEAS PRINCIPALES (FOB)</x:t>
  </x:si>
  <x:si>
    <x:t xml:space="preserve">Nota: USD tomado del Anexo 1; tipo de cambio de la hoja COFACE (SUNAT). El FOB total alimenta el cálculo de CIF, tributos y DDP en la hoja G. EXPORT.</x:t>
  </x:si>
  <x:si>
    <x:t xml:space="preserve">BITACORA DE AJUSTES Y JUSTIFICACION - GLOBAL EVENT IMPORTS S.A.C.</x:t>
  </x:si>
  <x:si>
    <x:t xml:space="preserve">Área</x:t>
  </x:si>
  <x:si>
    <x:t xml:space="preserve">Concepto</x:t>
  </x:si>
  <x:si>
    <x:t xml:space="preserve">Ajuste realizado</x:t>
  </x:si>
  <x:si>
    <x:t xml:space="preserve">Justificación</x:t>
  </x:si>
  <x:si>
    <x:t xml:space="preserve">Impacto / fórmula</x:t>
  </x:si>
  <x:si>
    <x:t xml:space="preserve">Fuente / link</x:t>
  </x:si>
  <x:si>
    <x:t xml:space="preserve">SEGMENTACION</x:t>
  </x:si>
  <x:si>
    <x:t xml:space="preserve">Links de sustento</x:t>
  </x:si>
  <x:si>
    <x:t xml:space="preserve">Se reemplazaron referencias textuales por hipervínculos o URLs actuales.</x:t>
  </x:si>
  <x:si>
    <x:t xml:space="preserve">Evita fuentes muertas y permite auditoría externa del embudo.</x:t>
  </x:si>
  <x:si>
    <x:t xml:space="preserve">E4:E18 y E22:E26</x:t>
  </x:si>
  <x:si>
    <x:t xml:space="preserve">https://m.inei.gob.pe/estadisticas/indice-tematico/poblacion-y-vivienda/ | https://www.gob.pe/institucion/inei/noticias/1087571-lima-supera-los-10-millones-400-mil-habitantes | https://apeim.com.pe/</x:t>
  </x:si>
  <x:si>
    <x:t xml:space="preserve">Población Lima</x:t>
  </x:si>
  <x:si>
    <x:t xml:space="preserve">Se actualizó Lima Metropolitana a 10,432,133 personas.</x:t>
  </x:si>
  <x:si>
    <x:t xml:space="preserve">Dato publicado por INEI/Gob.pe para Lima 2025.</x:t>
  </x:si>
  <x:si>
    <x:t xml:space="preserve">C5; B5 = C5/C4</x:t>
  </x:si>
  <x:si>
    <x:t xml:space="preserve">https://www.gob.pe/institucion/inei/noticias/1087571-lima-supera-los-10-millones-400-mil-habitantes</x:t>
  </x:si>
  <x:si>
    <x:t xml:space="preserve">Participación requerida</x:t>
  </x:si>
  <x:si>
    <x:t xml:space="preserve">B17 ahora se calcula como ventas Año 1 / demanda insatisfecha.</x:t>
  </x:si>
  <x:si>
    <x:t xml:space="preserve">Evita hardcodear market share y mantiene coherencia con la proyección comercial.</x:t>
  </x:si>
  <x:si>
    <x:t xml:space="preserve">B17 = 'PROYECCION DE VENTAS'!B19/C16</x:t>
  </x:si>
  <x:si>
    <x:t xml:space="preserve">Modelo interno</x:t>
  </x:si>
  <x:si>
    <x:t xml:space="preserve">G. EXPORT</x:t>
  </x:si>
  <x:si>
    <x:t xml:space="preserve">Tributos recuperables</x:t>
  </x:si>
  <x:si>
    <x:t xml:space="preserve">IGV, IPM y percepción se excluyen del factor capitalizable.</x:t>
  </x:si>
  <x:si>
    <x:t xml:space="preserve">Son desembolsos/cuentas recuperables, no costo económico permanente del activo.</x:t>
  </x:si>
  <x:si>
    <x:t xml:space="preserve">D46 = (D44-D48)/D17; D48 = D28+D29+D30</x:t>
  </x:si>
  <x:si>
    <x:t xml:space="preserve">https://orientacion.sunat.gob.pe/3051-concepto-tasa-y-operaciones-gravadas-igv-empresas</x:t>
  </x:si>
  <x:si>
    <x:t xml:space="preserve">CAPITAL DE TRABAJO</x:t>
  </x:si>
  <x:si>
    <x:t xml:space="preserve">Crédito fiscal/percepción</x:t>
  </x:si>
  <x:si>
    <x:t xml:space="preserve">Se agregó como capital de trabajo recuperable.</x:t>
  </x:si>
  <x:si>
    <x:t xml:space="preserve">Mantiene la necesidad de caja sin inflar CAPEX/depreciación.</x:t>
  </x:si>
  <x:si>
    <x:t xml:space="preserve">B10 = 'G. EXPORT'!E48; B11 = SUM(B6:B10)</x:t>
  </x:si>
  <x:si>
    <x:t xml:space="preserve">Modelo interno / SUNAT</x:t>
  </x:si>
  <x:si>
    <x:t xml:space="preserve">INVERSION</x:t>
  </x:si>
  <x:si>
    <x:t xml:space="preserve">Vida útil</x:t>
  </x:si>
  <x:si>
    <x:t xml:space="preserve">Espejo pasa a 4 años y cabina LED a 3 años.</x:t>
  </x:si>
  <x:si>
    <x:t xml:space="preserve">Alineado con FICHA TECNICA: vida útil proyectada por producto.</x:t>
  </x:si>
  <x:si>
    <x:t xml:space="preserve">E6=4; E7=3</x:t>
  </x:si>
  <x:si>
    <x:t xml:space="preserve">FICHA TECNICA!B12:E12</x:t>
  </x:si>
  <x:si>
    <x:t xml:space="preserve">CAPEX Fase 2</x:t>
  </x:si>
  <x:si>
    <x:t xml:space="preserve">Se estimó la expansión de Fase 2 con +1 plataforma, +2 espejos y +1 cabina.</x:t>
  </x:si>
  <x:si>
    <x:t xml:space="preserve">La capacidad sube a 16 eventos/mes desde marzo; antes no había CAPEX asociado.</x:t>
  </x:si>
  <x:si>
    <x:t xml:space="preserve">D56 = D5+2*D6+D7</x:t>
  </x:si>
  <x:si>
    <x:t xml:space="preserve">INVERSION!A56:B56</x:t>
  </x:si>
  <x:si>
    <x:t xml:space="preserve">FLUJO DE CAJA</x:t>
  </x:si>
  <x:si>
    <x:t xml:space="preserve">Desembolso Fase 2</x:t>
  </x:si>
  <x:si>
    <x:t xml:space="preserve">Se agregó fila 26 con CAPEX Fase 2 en marzo 2027.</x:t>
  </x:si>
  <x:si>
    <x:t xml:space="preserve">La expansión autofinanciada debe afectar caja y evaluación de rentabilidad.</x:t>
  </x:si>
  <x:si>
    <x:t xml:space="preserve">F26 = -INVERSION!D56</x:t>
  </x:si>
  <x:si>
    <x:t xml:space="preserve">VAN/TIR</x:t>
  </x:si>
  <x:si>
    <x:t xml:space="preserve">El FCL Año 1 incluye CAPEX Fase 2.</x:t>
  </x:si>
  <x:si>
    <x:t xml:space="preserve">La evaluación refleja la inversión necesaria para sostener capacidad futura.</x:t>
  </x:si>
  <x:si>
    <x:t xml:space="preserve">C58 = C54+C55+C56</x:t>
  </x:si>
  <x:si>
    <x:t xml:space="preserve">Aporte por socio</x:t>
  </x:si>
  <x:si>
    <x:t xml:space="preserve">Se corrigió divisor de 3 a 6 fundadores.</x:t>
  </x:si>
  <x:si>
    <x:t xml:space="preserve">La hoja indica aporte de socios (6 fundadores); el cálculo anterior decía ÷3.</x:t>
  </x:si>
  <x:si>
    <x:t xml:space="preserve">B23 = B20/6</x:t>
  </x:si>
  <x:si>
    <x:t xml:space="preserve">CARATULA / CAPITAL DE TRABAJO</x:t>
  </x:si>
  <x:si>
    <x:t xml:space="preserve">CHECKS DEL MODELO FINANCIERO</x:t>
  </x:si>
  <x:si>
    <x:t xml:space="preserve">Check</x:t>
  </x:si>
  <x:si>
    <x:t xml:space="preserve">Actual</x:t>
  </x:si>
  <x:si>
    <x:t xml:space="preserve">Esperado</x:t>
  </x:si>
  <x:si>
    <x:t xml:space="preserve">Diferencia</x:t>
  </x:si>
  <x:si>
    <x:t xml:space="preserve">Tolerancia</x:t>
  </x:si>
  <x:si>
    <x:t xml:space="preserve">Estado</x:t>
  </x:si>
  <x:si>
    <x:t xml:space="preserve">Notas / ubicación</x:t>
  </x:si>
  <x:si>
    <x:t xml:space="preserve">Eventos meta = proyección ventas</x:t>
  </x:si>
  <x:si>
    <x:t xml:space="preserve">SEGMENTACION C18 vs PROYECCION DE VENTAS B19</x:t>
  </x:si>
  <x:si>
    <x:t xml:space="preserve">CAPEX Fase 2 identificado</x:t>
  </x:si>
  <x:si>
    <x:t xml:space="preserve">INVERSION D56</x:t>
  </x:si>
  <x:si>
    <x:t xml:space="preserve">CAPEX Fase 2 incluido en FCL Año 1</x:t>
  </x:si>
  <x:si>
    <x:t xml:space="preserve">FLUJO DE CAJA C56</x:t>
  </x:si>
  <x:si>
    <x:t xml:space="preserve">Capital de trabajo recuperado al cierre</x:t>
  </x:si>
  <x:si>
    <x:t xml:space="preserve">FLUJO DE CAJA E57 vs CAPITAL DE TRABAJO B11</x:t>
  </x:si>
  <x:si>
    <x:t xml:space="preserve">Factor neto excluye tributos recuperables</x:t>
  </x:si>
  <x:si>
    <x:t xml:space="preserve">G. EXPORT D46</x:t>
  </x:si>
  <x:si>
    <x:t xml:space="preserve">Vidas útiles importadas alineadas</x:t>
  </x:si>
  <x:si>
    <x:t xml:space="preserve">INVERSION E5:E8 = 5+4+3+5</x:t>
  </x:si>
  <x:si>
    <x:t xml:space="preserve">VAN positivo</x:t>
  </x:si>
  <x:si>
    <x:t xml:space="preserve">FLUJO DE CAJA B61</x:t>
  </x:si>
  <x:si>
    <x:t xml:space="preserve">TIR &gt; COK</x:t>
  </x:si>
  <x:si>
    <x:t xml:space="preserve">FLUJO DE CAJA B62 vs B43</x:t>
  </x:si>
  <x:si>
    <x:t xml:space="preserve">Caja mínima positiva</x:t>
  </x:si>
  <x:si>
    <x:t xml:space="preserve">RESUMEN FINANCIERO B15</x:t>
  </x:si>
</x:sst>
</file>

<file path=xl/styles.xml><?xml version="1.0" encoding="utf-8"?>
<x:styleSheet xmlns:x="http://schemas.openxmlformats.org/spreadsheetml/2006/main">
  <x:numFmts count="6">
    <x:numFmt numFmtId="164" formatCode="0.0%"/>
    <x:numFmt numFmtId="165" formatCode="0.000"/>
    <x:numFmt numFmtId="166" formatCode="#,##0.0"/>
    <x:numFmt numFmtId="167" formatCode="0.0"/>
    <x:numFmt numFmtId="200" formatCode="#,##0.00"/>
    <x:numFmt numFmtId="201" formatCode="0"/>
  </x:numFmts>
  <x:fonts count="41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3"/>
      <x:color theme="1"/>
      <x:name val="Aptos Narrow"/>
    </x:font>
    <x:font>
      <x:sz val="11"/>
      <x:color theme="10"/>
      <x:name val="Aptos Narrow"/>
    </x:font>
    <x:font>
      <x:b/>
      <x:sz val="11"/>
      <x:color rgb="FFFFFFFF"/>
      <x:name val="Aptos Narrow"/>
    </x:font>
    <x:font>
      <x:b/>
      <x:sz val="14"/>
      <x:color rgb="FFFBBF24"/>
      <x:name val="Aptos Narrow"/>
    </x:font>
    <x:font>
      <x:b/>
      <x:sz val="11"/>
      <x:color rgb="FF1E293B"/>
      <x:name val="Aptos Narrow"/>
    </x:font>
    <x:font>
      <x:i/>
      <x:sz val="9"/>
      <x:color theme="1"/>
      <x:name val="Aptos Narrow"/>
    </x:font>
    <x:font>
      <x:b/>
      <x:sz val="12"/>
      <x:color rgb="FF0F172A"/>
      <x:name val="Aptos Narrow"/>
    </x:font>
    <x:font>
      <x:b/>
      <x:sz val="15"/>
      <x:color rgb="FFFBBF24"/>
      <x:name val="Aptos Narrow"/>
    </x:font>
    <x:font>
      <x:b/>
      <x:sz val="13"/>
      <x:color rgb="FFFBBF24"/>
      <x:name val="Aptos Narrow"/>
    </x:font>
    <x:font>
      <x:b/>
      <x:sz val="11"/>
      <x:color rgb="FF0F172A"/>
      <x:name val="Aptos Narrow"/>
    </x:font>
    <x:font>
      <x:b/>
      <x:sz val="12"/>
      <x:color rgb="FFFBBF24"/>
      <x:name val="Aptos Narrow"/>
    </x:font>
    <x:font>
      <x:sz val="10"/>
      <x:color theme="1"/>
      <x:name val="Segoe UI"/>
    </x:font>
    <x:font>
      <x:b/>
      <x:sz val="11"/>
      <x:color rgb="FFFFFFFF"/>
      <x:name val="Segoe UI"/>
    </x:font>
    <x:font>
      <x:b/>
      <x:sz val="10"/>
      <x:color rgb="FFFFFFFF"/>
      <x:name val="Segoe UI"/>
    </x:font>
    <x:font>
      <x:b/>
      <x:sz val="13"/>
      <x:color rgb="FFFBBF24"/>
      <x:name val="Segoe UI"/>
    </x:font>
    <x:font>
      <x:b/>
      <x:sz val="11"/>
      <x:color rgb="FFFBBF24"/>
      <x:name val="Aptos Narrow"/>
    </x:font>
    <x:font>
      <x:b/>
      <x:sz val="13"/>
      <x:color rgb="FFFFFFFF"/>
      <x:name val="Segoe UI"/>
    </x:font>
    <x:font>
      <x:sz val="9"/>
      <x:color theme="1"/>
      <x:name val="Segoe UI"/>
    </x:font>
    <x:font>
      <x:sz val="9"/>
      <x:color theme="10"/>
      <x:name val="Segoe UI"/>
    </x:font>
    <x:font>
      <x:b/>
      <x:sz val="9"/>
      <x:color rgb="FF000000"/>
      <x:name val="Segoe UI"/>
    </x:font>
    <x:font>
      <x:b/>
      <x:sz val="12"/>
      <x:color rgb="FFFFFFFF"/>
      <x:name val="Segoe UI"/>
    </x:font>
    <x:font>
      <x:sz val="9"/>
      <x:color rgb="FF0000FF"/>
      <x:name val="Segoe UI"/>
    </x:font>
    <x:font>
      <x:sz val="11"/>
      <x:color rgb="FF0000FF"/>
      <x:name val="Aptos Narrow"/>
    </x:font>
    <x:font>
      <x:sz val="10"/>
      <x:color rgb="FF0000FF"/>
      <x:name val="Segoe UI"/>
    </x:font>
    <x:font>
      <x:b/>
      <x:sz val="11"/>
      <x:color rgb="FF000000"/>
      <x:name val="Aptos Narrow"/>
    </x:font>
    <x:font>
      <x:b/>
      <x:sz val="11"/>
      <x:color rgb="FF0000FF"/>
      <x:name val="Aptos Narrow"/>
    </x:font>
    <x:font>
      <x:sz val="10"/>
      <x:color rgb="FF000000"/>
      <x:name val="Aptos Narrow"/>
    </x:font>
    <x:font>
      <x:b/>
      <x:sz val="11"/>
      <x:color rgb="FFFBBF24"/>
      <x:name val="Aptos Narrow"/>
    </x:font>
    <x:font>
      <x:b/>
      <x:sz val="10"/>
      <x:color rgb="FFFFFFFF"/>
      <x:name val="Aptos Narrow"/>
    </x:font>
    <x:font>
      <x:b/>
      <x:sz val="10"/>
      <x:color rgb="FF000000"/>
      <x:name val="Aptos Narrow"/>
    </x:font>
    <x:font>
      <x:b/>
      <x:sz val="10"/>
      <x:color rgb="FF0F172A"/>
      <x:name val="Aptos Narrow"/>
    </x:font>
    <x:font>
      <x:i/>
      <x:sz val="9"/>
      <x:color rgb="FF808080"/>
      <x:name val="Aptos Narrow"/>
    </x:font>
    <x:font>
      <x:sz val="10"/>
      <x:color rgb="FF0000FF"/>
      <x:name val="Aptos Narrow"/>
    </x:font>
    <x:font>
      <x:i/>
      <x:sz val="9"/>
      <x:color rgb="FF666666"/>
      <x:name val="Aptos Narrow"/>
    </x:font>
    <x:font>
      <x:sz val="11"/>
      <x:color rgb="FF008000"/>
      <x:name val="Aptos Narrow"/>
    </x:font>
    <x:font>
      <x:sz val="11"/>
      <x:color rgb="FF000000"/>
      <x:name val="Aptos Narrow"/>
    </x:font>
    <x:font>
      <x:i/>
      <x:sz val="9"/>
      <x:color rgb="FF000000"/>
      <x:name val="Aptos Narrow"/>
    </x:font>
    <x:font>
      <x:b/>
      <x:sz val="14"/>
      <x:color rgb="FFFFC000"/>
      <x:name val="Aptos Narrow"/>
    </x:font>
    <x:font>
      <x:b/>
      <x:sz val="11"/>
      <x:color rgb="FFFFC000"/>
      <x:name val="Aptos Narrow"/>
    </x:font>
  </x:fonts>
  <x:fills count="3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EF3C7"/>
      </x:patternFill>
    </x:fill>
    <x:fill>
      <x:patternFill patternType="solid">
        <x:fgColor rgb="FFE2E8F0"/>
      </x:patternFill>
    </x:fill>
    <x:fill>
      <x:patternFill patternType="solid">
        <x:fgColor rgb="FFFFFF00"/>
      </x:patternFill>
    </x:fill>
    <x:fill>
      <x:patternFill patternType="solid">
        <x:fgColor rgb="FFD0D8EA"/>
      </x:patternFill>
    </x:fill>
    <x:fill>
      <x:patternFill patternType="solid">
        <x:fgColor rgb="FFFBBF24"/>
      </x:patternFill>
    </x:fill>
    <x:fill>
      <x:patternFill patternType="solid">
        <x:fgColor rgb="FF1E293B"/>
      </x:patternFill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DCFCE7"/>
      </x:patternFill>
    </x:fill>
    <x:fill>
      <x:patternFill patternType="solid">
        <x:fgColor rgb="FFFFFFFF"/>
      </x:patternFill>
    </x:fill>
    <x:fill>
      <x:patternFill patternType="solid">
        <x:fgColor rgb="FF0F172A"/>
      </x:patternFill>
    </x:fill>
    <x:fill>
      <x:patternFill patternType="solid">
        <x:fgColor rgb="FF010000"/>
      </x:patternFill>
    </x:fill>
    <x:fill>
      <x:patternFill patternType="solid">
        <x:fgColor rgb="FFFEF3C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2F5F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2F5F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2F5F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2F5F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2F5F8"/>
      </x:patternFill>
    </x:fill>
    <x:fill>
      <x:patternFill patternType="solid">
        <x:fgColor rgb="FFFFFFFF"/>
      </x:patternFill>
    </x:fill>
    <x:fill>
      <x:patternFill patternType="solid">
        <x:fgColor rgb="FF0F172A"/>
      </x:patternFill>
    </x:fill>
    <x:fill>
      <x:patternFill patternType="solid">
        <x:fgColor rgb="FFFFF2CC"/>
      </x:patternFill>
    </x:fill>
    <x:fill>
      <x:patternFill patternType="solid">
        <x:fgColor rgb="FFF2F5F8"/>
      </x:patternFill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2">
    <x:xf numFmtId="0" fontId="0" fillId="0" borderId="0"/>
    <x:xf numFmtId="0" fontId="3" fillId="0" borderId="0"/>
  </x:cellStyleXfs>
  <x:cellXfs count="390">
    <x:xf numFmtId="0" fontId="0" fillId="0" borderId="0" xfId="0"/>
    <x:xf numFmtId="0" fontId="1" fillId="0" borderId="0" xfId="0" applyFont="1"/>
    <x:xf numFmtId="0" fontId="2" fillId="0" borderId="0" xfId="0" applyFont="1"/>
    <x:xf numFmtId="3" fontId="0" fillId="0" borderId="0" xfId="0" applyNumberFormat="1"/>
    <x:xf numFmtId="164" fontId="0" fillId="0" borderId="0" xfId="0" applyNumberFormat="1"/>
    <x:xf numFmtId="0" fontId="0" fillId="0" borderId="0" xfId="0" applyAlignment="1">
      <x:alignment vertical="center"/>
    </x:xf>
    <x:xf numFmtId="0" fontId="11" fillId="0" borderId="0" xfId="0" applyFont="1" applyAlignment="1">
      <x:alignment vertical="center"/>
    </x:xf>
    <x:xf numFmtId="0" fontId="0" fillId="0" borderId="1" xfId="0" applyBorder="1" applyAlignment="1">
      <x:alignment vertical="center"/>
    </x:xf>
    <x:xf numFmtId="0" fontId="1" fillId="0" borderId="1" xfId="0" applyFont="1" applyBorder="1" applyAlignment="1">
      <x:alignment vertical="center"/>
    </x:xf>
    <x:xf numFmtId="3" fontId="1" fillId="0" borderId="1" xfId="0" applyNumberFormat="1" applyFont="1" applyBorder="1" applyAlignment="1">
      <x:alignment vertical="center"/>
    </x:xf>
    <x:xf numFmtId="3" fontId="0" fillId="0" borderId="1" xfId="0" applyNumberFormat="1" applyBorder="1" applyAlignment="1">
      <x:alignment vertical="center"/>
    </x:xf>
    <x:xf numFmtId="164" fontId="0" fillId="0" borderId="1" xfId="0" applyNumberFormat="1" applyBorder="1" applyAlignment="1">
      <x:alignment vertical="center"/>
    </x:xf>
    <x:xf numFmtId="0" fontId="0" fillId="0" borderId="0" xfId="0" applyAlignment="1">
      <x:alignment horizontal="right" vertical="center"/>
    </x:xf>
    <x:xf numFmtId="0" fontId="7" fillId="0" borderId="0" xfId="0" applyFont="1" applyAlignment="1">
      <x:alignment vertical="center"/>
    </x:xf>
    <x:xf numFmtId="0" fontId="1" fillId="0" borderId="0" xfId="0" applyFont="1" applyAlignment="1">
      <x:alignment vertical="center"/>
    </x:xf>
    <x:xf numFmtId="0" fontId="1" fillId="2" borderId="1" xfId="0" applyFont="1" applyFill="1" applyBorder="1" applyAlignment="1">
      <x:alignment vertical="center" wrapText="1"/>
    </x:xf>
    <x:xf numFmtId="0" fontId="0" fillId="2" borderId="1" xfId="0" applyFill="1" applyBorder="1" applyAlignment="1">
      <x:alignment vertical="center" wrapText="1"/>
    </x:xf>
    <x:xf numFmtId="0" fontId="3" fillId="2" borderId="1" xfId="1" applyFill="1" applyBorder="1" applyAlignment="1">
      <x:alignment vertical="center" wrapText="1"/>
    </x:xf>
    <x:xf numFmtId="0" fontId="6" fillId="3" borderId="1" xfId="0" applyFont="1" applyFill="1" applyBorder="1" applyAlignment="1">
      <x:alignment vertical="center" wrapText="1"/>
    </x:xf>
    <x:xf numFmtId="0" fontId="1" fillId="4" borderId="1" xfId="0" applyFont="1" applyFill="1" applyBorder="1" applyAlignment="1">
      <x:alignment vertical="center" wrapText="1"/>
    </x:xf>
    <x:xf numFmtId="0" fontId="0" fillId="2" borderId="1" xfId="0" applyFill="1" applyBorder="1" applyAlignment="1">
      <x:alignment horizontal="center" vertical="center" wrapText="1"/>
    </x:xf>
    <x:xf numFmtId="0" fontId="8" fillId="0" borderId="0" xfId="0" applyFont="1" applyAlignment="1">
      <x:alignment vertical="center"/>
    </x:xf>
    <x:xf numFmtId="0" fontId="11" fillId="0" borderId="0" xfId="0" applyFont="1"/>
    <x:xf numFmtId="3" fontId="1" fillId="0" borderId="0" xfId="0" applyNumberFormat="1" applyFont="1"/>
    <x:xf numFmtId="0" fontId="7" fillId="0" borderId="0" xfId="0" applyFont="1"/>
    <x:xf numFmtId="0" fontId="3" fillId="0" borderId="0" xfId="1"/>
    <x:xf numFmtId="165" fontId="0" fillId="0" borderId="0" xfId="0" applyNumberFormat="1"/>
    <x:xf numFmtId="0" fontId="0" fillId="0" borderId="0" xfId="0" applyAlignment="1">
      <x:alignment horizontal="right"/>
    </x:xf>
    <x:xf numFmtId="0" fontId="13" fillId="0" borderId="2" xfId="0" applyFont="1" applyBorder="1"/>
    <x:xf numFmtId="0" fontId="13" fillId="0" borderId="2" xfId="0" applyFont="1" applyBorder="1" applyAlignment="1">
      <x:alignment horizontal="center"/>
    </x:xf>
    <x:xf numFmtId="0" fontId="0" fillId="0" borderId="1" xfId="0" applyBorder="1"/>
    <x:xf numFmtId="3" fontId="0" fillId="0" borderId="1" xfId="0" applyNumberFormat="1" applyBorder="1"/>
    <x:xf numFmtId="164" fontId="0" fillId="0" borderId="1" xfId="0" applyNumberFormat="1" applyBorder="1"/>
    <x:xf numFmtId="0" fontId="1" fillId="0" borderId="1" xfId="0" applyFont="1" applyBorder="1"/>
    <x:xf numFmtId="3" fontId="1" fillId="0" borderId="1" xfId="0" applyNumberFormat="1" applyFont="1" applyBorder="1"/>
    <x:xf numFmtId="164" fontId="1" fillId="0" borderId="1" xfId="0" applyNumberFormat="1" applyFont="1" applyBorder="1"/>
    <x:xf numFmtId="166" fontId="0" fillId="0" borderId="0" xfId="0" applyNumberFormat="1"/>
    <x:xf numFmtId="166" fontId="1" fillId="3" borderId="0" xfId="0" applyNumberFormat="1" applyFont="1" applyFill="1"/>
    <x:xf numFmtId="0" fontId="1" fillId="3" borderId="1" xfId="0" applyFont="1" applyFill="1" applyBorder="1"/>
    <x:xf numFmtId="3" fontId="1" fillId="3" borderId="1" xfId="0" applyNumberFormat="1" applyFont="1" applyFill="1" applyBorder="1"/>
    <x:xf numFmtId="0" fontId="1" fillId="3" borderId="0" xfId="0" applyFont="1" applyFill="1"/>
    <x:xf numFmtId="49" fontId="0" fillId="0" borderId="0" xfId="0" applyNumberFormat="1"/>
    <x:xf numFmtId="49" fontId="1" fillId="0" borderId="0" xfId="0" applyNumberFormat="1" applyFont="1"/>
    <x:xf numFmtId="3" fontId="1" fillId="3" borderId="0" xfId="0" applyNumberFormat="1" applyFont="1" applyFill="1"/>
    <x:xf numFmtId="164" fontId="1" fillId="3" borderId="1" xfId="0" applyNumberFormat="1" applyFont="1" applyFill="1" applyBorder="1"/>
    <x:xf numFmtId="167" fontId="1" fillId="3" borderId="0" xfId="0" applyNumberFormat="1" applyFont="1" applyFill="1"/>
    <x:xf numFmtId="164" fontId="1" fillId="3" borderId="0" xfId="0" applyNumberFormat="1" applyFont="1" applyFill="1"/>
    <x:xf numFmtId="165" fontId="1" fillId="3" borderId="0" xfId="0" applyNumberFormat="1" applyFont="1" applyFill="1"/>
    <x:xf numFmtId="164" fontId="19" fillId="0" borderId="2" xfId="0" applyNumberFormat="1" applyFont="1" applyBorder="1" applyAlignment="1">
      <x:alignment horizontal="right"/>
    </x:xf>
    <x:xf numFmtId="3" fontId="19" fillId="0" borderId="2" xfId="0" applyNumberFormat="1" applyFont="1" applyBorder="1" applyAlignment="1">
      <x:alignment horizontal="right"/>
    </x:xf>
    <x:xf numFmtId="0" fontId="19" fillId="0" borderId="2" xfId="0" applyFont="1" applyBorder="1" applyAlignment="1">
      <x:alignment horizontal="center"/>
    </x:xf>
    <x:xf numFmtId="0" fontId="19" fillId="0" borderId="2" xfId="0" applyFont="1" applyBorder="1"/>
    <x:xf numFmtId="0" fontId="19" fillId="0" borderId="2" xfId="0" applyFont="1" applyBorder="1" applyAlignment="1">
      <x:alignment horizontal="left"/>
    </x:xf>
    <x:xf numFmtId="3" fontId="23" fillId="5" borderId="2" xfId="0" applyNumberFormat="1" applyFont="1" applyFill="1" applyBorder="1" applyAlignment="1">
      <x:alignment horizontal="right"/>
    </x:xf>
    <x:xf numFmtId="164" fontId="23" fillId="5" borderId="2" xfId="0" applyNumberFormat="1" applyFont="1" applyFill="1" applyBorder="1" applyAlignment="1">
      <x:alignment horizontal="right"/>
    </x:xf>
    <x:xf numFmtId="0" fontId="19" fillId="6" borderId="2" xfId="0" applyFont="1" applyFill="1" applyBorder="1"/>
    <x:xf numFmtId="3" fontId="19" fillId="6" borderId="2" xfId="0" applyNumberFormat="1" applyFont="1" applyFill="1" applyBorder="1" applyAlignment="1">
      <x:alignment horizontal="right"/>
    </x:xf>
    <x:xf numFmtId="0" fontId="19" fillId="6" borderId="2" xfId="0" applyFont="1" applyFill="1" applyBorder="1" applyAlignment="1">
      <x:alignment horizontal="center"/>
    </x:xf>
    <x:xf numFmtId="164" fontId="19" fillId="6" borderId="2" xfId="0" applyNumberFormat="1" applyFont="1" applyFill="1" applyBorder="1" applyAlignment="1">
      <x:alignment horizontal="right"/>
    </x:xf>
    <x:xf numFmtId="0" fontId="21" fillId="7" borderId="2" xfId="0" applyFont="1" applyFill="1" applyBorder="1"/>
    <x:xf numFmtId="0" fontId="21" fillId="7" borderId="2" xfId="0" applyFont="1" applyFill="1" applyBorder="1" applyAlignment="1">
      <x:alignment horizontal="right"/>
    </x:xf>
    <x:xf numFmtId="3" fontId="21" fillId="7" borderId="2" xfId="0" applyNumberFormat="1" applyFont="1" applyFill="1" applyBorder="1" applyAlignment="1">
      <x:alignment horizontal="right"/>
    </x:xf>
    <x:xf numFmtId="0" fontId="21" fillId="7" borderId="2" xfId="0" applyFont="1" applyFill="1" applyBorder="1" applyAlignment="1">
      <x:alignment horizontal="center"/>
    </x:xf>
    <x:xf numFmtId="0" fontId="20" fillId="0" borderId="2" xfId="0" applyFont="1" applyBorder="1" applyAlignment="1">
      <x:alignment wrapText="1"/>
    </x:xf>
    <x:xf numFmtId="165" fontId="24" fillId="5" borderId="0" xfId="0" applyNumberFormat="1" applyFont="1" applyFill="1"/>
    <x:xf numFmtId="164" fontId="24" fillId="5" borderId="0" xfId="0" applyNumberFormat="1" applyFont="1" applyFill="1"/>
    <x:xf numFmtId="0" fontId="1" fillId="6" borderId="0" xfId="0" applyFont="1" applyFill="1"/>
    <x:xf numFmtId="0" fontId="0" fillId="6" borderId="0" xfId="0" applyFill="1"/>
    <x:xf numFmtId="164" fontId="1" fillId="6" borderId="0" xfId="0" applyNumberFormat="1" applyFont="1" applyFill="1"/>
    <x:xf numFmtId="3" fontId="1" fillId="6" borderId="0" xfId="0" applyNumberFormat="1" applyFont="1" applyFill="1"/>
    <x:xf numFmtId="3" fontId="0" fillId="6" borderId="0" xfId="0" applyNumberFormat="1" applyFill="1"/>
    <x:xf numFmtId="4" fontId="0" fillId="0" borderId="0" xfId="0" applyNumberFormat="1"/>
    <x:xf numFmtId="4" fontId="1" fillId="0" borderId="0" xfId="0" applyNumberFormat="1" applyFont="1"/>
    <x:xf numFmtId="4" fontId="24" fillId="5" borderId="0" xfId="0" applyNumberFormat="1" applyFont="1" applyFill="1"/>
    <x:xf numFmtId="0" fontId="24" fillId="5" borderId="0" xfId="0" applyFont="1" applyFill="1"/>
    <x:xf numFmtId="0" fontId="15" fillId="6" borderId="2" xfId="0" applyFont="1" applyFill="1" applyBorder="1"/>
    <x:xf numFmtId="0" fontId="15" fillId="6" borderId="2" xfId="0" applyFont="1" applyFill="1" applyBorder="1" applyAlignment="1">
      <x:alignment horizontal="center"/>
    </x:xf>
    <x:xf numFmtId="4" fontId="25" fillId="5" borderId="2" xfId="0" applyNumberFormat="1" applyFont="1" applyFill="1" applyBorder="1" applyAlignment="1">
      <x:alignment horizontal="right"/>
    </x:xf>
    <x:xf numFmtId="4" fontId="15" fillId="6" borderId="2" xfId="0" applyNumberFormat="1" applyFont="1" applyFill="1" applyBorder="1" applyAlignment="1">
      <x:alignment horizontal="right"/>
    </x:xf>
    <x:xf numFmtId="4" fontId="26" fillId="7" borderId="0" xfId="0" applyNumberFormat="1" applyFont="1" applyFill="1"/>
    <x:xf numFmtId="4" fontId="0" fillId="0" borderId="1" xfId="0" applyNumberFormat="1" applyBorder="1"/>
    <x:xf numFmtId="4" fontId="24" fillId="5" borderId="1" xfId="0" applyNumberFormat="1" applyFont="1" applyFill="1" applyBorder="1"/>
    <x:xf numFmtId="4" fontId="1" fillId="0" borderId="1" xfId="0" applyNumberFormat="1" applyFont="1" applyBorder="1"/>
    <x:xf numFmtId="0" fontId="15" fillId="6" borderId="2" xfId="0" applyFont="1" applyFill="1" applyBorder="1" applyAlignment="1">
      <x:alignment wrapText="1"/>
    </x:xf>
    <x:xf numFmtId="0" fontId="26" fillId="7" borderId="0" xfId="0" applyFont="1" applyFill="1" applyAlignment="1">
      <x:alignment wrapText="1"/>
    </x:xf>
    <x:xf numFmtId="0" fontId="24" fillId="5" borderId="1" xfId="0" applyFont="1" applyFill="1" applyBorder="1"/>
    <x:xf numFmtId="0" fontId="4" fillId="8" borderId="1" xfId="0" applyFont="1" applyFill="1" applyBorder="1" applyAlignment="1">
      <x:alignment horizontal="center"/>
    </x:xf>
    <x:xf numFmtId="4" fontId="4" fillId="8" borderId="1" xfId="0" applyNumberFormat="1" applyFont="1" applyFill="1" applyBorder="1" applyAlignment="1">
      <x:alignment horizontal="center"/>
    </x:xf>
    <x:xf numFmtId="4" fontId="0" fillId="6" borderId="1" xfId="0" applyNumberFormat="1" applyFill="1" applyBorder="1"/>
    <x:xf numFmtId="0" fontId="0" fillId="0" borderId="1" xfId="0" applyBorder="1" applyAlignment="1">
      <x:alignment wrapText="1"/>
    </x:xf>
    <x:xf numFmtId="164" fontId="27" fillId="5" borderId="0" xfId="0" applyNumberFormat="1" applyFont="1" applyFill="1"/>
    <x:xf numFmtId="0" fontId="26" fillId="7" borderId="1" xfId="0" applyFont="1" applyFill="1" applyBorder="1"/>
    <x:xf numFmtId="164" fontId="26" fillId="7" borderId="0" xfId="0" applyNumberFormat="1" applyFont="1" applyFill="1"/>
    <x:xf numFmtId="4" fontId="0" fillId="6" borderId="0" xfId="0" applyNumberFormat="1" applyFill="1"/>
    <x:xf numFmtId="4" fontId="1" fillId="3" borderId="0" xfId="0" applyNumberFormat="1" applyFont="1" applyFill="1"/>
    <x:xf numFmtId="4" fontId="26" fillId="7" borderId="1" xfId="0" applyNumberFormat="1" applyFont="1" applyFill="1" applyBorder="1"/>
    <x:xf numFmtId="4" fontId="1" fillId="3" borderId="1" xfId="0" applyNumberFormat="1" applyFont="1" applyFill="1" applyBorder="1"/>
    <x:xf numFmtId="0" fontId="4" fillId="8" borderId="0" xfId="0" applyFont="1" applyFill="1"/>
    <x:xf numFmtId="0" fontId="0" fillId="10" borderId="0" xfId="0" applyFill="1"/>
    <x:xf numFmtId="0" fontId="1" fillId="11" borderId="0" xfId="0" applyFont="1" applyFill="1"/>
    <x:xf numFmtId="4" fontId="0" fillId="10" borderId="0" xfId="0" applyNumberFormat="1" applyFill="1"/>
    <x:xf numFmtId="164" fontId="0" fillId="10" borderId="0" xfId="0" applyNumberFormat="1" applyFill="1"/>
    <x:xf numFmtId="0" fontId="20" fillId="0" borderId="2" xfId="0" applyFont="1" applyBorder="1"/>
    <x:xf numFmtId="0" fontId="4" fillId="9" borderId="1" xfId="0" applyFont="1" applyFill="1" applyBorder="1" applyAlignment="1">
      <x:alignment horizontal="center" vertical="center" wrapText="1"/>
    </x:xf>
    <x:xf numFmtId="0" fontId="1" fillId="10" borderId="1" xfId="0" applyFont="1" applyFill="1" applyBorder="1" applyAlignment="1">
      <x:alignment vertical="center" wrapText="1"/>
    </x:xf>
    <x:xf numFmtId="0" fontId="0" fillId="10" borderId="1" xfId="0" applyFill="1" applyBorder="1" applyAlignment="1">
      <x:alignment vertical="center" wrapText="1"/>
    </x:xf>
    <x:xf numFmtId="0" fontId="3" fillId="10" borderId="1" xfId="1" applyFill="1" applyBorder="1" applyAlignment="1">
      <x:alignment vertical="center" wrapText="1"/>
    </x:xf>
    <x:xf numFmtId="0" fontId="15" fillId="8" borderId="2" xfId="0" applyFont="1" applyFill="1" applyBorder="1" applyAlignment="1">
      <x:alignment horizontal="center"/>
    </x:xf>
    <x:xf numFmtId="0" fontId="19" fillId="10" borderId="2" xfId="0" applyFont="1" applyFill="1" applyBorder="1"/>
    <x:xf numFmtId="0" fontId="19" fillId="10" borderId="2" xfId="0" applyFont="1" applyFill="1" applyBorder="1" applyAlignment="1">
      <x:alignment horizontal="left"/>
    </x:xf>
    <x:xf numFmtId="3" fontId="0" fillId="5" borderId="1" xfId="0" applyNumberFormat="1" applyFill="1" applyBorder="1" applyAlignment="1">
      <x:alignment vertical="center"/>
    </x:xf>
    <x:xf numFmtId="164" fontId="0" fillId="5" borderId="1" xfId="0" applyNumberFormat="1" applyFill="1" applyBorder="1" applyAlignment="1">
      <x:alignment vertical="center"/>
    </x:xf>
    <x:xf numFmtId="0" fontId="4" fillId="9" borderId="0" xfId="0" applyFont="1" applyFill="1" applyAlignment="1">
      <x:alignment horizontal="center"/>
    </x:xf>
    <x:xf numFmtId="3" fontId="0" fillId="5" borderId="0" xfId="0" applyNumberFormat="1" applyFill="1"/>
    <x:xf numFmtId="4" fontId="4" fillId="9" borderId="0" xfId="0" applyNumberFormat="1" applyFont="1" applyFill="1" applyAlignment="1">
      <x:alignment horizontal="center"/>
    </x:xf>
    <x:xf numFmtId="0" fontId="1" fillId="7" borderId="0" xfId="0" applyFont="1" applyFill="1"/>
    <x:xf numFmtId="4" fontId="1" fillId="7" borderId="0" xfId="0" applyNumberFormat="1" applyFont="1" applyFill="1"/>
    <x:xf numFmtId="0" fontId="14" fillId="9" borderId="2" xfId="0" applyFont="1" applyFill="1" applyBorder="1" applyAlignment="1">
      <x:alignment horizontal="center"/>
    </x:xf>
    <x:xf numFmtId="0" fontId="13" fillId="10" borderId="2" xfId="0" applyFont="1" applyFill="1" applyBorder="1"/>
    <x:xf numFmtId="4" fontId="13" fillId="10" borderId="2" xfId="0" applyNumberFormat="1" applyFont="1" applyFill="1" applyBorder="1" applyAlignment="1">
      <x:alignment horizontal="right"/>
    </x:xf>
    <x:xf numFmtId="0" fontId="13" fillId="10" borderId="2" xfId="0" applyFont="1" applyFill="1" applyBorder="1" applyAlignment="1">
      <x:alignment horizontal="center"/>
    </x:xf>
    <x:xf numFmtId="4" fontId="13" fillId="5" borderId="2" xfId="0" applyNumberFormat="1" applyFont="1" applyFill="1" applyBorder="1" applyAlignment="1">
      <x:alignment horizontal="right"/>
    </x:xf>
    <x:xf numFmtId="0" fontId="4" fillId="9" borderId="1" xfId="0" applyFont="1" applyFill="1" applyBorder="1" applyAlignment="1">
      <x:alignment horizontal="center"/>
    </x:xf>
    <x:xf numFmtId="4" fontId="4" fillId="9" borderId="1" xfId="0" applyNumberFormat="1" applyFont="1" applyFill="1" applyBorder="1" applyAlignment="1">
      <x:alignment horizontal="center"/>
    </x:xf>
    <x:xf numFmtId="0" fontId="1" fillId="7" borderId="1" xfId="0" applyFont="1" applyFill="1" applyBorder="1"/>
    <x:xf numFmtId="0" fontId="0" fillId="7" borderId="1" xfId="0" applyFill="1" applyBorder="1"/>
    <x:xf numFmtId="4" fontId="0" fillId="7" borderId="1" xfId="0" applyNumberFormat="1" applyFill="1" applyBorder="1"/>
    <x:xf numFmtId="4" fontId="1" fillId="7" borderId="1" xfId="0" applyNumberFormat="1" applyFont="1" applyFill="1" applyBorder="1"/>
    <x:xf numFmtId="0" fontId="0" fillId="5" borderId="0" xfId="0" applyFill="1"/>
    <x:xf numFmtId="49" fontId="0" fillId="10" borderId="0" xfId="0" applyNumberFormat="1" applyFill="1"/>
    <x:xf numFmtId="3" fontId="0" fillId="10" borderId="0" xfId="0" applyNumberFormat="1" applyFill="1"/>
    <x:xf numFmtId="9" fontId="0" fillId="5" borderId="0" xfId="0" applyNumberFormat="1" applyFill="1"/>
    <x:xf numFmtId="166" fontId="0" fillId="10" borderId="0" xfId="0" applyNumberFormat="1" applyFill="1"/>
    <x:xf numFmtId="4" fontId="4" fillId="9" borderId="0" xfId="0" applyNumberFormat="1" applyFont="1" applyFill="1"/>
    <x:xf numFmtId="0" fontId="1" fillId="10" borderId="0" xfId="0" applyFont="1" applyFill="1"/>
    <x:xf numFmtId="4" fontId="1" fillId="10" borderId="0" xfId="0" applyNumberFormat="1" applyFont="1" applyFill="1"/>
    <x:xf numFmtId="165" fontId="0" fillId="10" borderId="0" xfId="0" applyNumberFormat="1" applyFill="1"/>
    <x:xf numFmtId="0" fontId="9" fillId="9" borderId="0" xfId="0" applyFont="1" applyFill="1" applyAlignment="1">
      <x:alignment horizontal="center" vertical="center"/>
    </x:xf>
    <x:xf numFmtId="0" fontId="7" fillId="0" borderId="0" xfId="0" applyFont="1" applyAlignment="1">
      <x:alignment wrapText="1"/>
    </x:xf>
    <x:xf numFmtId="0" fontId="26" fillId="7" borderId="0" xfId="0" applyFont="1" applyFill="1"/>
    <x:xf numFmtId="0" fontId="0" fillId="0" borderId="0" xfId="0" applyAlignment="1">
      <x:alignment wrapText="1"/>
    </x:xf>
    <x:xf numFmtId="0" fontId="0" fillId="10" borderId="0" xfId="0" applyFill="1" applyAlignment="1">
      <x:alignment wrapText="1"/>
    </x:xf>
    <x:xf numFmtId="0" fontId="4" fillId="9" borderId="0" xfId="0" applyFont="1" applyFill="1"/>
    <x:xf numFmtId="0" fontId="4" fillId="9" borderId="0" xfId="0" applyFont="1" applyFill="1" applyAlignment="1">
      <x:alignment wrapText="1"/>
    </x:xf>
    <x:xf numFmtId="9" fontId="0" fillId="0" borderId="0" xfId="0" applyNumberFormat="1"/>
    <x:xf numFmtId="0" fontId="28" fillId="12" borderId="0" xfId="0" applyFont="1" applyFill="1"/>
    <x:xf numFmtId="3" fontId="28" fillId="12" borderId="0" xfId="0" applyNumberFormat="1" applyFont="1" applyFill="1"/>
    <x:xf numFmtId="0" fontId="28" fillId="12" borderId="0" xfId="0" applyFont="1" applyFill="1" applyAlignment="1">
      <x:alignment wrapText="1"/>
    </x:xf>
    <x:xf numFmtId="0" fontId="29" fillId="13" borderId="0" xfId="0" applyFont="1" applyFill="1"/>
    <x:xf numFmtId="0" fontId="30" fillId="13" borderId="0" xfId="0" applyFont="1" applyFill="1" applyAlignment="1">
      <x:alignment horizontal="center"/>
    </x:xf>
    <x:xf numFmtId="0" fontId="28" fillId="14" borderId="0" xfId="0" applyFont="1" applyFill="1"/>
    <x:xf numFmtId="0" fontId="28" fillId="14" borderId="0" xfId="0" applyFont="1" applyFill="1" applyAlignment="1">
      <x:alignment wrapText="1"/>
    </x:xf>
    <x:xf numFmtId="0" fontId="31" fillId="15" borderId="1" xfId="0" applyFont="1" applyFill="1" applyBorder="1"/>
    <x:xf numFmtId="0" fontId="31" fillId="15" borderId="0" xfId="0" applyFont="1" applyFill="1"/>
    <x:xf numFmtId="0" fontId="32" fillId="12" borderId="0" xfId="0" applyFont="1" applyFill="1"/>
    <x:xf numFmtId="164" fontId="32" fillId="12" borderId="0" xfId="0" applyNumberFormat="1" applyFont="1" applyFill="1"/>
    <x:xf numFmtId="0" fontId="30" fillId="13" borderId="0" xfId="0" applyFont="1" applyFill="1"/>
    <x:xf numFmtId="164" fontId="30" fillId="13" borderId="0" xfId="0" applyNumberFormat="1" applyFont="1" applyFill="1"/>
    <x:xf numFmtId="0" fontId="33" fillId="12" borderId="0" xfId="0" applyFont="1" applyFill="1"/>
    <x:xf numFmtId="4" fontId="28" fillId="14" borderId="0" xfId="0" applyNumberFormat="1" applyFont="1" applyFill="1"/>
    <x:xf numFmtId="4" fontId="28" fillId="12" borderId="0" xfId="0" applyNumberFormat="1" applyFont="1" applyFill="1"/>
    <x:xf numFmtId="4" fontId="31" fillId="15" borderId="0" xfId="0" applyNumberFormat="1" applyFont="1" applyFill="1"/>
    <x:xf numFmtId="4" fontId="29" fillId="13" borderId="0" xfId="0" applyNumberFormat="1" applyFont="1" applyFill="1"/>
    <x:xf numFmtId="4" fontId="31" fillId="15" borderId="1" xfId="0" applyNumberFormat="1" applyFont="1" applyFill="1" applyBorder="1"/>
    <x:xf numFmtId="9" fontId="31" fillId="15" borderId="1" xfId="0" applyNumberFormat="1" applyFont="1" applyFill="1" applyBorder="1"/>
    <x:xf numFmtId="166" fontId="31" fillId="15" borderId="1" xfId="0" applyNumberFormat="1" applyFont="1" applyFill="1" applyBorder="1"/>
    <x:xf numFmtId="0" fontId="31" fillId="15" borderId="1" xfId="0" applyFont="1" applyFill="1" applyBorder="1" applyAlignment="1">
      <x:alignment vertical="center"/>
    </x:xf>
    <x:xf numFmtId="164" fontId="31" fillId="15" borderId="1" xfId="0" applyNumberFormat="1" applyFont="1" applyFill="1" applyBorder="1" applyAlignment="1">
      <x:alignment vertical="center"/>
    </x:xf>
    <x:xf numFmtId="3" fontId="31" fillId="15" borderId="1" xfId="0" applyNumberFormat="1" applyFont="1" applyFill="1" applyBorder="1" applyAlignment="1">
      <x:alignment vertical="center"/>
    </x:xf>
    <x:xf numFmtId="0" fontId="31" fillId="15" borderId="0" xfId="0" applyFont="1" applyFill="1" applyAlignment="1">
      <x:alignment vertical="center"/>
    </x:xf>
    <x:xf numFmtId="0" fontId="31" fillId="15" borderId="0" xfId="0" applyFont="1" applyFill="1" applyAlignment="1">
      <x:alignment horizontal="right" vertical="center"/>
    </x:xf>
    <x:xf numFmtId="0" fontId="33" fillId="12" borderId="0" xfId="0" applyFont="1" applyFill="1" applyAlignment="1">
      <x:alignment vertical="center"/>
    </x:xf>
    <x:xf numFmtId="10" fontId="33" fillId="12" borderId="0" xfId="0" applyNumberFormat="1" applyFont="1" applyFill="1" applyAlignment="1">
      <x:alignment vertical="center"/>
    </x:xf>
    <x:xf numFmtId="0" fontId="5" fillId="9" borderId="0" xfId="0" applyFont="1" applyFill="1" applyAlignment="1">
      <x:alignment horizontal="center" vertical="center"/>
    </x:xf>
    <x:xf numFmtId="0" fontId="0" fillId="0" borderId="0" xfId="0" applyAlignment="1">
      <x:alignment vertical="center"/>
    </x:xf>
    <x:xf numFmtId="0" fontId="6" fillId="10" borderId="0" xfId="0" applyFont="1" applyFill="1" applyAlignment="1">
      <x:alignment vertical="center" wrapText="1"/>
    </x:xf>
    <x:xf numFmtId="0" fontId="0" fillId="0" borderId="0" xfId="0" applyAlignment="1">
      <x:alignment horizontal="left" vertical="center" wrapText="1"/>
    </x:xf>
    <x:xf numFmtId="0" fontId="9" fillId="9" borderId="0" xfId="0" applyFont="1" applyFill="1" applyAlignment="1">
      <x:alignment horizontal="center" vertical="center"/>
    </x:xf>
    <x:xf numFmtId="0" fontId="18" fillId="9" borderId="0" xfId="0" applyFont="1" applyFill="1" applyAlignment="1">
      <x:alignment horizontal="center"/>
    </x:xf>
    <x:xf numFmtId="0" fontId="0" fillId="0" borderId="0" xfId="0"/>
    <x:xf numFmtId="0" fontId="22" fillId="9" borderId="0" xfId="0" applyFont="1" applyFill="1" applyAlignment="1">
      <x:alignment horizontal="center"/>
    </x:xf>
    <x:xf numFmtId="0" fontId="10" fillId="9" borderId="0" xfId="0" applyFont="1" applyFill="1" applyAlignment="1">
      <x:alignment horizontal="center" vertical="center"/>
    </x:xf>
    <x:xf numFmtId="0" fontId="17" fillId="9" borderId="0" xfId="0" applyFont="1" applyFill="1" applyAlignment="1">
      <x:alignment horizontal="center"/>
    </x:xf>
    <x:xf numFmtId="0" fontId="12" fillId="9" borderId="0" xfId="0" applyFont="1" applyFill="1" applyAlignment="1">
      <x:alignment horizontal="center"/>
    </x:xf>
    <x:xf numFmtId="0" fontId="16" fillId="9" borderId="0" xfId="0" applyFont="1" applyFill="1" applyAlignment="1">
      <x:alignment horizontal="center"/>
    </x:xf>
    <x:xf numFmtId="0" fontId="31" fillId="15" borderId="0" xfId="0" applyFont="1" applyFill="1" applyAlignment="1">
      <x:alignment horizontal="center"/>
    </x:xf>
    <x:xf numFmtId="0" fontId="31" fillId="15" borderId="0" xfId="0" applyFont="1" applyFill="1"/>
    <x:xf numFmtId="0" fontId="7" fillId="0" borderId="0" xfId="0" applyFont="1" applyAlignment="1">
      <x:alignment vertical="top" wrapText="1"/>
    </x:xf>
    <x:xf numFmtId="0" fontId="29" fillId="13" borderId="0" xfId="0" applyFont="1" applyFill="1" applyAlignment="1">
      <x:alignment horizontal="center" vertical="center"/>
    </x:xf>
    <x:xf numFmtId="0" fontId="29" fillId="13" borderId="0" xfId="0" applyFont="1" applyFill="1"/>
    <x:xf numFmtId="0" fontId="28" fillId="14" borderId="0" xfId="0" applyFont="1" applyFill="1" applyAlignment="1">
      <x:alignment vertical="top" wrapText="1"/>
    </x:xf>
    <x:xf numFmtId="0" fontId="28" fillId="14" borderId="0" xfId="0" applyFont="1" applyFill="1"/>
    <x:xf numFmtId="4" fontId="28" fillId="14" borderId="0" xfId="0" applyNumberFormat="1" applyFont="1" applyFill="1"/>
    <x:xf numFmtId="0" fontId="28" fillId="12" borderId="0" xfId="0" applyFont="1" applyFill="1"/>
    <x:xf numFmtId="4" fontId="28" fillId="12" borderId="0" xfId="0" applyNumberFormat="1" applyFont="1" applyFill="1"/>
    <x:xf numFmtId="0" fontId="32" fillId="12" borderId="0" xfId="0" applyFont="1" applyFill="1" applyAlignment="1">
      <x:alignment horizontal="center"/>
    </x:xf>
    <x:xf numFmtId="4" fontId="32" fillId="12" borderId="0" xfId="0" applyNumberFormat="1" applyFont="1" applyFill="1"/>
    <x:xf numFmtId="0" fontId="32" fillId="12" borderId="0" xfId="0" applyFont="1" applyFill="1"/>
    <x:xf numFmtId="0" fontId="7" fillId="0" borderId="0" xfId="0" applyFont="1" applyAlignment="1">
      <x:alignment wrapText="1"/>
    </x:xf>
    <x:xf numFmtId="0" fontId="26" fillId="7" borderId="0" xfId="0" applyFont="1" applyFill="1"/>
    <x:xf numFmtId="0" fontId="12" fillId="9" borderId="0" xfId="0" applyFont="1" applyFill="1" applyAlignment="1">
      <x:alignment horizontal="center" vertical="center"/>
    </x:xf>
    <x:xf numFmtId="0" fontId="0" fillId="0" borderId="0" xfId="0" applyAlignment="1">
      <x:alignment wrapText="1"/>
    </x:xf>
    <x:xf numFmtId="0" fontId="0" fillId="10" borderId="0" xfId="0" applyFill="1" applyAlignment="1">
      <x:alignment wrapText="1"/>
    </x:xf>
    <x:xf numFmtId="0" fontId="1" fillId="3" borderId="0" xfId="0" applyFont="1" applyFill="1" applyAlignment="1">
      <x:alignment wrapText="1"/>
    </x:xf>
    <x:xf numFmtId="0" fontId="4" fillId="9" borderId="0" xfId="0" applyFont="1" applyFill="1"/>
    <x:xf numFmtId="0" fontId="4" fillId="9" borderId="0" xfId="0" applyFont="1" applyFill="1" applyAlignment="1">
      <x:alignment wrapText="1"/>
    </x:xf>
    <x:xf numFmtId="0" fontId="28" fillId="16" borderId="0" xfId="0" applyNumberFormat="1" applyFont="1" applyFill="1" applyBorder="1" applyAlignment="1">
      <x:alignment vertical="top" wrapText="1"/>
    </x:xf>
    <x:xf numFmtId="0" fontId="28" fillId="16" borderId="0" xfId="0" applyNumberFormat="1" applyFont="1" applyFill="1" applyBorder="1"/>
    <x:xf numFmtId="4" fontId="28" fillId="16" borderId="0" xfId="0" applyNumberFormat="1" applyFont="1" applyFill="1" applyBorder="1"/>
    <x:xf numFmtId="0" fontId="28" fillId="16" borderId="0" xfId="0" applyNumberFormat="1" applyFont="1" applyFill="1" applyBorder="1" applyAlignment="1">
      <x:alignment vertical="center" wrapText="1"/>
    </x:xf>
    <x:xf numFmtId="0" fontId="28" fillId="16" borderId="0" xfId="0" applyNumberFormat="1" applyFont="1" applyFill="1" applyBorder="1" applyAlignment="1">
      <x:alignment vertical="center"/>
    </x:xf>
    <x:xf numFmtId="4" fontId="28" fillId="16" borderId="0" xfId="0" applyNumberFormat="1" applyFont="1" applyFill="1" applyBorder="1" applyAlignment="1">
      <x:alignment vertical="center"/>
    </x:xf>
    <x:xf numFmtId="4" fontId="28" fillId="17" borderId="0" xfId="0" applyNumberFormat="1" applyFont="1" applyFill="1" applyBorder="1" applyAlignment="1">
      <x:alignment vertical="center"/>
    </x:xf>
    <x:xf numFmtId="4" fontId="34" fillId="17" borderId="0" xfId="0" applyNumberFormat="1" applyFont="1" applyFill="1" applyBorder="1" applyAlignment="1">
      <x:alignment vertical="center"/>
    </x:xf>
    <x:xf numFmtId="200" fontId="34" fillId="17" borderId="0" xfId="0" applyNumberFormat="1" applyFont="1" applyFill="1" applyBorder="1" applyAlignment="1">
      <x:alignment vertical="center"/>
    </x:xf>
    <x:xf numFmtId="0" fontId="28" fillId="18" borderId="0" xfId="0" applyNumberFormat="1" applyFont="1" applyFill="1" applyBorder="1"/>
    <x:xf numFmtId="4" fontId="28" fillId="18" borderId="0" xfId="0" applyNumberFormat="1" applyFont="1" applyFill="1" applyBorder="1"/>
    <x:xf numFmtId="0" fontId="28" fillId="18" borderId="0" xfId="0" applyNumberFormat="1" applyFont="1" applyFill="1" applyBorder="1" applyAlignment="1">
      <x:alignment vertical="center"/>
    </x:xf>
    <x:xf numFmtId="4" fontId="28" fillId="18" borderId="0" xfId="0" applyNumberFormat="1" applyFont="1" applyFill="1" applyBorder="1" applyAlignment="1">
      <x:alignment vertical="center"/>
    </x:xf>
    <x:xf numFmtId="200" fontId="28" fillId="16" borderId="0" xfId="0" applyNumberFormat="1" applyFont="1" applyFill="1" applyBorder="1" applyAlignment="1">
      <x:alignment vertical="center"/>
    </x:xf>
    <x:xf numFmtId="200" fontId="28" fillId="18" borderId="0" xfId="0" applyNumberFormat="1" applyFont="1" applyFill="1" applyBorder="1" applyAlignment="1">
      <x:alignment vertical="center"/>
    </x:xf>
    <x:xf numFmtId="200" fontId="31" fillId="3" borderId="0" xfId="0" applyNumberFormat="1" applyFont="1" applyFill="1" applyBorder="1"/>
    <x:xf numFmtId="200" fontId="28" fillId="2" borderId="0" xfId="0" applyNumberFormat="1" applyFont="1" applyFill="1" applyBorder="1"/>
    <x:xf numFmtId="200" fontId="17" fillId="9" borderId="0" xfId="0" applyNumberFormat="1" applyFont="1" applyFill="1" applyBorder="1"/>
    <x:xf numFmtId="0" fontId="35" fillId="2" borderId="0" xfId="0" applyNumberFormat="1" applyFont="1" applyFill="1" applyBorder="1"/>
    <x:xf numFmtId="0" fontId="35" fillId="2" borderId="0" xfId="0" applyNumberFormat="1" applyFont="1" applyFill="1" applyBorder="1" applyAlignment="1">
      <x:alignment wrapText="1"/>
    </x:xf>
    <x:xf numFmtId="3" fontId="0" fillId="17" borderId="1" xfId="0" applyNumberFormat="1" applyFont="1" applyFill="1" applyBorder="1" applyAlignment="1">
      <x:alignment vertical="center"/>
    </x:xf>
    <x:xf numFmtId="3" fontId="24" fillId="17" borderId="1" xfId="0" applyNumberFormat="1" applyFont="1" applyFill="1" applyBorder="1" applyAlignment="1">
      <x:alignment vertical="center"/>
    </x:xf>
    <x:xf numFmtId="200" fontId="24" fillId="17" borderId="1" xfId="0" applyNumberFormat="1" applyFont="1" applyFill="1" applyBorder="1" applyAlignment="1">
      <x:alignment vertical="center"/>
    </x:xf>
    <x:xf numFmtId="0" fontId="36" fillId="0" borderId="0" xfId="0" applyNumberFormat="1" applyFont="1" applyFill="1" applyBorder="1"/>
    <x:xf numFmtId="0" fontId="36" fillId="10" borderId="0" xfId="0" applyNumberFormat="1" applyFont="1" applyFill="1" applyBorder="1"/>
    <x:xf numFmtId="201" fontId="36" fillId="0" borderId="0" xfId="0" applyNumberFormat="1" applyFont="1" applyFill="1" applyBorder="1"/>
    <x:xf numFmtId="201" fontId="36" fillId="10" borderId="0" xfId="0" applyNumberFormat="1" applyFont="1" applyFill="1" applyBorder="1"/>
    <x:xf numFmtId="200" fontId="0" fillId="0" borderId="0" xfId="0" applyNumberFormat="1" applyFont="1" applyFill="1" applyBorder="1"/>
    <x:xf numFmtId="200" fontId="0" fillId="10" borderId="0" xfId="0" applyNumberFormat="1" applyFont="1" applyFill="1" applyBorder="1"/>
    <x:xf numFmtId="200" fontId="31" fillId="3" borderId="1" xfId="0" applyNumberFormat="1" applyFont="1" applyFill="1" applyBorder="1"/>
    <x:xf numFmtId="0" fontId="0" fillId="16" borderId="0" xfId="0" applyNumberFormat="1" applyFont="1" applyFill="1" applyBorder="1"/>
    <x:xf numFmtId="0" fontId="37" fillId="16" borderId="0" xfId="0" applyNumberFormat="1" applyFont="1" applyFill="1" applyBorder="1"/>
    <x:xf numFmtId="0" fontId="37" fillId="16" borderId="0" xfId="0" applyNumberFormat="1" applyFont="1" applyFill="1" applyBorder="1" applyAlignment="1">
      <x:alignment wrapText="1"/>
    </x:xf>
    <x:xf numFmtId="0" fontId="37" fillId="18" borderId="0" xfId="0" applyNumberFormat="1" applyFont="1" applyFill="1" applyBorder="1" applyAlignment="1">
      <x:alignment wrapText="1"/>
    </x:xf>
    <x:xf numFmtId="0" fontId="26" fillId="18" borderId="0" xfId="0" applyNumberFormat="1" applyFont="1" applyFill="1" applyBorder="1" applyAlignment="1">
      <x:alignment wrapText="1"/>
    </x:xf>
    <x:xf numFmtId="0" fontId="26" fillId="16" borderId="0" xfId="0" applyNumberFormat="1" applyFont="1" applyFill="1" applyBorder="1" applyAlignment="1">
      <x:alignment wrapText="1"/>
    </x:xf>
    <x:xf numFmtId="0" fontId="37" fillId="16" borderId="0" xfId="0" applyNumberFormat="1" applyFont="1" applyFill="1" applyBorder="1" applyAlignment="1">
      <x:alignment vertical="top" wrapText="1"/>
    </x:xf>
    <x:xf numFmtId="0" fontId="37" fillId="18" borderId="0" xfId="0" applyNumberFormat="1" applyFont="1" applyFill="1" applyBorder="1" applyAlignment="1">
      <x:alignment vertical="top" wrapText="1"/>
    </x:xf>
    <x:xf numFmtId="0" fontId="28" fillId="19" borderId="0" xfId="0" applyNumberFormat="1" applyFont="1" applyFill="1" applyBorder="1" applyAlignment="1">
      <x:alignment vertical="center" wrapText="1"/>
    </x:xf>
    <x:xf numFmtId="0" fontId="28" fillId="19" borderId="0" xfId="0" applyNumberFormat="1" applyFont="1" applyFill="1" applyBorder="1" applyAlignment="1">
      <x:alignment vertical="center"/>
    </x:xf>
    <x:xf numFmtId="200" fontId="34" fillId="19" borderId="0" xfId="0" applyNumberFormat="1" applyFont="1" applyFill="1" applyBorder="1" applyAlignment="1">
      <x:alignment vertical="center"/>
    </x:xf>
    <x:xf numFmtId="200" fontId="28" fillId="19" borderId="0" xfId="0" applyNumberFormat="1" applyFont="1" applyFill="1" applyBorder="1" applyAlignment="1">
      <x:alignment vertical="center"/>
    </x:xf>
    <x:xf numFmtId="200" fontId="28" fillId="20" borderId="0" xfId="0" applyNumberFormat="1" applyFont="1" applyFill="1" applyBorder="1" applyAlignment="1">
      <x:alignment vertical="center"/>
    </x:xf>
    <x:xf numFmtId="200" fontId="34" fillId="20" borderId="0" xfId="0" applyNumberFormat="1" applyFont="1" applyFill="1" applyBorder="1" applyAlignment="1">
      <x:alignment vertical="center"/>
    </x:xf>
    <x:xf numFmtId="0" fontId="28" fillId="21" borderId="0" xfId="0" applyNumberFormat="1" applyFont="1" applyFill="1" applyBorder="1" applyAlignment="1">
      <x:alignment vertical="center"/>
    </x:xf>
    <x:xf numFmtId="200" fontId="34" fillId="21" borderId="0" xfId="0" applyNumberFormat="1" applyFont="1" applyFill="1" applyBorder="1" applyAlignment="1">
      <x:alignment vertical="center"/>
    </x:xf>
    <x:xf numFmtId="200" fontId="28" fillId="21" borderId="0" xfId="0" applyNumberFormat="1" applyFont="1" applyFill="1" applyBorder="1" applyAlignment="1">
      <x:alignment vertical="center"/>
    </x:xf>
    <x:xf numFmtId="200" fontId="24" fillId="20" borderId="1" xfId="0" applyNumberFormat="1" applyFont="1" applyFill="1" applyBorder="1" applyAlignment="1">
      <x:alignment vertical="center"/>
    </x:xf>
    <x:xf numFmtId="0" fontId="37" fillId="19" borderId="0" xfId="0" applyNumberFormat="1" applyFont="1" applyFill="1" applyBorder="1" applyAlignment="1">
      <x:alignment wrapText="1"/>
    </x:xf>
    <x:xf numFmtId="0" fontId="26" fillId="19" borderId="0" xfId="0" applyNumberFormat="1" applyFont="1" applyFill="1" applyBorder="1" applyAlignment="1">
      <x:alignment wrapText="1"/>
    </x:xf>
    <x:xf numFmtId="0" fontId="37" fillId="21" borderId="0" xfId="0" applyNumberFormat="1" applyFont="1" applyFill="1" applyBorder="1" applyAlignment="1">
      <x:alignment wrapText="1"/>
    </x:xf>
    <x:xf numFmtId="0" fontId="26" fillId="21" borderId="0" xfId="0" applyNumberFormat="1" applyFont="1" applyFill="1" applyBorder="1" applyAlignment="1">
      <x:alignment wrapText="1"/>
    </x:xf>
    <x:xf numFmtId="0" fontId="37" fillId="19" borderId="0" xfId="0" applyNumberFormat="1" applyFont="1" applyFill="1" applyBorder="1" applyAlignment="1">
      <x:alignment vertical="top" wrapText="1"/>
    </x:xf>
    <x:xf numFmtId="0" fontId="37" fillId="21" borderId="0" xfId="0" applyNumberFormat="1" applyFont="1" applyFill="1" applyBorder="1" applyAlignment="1">
      <x:alignment vertical="top" wrapText="1"/>
    </x:xf>
    <x:xf numFmtId="0" fontId="28" fillId="22" borderId="0" xfId="0" applyNumberFormat="1" applyFont="1" applyFill="1" applyBorder="1" applyAlignment="1">
      <x:alignment vertical="center" wrapText="1"/>
    </x:xf>
    <x:xf numFmtId="0" fontId="28" fillId="22" borderId="0" xfId="0" applyNumberFormat="1" applyFont="1" applyFill="1" applyBorder="1" applyAlignment="1">
      <x:alignment vertical="center"/>
    </x:xf>
    <x:xf numFmtId="200" fontId="34" fillId="22" borderId="0" xfId="0" applyNumberFormat="1" applyFont="1" applyFill="1" applyBorder="1" applyAlignment="1">
      <x:alignment vertical="center"/>
    </x:xf>
    <x:xf numFmtId="200" fontId="28" fillId="22" borderId="0" xfId="0" applyNumberFormat="1" applyFont="1" applyFill="1" applyBorder="1" applyAlignment="1">
      <x:alignment vertical="center"/>
    </x:xf>
    <x:xf numFmtId="200" fontId="28" fillId="23" borderId="0" xfId="0" applyNumberFormat="1" applyFont="1" applyFill="1" applyBorder="1" applyAlignment="1">
      <x:alignment vertical="center"/>
    </x:xf>
    <x:xf numFmtId="200" fontId="34" fillId="23" borderId="0" xfId="0" applyNumberFormat="1" applyFont="1" applyFill="1" applyBorder="1" applyAlignment="1">
      <x:alignment vertical="center"/>
    </x:xf>
    <x:xf numFmtId="0" fontId="28" fillId="24" borderId="0" xfId="0" applyNumberFormat="1" applyFont="1" applyFill="1" applyBorder="1" applyAlignment="1">
      <x:alignment vertical="center"/>
    </x:xf>
    <x:xf numFmtId="200" fontId="34" fillId="24" borderId="0" xfId="0" applyNumberFormat="1" applyFont="1" applyFill="1" applyBorder="1" applyAlignment="1">
      <x:alignment vertical="center"/>
    </x:xf>
    <x:xf numFmtId="200" fontId="28" fillId="24" borderId="0" xfId="0" applyNumberFormat="1" applyFont="1" applyFill="1" applyBorder="1" applyAlignment="1">
      <x:alignment vertical="center"/>
    </x:xf>
    <x:xf numFmtId="200" fontId="24" fillId="23" borderId="1" xfId="0" applyNumberFormat="1" applyFont="1" applyFill="1" applyBorder="1" applyAlignment="1">
      <x:alignment vertical="center"/>
    </x:xf>
    <x:xf numFmtId="200" fontId="31" fillId="3" borderId="1" xfId="0" applyNumberFormat="1" applyFont="1" applyFill="1" applyBorder="1" applyAlignment="1">
      <x:alignment vertical="center"/>
    </x:xf>
    <x:xf numFmtId="200" fontId="31" fillId="3" borderId="0" xfId="0" applyNumberFormat="1" applyFont="1" applyFill="1" applyBorder="1" applyAlignment="1">
      <x:alignment vertical="center"/>
    </x:xf>
    <x:xf numFmtId="200" fontId="31" fillId="3" borderId="0" xfId="0" applyNumberFormat="1" applyFont="1" applyFill="1" applyBorder="1" applyAlignment="1">
      <x:alignment horizontal="right" vertical="center"/>
    </x:xf>
    <x:xf numFmtId="0" fontId="37" fillId="22" borderId="0" xfId="0" applyNumberFormat="1" applyFont="1" applyFill="1" applyBorder="1" applyAlignment="1">
      <x:alignment wrapText="1"/>
    </x:xf>
    <x:xf numFmtId="0" fontId="26" fillId="22" borderId="0" xfId="0" applyNumberFormat="1" applyFont="1" applyFill="1" applyBorder="1" applyAlignment="1">
      <x:alignment wrapText="1"/>
    </x:xf>
    <x:xf numFmtId="0" fontId="37" fillId="24" borderId="0" xfId="0" applyNumberFormat="1" applyFont="1" applyFill="1" applyBorder="1" applyAlignment="1">
      <x:alignment wrapText="1"/>
    </x:xf>
    <x:xf numFmtId="0" fontId="26" fillId="24" borderId="0" xfId="0" applyNumberFormat="1" applyFont="1" applyFill="1" applyBorder="1" applyAlignment="1">
      <x:alignment wrapText="1"/>
    </x:xf>
    <x:xf numFmtId="0" fontId="37" fillId="22" borderId="0" xfId="0" applyNumberFormat="1" applyFont="1" applyFill="1" applyBorder="1" applyAlignment="1">
      <x:alignment vertical="top" wrapText="1"/>
    </x:xf>
    <x:xf numFmtId="0" fontId="37" fillId="24" borderId="0" xfId="0" applyNumberFormat="1" applyFont="1" applyFill="1" applyBorder="1" applyAlignment="1">
      <x:alignment vertical="top" wrapText="1"/>
    </x:xf>
    <x:xf numFmtId="0" fontId="28" fillId="25" borderId="0" xfId="0" applyNumberFormat="1" applyFont="1" applyFill="1" applyBorder="1" applyAlignment="1">
      <x:alignment vertical="center" wrapText="1"/>
    </x:xf>
    <x:xf numFmtId="0" fontId="28" fillId="25" borderId="0" xfId="0" applyNumberFormat="1" applyFont="1" applyFill="1" applyBorder="1" applyAlignment="1">
      <x:alignment vertical="center"/>
    </x:xf>
    <x:xf numFmtId="200" fontId="34" fillId="25" borderId="0" xfId="0" applyNumberFormat="1" applyFont="1" applyFill="1" applyBorder="1" applyAlignment="1">
      <x:alignment vertical="center"/>
    </x:xf>
    <x:xf numFmtId="200" fontId="28" fillId="25" borderId="0" xfId="0" applyNumberFormat="1" applyFont="1" applyFill="1" applyBorder="1" applyAlignment="1">
      <x:alignment vertical="center"/>
    </x:xf>
    <x:xf numFmtId="200" fontId="28" fillId="26" borderId="0" xfId="0" applyNumberFormat="1" applyFont="1" applyFill="1" applyBorder="1" applyAlignment="1">
      <x:alignment vertical="center"/>
    </x:xf>
    <x:xf numFmtId="200" fontId="34" fillId="26" borderId="0" xfId="0" applyNumberFormat="1" applyFont="1" applyFill="1" applyBorder="1" applyAlignment="1">
      <x:alignment vertical="center"/>
    </x:xf>
    <x:xf numFmtId="0" fontId="28" fillId="27" borderId="0" xfId="0" applyNumberFormat="1" applyFont="1" applyFill="1" applyBorder="1" applyAlignment="1">
      <x:alignment vertical="center"/>
    </x:xf>
    <x:xf numFmtId="200" fontId="34" fillId="27" borderId="0" xfId="0" applyNumberFormat="1" applyFont="1" applyFill="1" applyBorder="1" applyAlignment="1">
      <x:alignment vertical="center"/>
    </x:xf>
    <x:xf numFmtId="200" fontId="28" fillId="27" borderId="0" xfId="0" applyNumberFormat="1" applyFont="1" applyFill="1" applyBorder="1" applyAlignment="1">
      <x:alignment vertical="center"/>
    </x:xf>
    <x:xf numFmtId="200" fontId="24" fillId="26" borderId="1" xfId="0" applyNumberFormat="1" applyFont="1" applyFill="1" applyBorder="1" applyAlignment="1">
      <x:alignment vertical="center"/>
    </x:xf>
    <x:xf numFmtId="0" fontId="37" fillId="25" borderId="0" xfId="0" applyNumberFormat="1" applyFont="1" applyFill="1" applyBorder="1" applyAlignment="1">
      <x:alignment wrapText="1"/>
    </x:xf>
    <x:xf numFmtId="0" fontId="26" fillId="25" borderId="0" xfId="0" applyNumberFormat="1" applyFont="1" applyFill="1" applyBorder="1" applyAlignment="1">
      <x:alignment wrapText="1"/>
    </x:xf>
    <x:xf numFmtId="0" fontId="37" fillId="27" borderId="0" xfId="0" applyNumberFormat="1" applyFont="1" applyFill="1" applyBorder="1" applyAlignment="1">
      <x:alignment wrapText="1"/>
    </x:xf>
    <x:xf numFmtId="0" fontId="26" fillId="27" borderId="0" xfId="0" applyNumberFormat="1" applyFont="1" applyFill="1" applyBorder="1" applyAlignment="1">
      <x:alignment wrapText="1"/>
    </x:xf>
    <x:xf numFmtId="0" fontId="37" fillId="25" borderId="0" xfId="0" applyNumberFormat="1" applyFont="1" applyFill="1" applyBorder="1" applyAlignment="1">
      <x:alignment vertical="top" wrapText="1"/>
    </x:xf>
    <x:xf numFmtId="0" fontId="37" fillId="27" borderId="0" xfId="0" applyNumberFormat="1" applyFont="1" applyFill="1" applyBorder="1" applyAlignment="1">
      <x:alignment vertical="top" wrapText="1"/>
    </x:xf>
    <x:xf numFmtId="0" fontId="28" fillId="28" borderId="0" xfId="0" applyNumberFormat="1" applyFont="1" applyFill="1" applyBorder="1" applyAlignment="1">
      <x:alignment vertical="center" wrapText="1"/>
    </x:xf>
    <x:xf numFmtId="0" fontId="28" fillId="28" borderId="0" xfId="0" applyNumberFormat="1" applyFont="1" applyFill="1" applyBorder="1" applyAlignment="1">
      <x:alignment vertical="center"/>
    </x:xf>
    <x:xf numFmtId="200" fontId="34" fillId="28" borderId="0" xfId="0" applyNumberFormat="1" applyFont="1" applyFill="1" applyBorder="1" applyAlignment="1">
      <x:alignment vertical="center"/>
    </x:xf>
    <x:xf numFmtId="200" fontId="28" fillId="28" borderId="0" xfId="0" applyNumberFormat="1" applyFont="1" applyFill="1" applyBorder="1" applyAlignment="1">
      <x:alignment vertical="center"/>
    </x:xf>
    <x:xf numFmtId="200" fontId="28" fillId="29" borderId="0" xfId="0" applyNumberFormat="1" applyFont="1" applyFill="1" applyBorder="1" applyAlignment="1">
      <x:alignment vertical="center"/>
    </x:xf>
    <x:xf numFmtId="200" fontId="34" fillId="29" borderId="0" xfId="0" applyNumberFormat="1" applyFont="1" applyFill="1" applyBorder="1" applyAlignment="1">
      <x:alignment vertical="center"/>
    </x:xf>
    <x:xf numFmtId="0" fontId="28" fillId="30" borderId="0" xfId="0" applyNumberFormat="1" applyFont="1" applyFill="1" applyBorder="1" applyAlignment="1">
      <x:alignment vertical="center"/>
    </x:xf>
    <x:xf numFmtId="200" fontId="34" fillId="30" borderId="0" xfId="0" applyNumberFormat="1" applyFont="1" applyFill="1" applyBorder="1" applyAlignment="1">
      <x:alignment vertical="center"/>
    </x:xf>
    <x:xf numFmtId="200" fontId="28" fillId="30" borderId="0" xfId="0" applyNumberFormat="1" applyFont="1" applyFill="1" applyBorder="1" applyAlignment="1">
      <x:alignment vertical="center"/>
    </x:xf>
    <x:xf numFmtId="200" fontId="24" fillId="29" borderId="1" xfId="0" applyNumberFormat="1" applyFont="1" applyFill="1" applyBorder="1" applyAlignment="1">
      <x:alignment vertical="center"/>
    </x:xf>
    <x:xf numFmtId="0" fontId="37" fillId="28" borderId="0" xfId="0" applyNumberFormat="1" applyFont="1" applyFill="1" applyBorder="1" applyAlignment="1">
      <x:alignment wrapText="1"/>
    </x:xf>
    <x:xf numFmtId="0" fontId="26" fillId="28" borderId="0" xfId="0" applyNumberFormat="1" applyFont="1" applyFill="1" applyBorder="1" applyAlignment="1">
      <x:alignment wrapText="1"/>
    </x:xf>
    <x:xf numFmtId="0" fontId="37" fillId="30" borderId="0" xfId="0" applyNumberFormat="1" applyFont="1" applyFill="1" applyBorder="1" applyAlignment="1">
      <x:alignment wrapText="1"/>
    </x:xf>
    <x:xf numFmtId="0" fontId="26" fillId="30" borderId="0" xfId="0" applyNumberFormat="1" applyFont="1" applyFill="1" applyBorder="1" applyAlignment="1">
      <x:alignment wrapText="1"/>
    </x:xf>
    <x:xf numFmtId="0" fontId="37" fillId="28" borderId="0" xfId="0" applyNumberFormat="1" applyFont="1" applyFill="1" applyBorder="1" applyAlignment="1">
      <x:alignment vertical="top" wrapText="1"/>
    </x:xf>
    <x:xf numFmtId="0" fontId="37" fillId="30" borderId="0" xfId="0" applyNumberFormat="1" applyFont="1" applyFill="1" applyBorder="1" applyAlignment="1">
      <x:alignment vertical="top" wrapText="1"/>
    </x:xf>
    <x:xf numFmtId="0" fontId="17" fillId="31" borderId="0" xfId="0" applyNumberFormat="1" applyFont="1" applyFill="1" applyBorder="1" applyAlignment="1">
      <x:alignment horizontal="center" vertical="center"/>
    </x:xf>
    <x:xf numFmtId="0" fontId="17" fillId="31" borderId="0" xfId="0" applyNumberFormat="1" applyFont="1" applyFill="1" applyBorder="1"/>
    <x:xf numFmtId="0" fontId="28" fillId="31" borderId="0" xfId="0" applyNumberFormat="1" applyFont="1" applyFill="1" applyBorder="1"/>
    <x:xf numFmtId="0" fontId="30" fillId="31" borderId="0" xfId="0" applyNumberFormat="1" applyFont="1" applyFill="1" applyBorder="1" applyAlignment="1">
      <x:alignment horizontal="center"/>
    </x:xf>
    <x:xf numFmtId="4" fontId="28" fillId="31" borderId="0" xfId="0" applyNumberFormat="1" applyFont="1" applyFill="1" applyBorder="1"/>
    <x:xf numFmtId="0" fontId="28" fillId="31" borderId="0" xfId="0" applyNumberFormat="1" applyFont="1" applyFill="1" applyBorder="1" applyAlignment="1">
      <x:alignment wrapText="1"/>
    </x:xf>
    <x:xf numFmtId="0" fontId="31" fillId="31" borderId="1" xfId="0" applyNumberFormat="1" applyFont="1" applyFill="1" applyBorder="1"/>
    <x:xf numFmtId="4" fontId="31" fillId="31" borderId="1" xfId="0" applyNumberFormat="1" applyFont="1" applyFill="1" applyBorder="1"/>
    <x:xf numFmtId="0" fontId="31" fillId="31" borderId="0" xfId="0" applyNumberFormat="1" applyFont="1" applyFill="1" applyBorder="1"/>
    <x:xf numFmtId="0" fontId="32" fillId="31" borderId="0" xfId="0" applyNumberFormat="1" applyFont="1" applyFill="1" applyBorder="1" applyAlignment="1">
      <x:alignment horizontal="center"/>
    </x:xf>
    <x:xf numFmtId="4" fontId="32" fillId="31" borderId="0" xfId="0" applyNumberFormat="1" applyFont="1" applyFill="1" applyBorder="1"/>
    <x:xf numFmtId="0" fontId="32" fillId="31" borderId="0" xfId="0" applyNumberFormat="1" applyFont="1" applyFill="1" applyBorder="1"/>
    <x:xf numFmtId="3" fontId="28" fillId="31" borderId="0" xfId="0" applyNumberFormat="1" applyFont="1" applyFill="1" applyBorder="1"/>
    <x:xf numFmtId="164" fontId="32" fillId="31" borderId="0" xfId="0" applyNumberFormat="1" applyFont="1" applyFill="1" applyBorder="1"/>
    <x:xf numFmtId="0" fontId="30" fillId="31" borderId="0" xfId="0" applyNumberFormat="1" applyFont="1" applyFill="1" applyBorder="1"/>
    <x:xf numFmtId="164" fontId="30" fillId="31" borderId="0" xfId="0" applyNumberFormat="1" applyFont="1" applyFill="1" applyBorder="1"/>
    <x:xf numFmtId="0" fontId="28" fillId="31" borderId="0" xfId="0" applyNumberFormat="1" applyFont="1" applyFill="1" applyBorder="1" applyAlignment="1">
      <x:alignment vertical="center" wrapText="1"/>
    </x:xf>
    <x:xf numFmtId="0" fontId="28" fillId="31" borderId="0" xfId="0" applyNumberFormat="1" applyFont="1" applyFill="1" applyBorder="1" applyAlignment="1">
      <x:alignment vertical="center"/>
    </x:xf>
    <x:xf numFmtId="200" fontId="34" fillId="31" borderId="0" xfId="0" applyNumberFormat="1" applyFont="1" applyFill="1" applyBorder="1" applyAlignment="1">
      <x:alignment vertical="center"/>
    </x:xf>
    <x:xf numFmtId="200" fontId="28" fillId="31" borderId="0" xfId="0" applyNumberFormat="1" applyFont="1" applyFill="1" applyBorder="1" applyAlignment="1">
      <x:alignment vertical="center"/>
    </x:xf>
    <x:xf numFmtId="200" fontId="31" fillId="31" borderId="0" xfId="0" applyNumberFormat="1" applyFont="1" applyFill="1" applyBorder="1"/>
    <x:xf numFmtId="200" fontId="28" fillId="31" borderId="0" xfId="0" applyNumberFormat="1" applyFont="1" applyFill="1" applyBorder="1"/>
    <x:xf numFmtId="200" fontId="17" fillId="31" borderId="0" xfId="0" applyNumberFormat="1" applyFont="1" applyFill="1" applyBorder="1"/>
    <x:xf numFmtId="0" fontId="35" fillId="31" borderId="0" xfId="0" applyNumberFormat="1" applyFont="1" applyFill="1" applyBorder="1" applyAlignment="1">
      <x:alignment wrapText="1"/>
    </x:xf>
    <x:xf numFmtId="0" fontId="33" fillId="31" borderId="0" xfId="0" applyNumberFormat="1" applyFont="1" applyFill="1" applyBorder="1"/>
    <x:xf numFmtId="0" fontId="26" fillId="31" borderId="0" xfId="0" applyNumberFormat="1" applyFont="1" applyFill="1" applyBorder="1" applyAlignment="1">
      <x:alignment horizontal="center" vertical="center"/>
    </x:xf>
    <x:xf numFmtId="0" fontId="26" fillId="31" borderId="0" xfId="0" applyNumberFormat="1" applyFont="1" applyFill="1" applyBorder="1"/>
    <x:xf numFmtId="0" fontId="31" fillId="31" borderId="0" xfId="0" applyNumberFormat="1" applyFont="1" applyFill="1" applyBorder="1" applyAlignment="1">
      <x:alignment horizontal="center"/>
    </x:xf>
    <x:xf numFmtId="4" fontId="31" fillId="31" borderId="0" xfId="0" applyNumberFormat="1" applyFont="1" applyFill="1" applyBorder="1"/>
    <x:xf numFmtId="164" fontId="31" fillId="31" borderId="0" xfId="0" applyNumberFormat="1" applyFont="1" applyFill="1" applyBorder="1"/>
    <x:xf numFmtId="200" fontId="26" fillId="31" borderId="0" xfId="0" applyNumberFormat="1" applyFont="1" applyFill="1" applyBorder="1"/>
    <x:xf numFmtId="0" fontId="38" fillId="31" borderId="0" xfId="0" applyNumberFormat="1" applyFont="1" applyFill="1" applyBorder="1" applyAlignment="1">
      <x:alignment wrapText="1"/>
    </x:xf>
    <x:xf numFmtId="0" fontId="38" fillId="31" borderId="0" xfId="0" applyNumberFormat="1" applyFont="1" applyFill="1" applyBorder="1"/>
    <x:xf numFmtId="0" fontId="26" fillId="31" borderId="0" xfId="0" applyNumberFormat="1" applyFont="1" applyFill="1" applyBorder="1" applyAlignment="1">
      <x:alignment vertical="center"/>
    </x:xf>
    <x:xf numFmtId="0" fontId="31" fillId="31" borderId="0" xfId="0" applyNumberFormat="1" applyFont="1" applyFill="1" applyBorder="1" applyAlignment="1">
      <x:alignment horizontal="center" vertical="center"/>
    </x:xf>
    <x:xf numFmtId="4" fontId="28" fillId="31" borderId="0" xfId="0" applyNumberFormat="1" applyFont="1" applyFill="1" applyBorder="1" applyAlignment="1">
      <x:alignment vertical="center"/>
    </x:xf>
    <x:xf numFmtId="0" fontId="31" fillId="31" borderId="1" xfId="0" applyNumberFormat="1" applyFont="1" applyFill="1" applyBorder="1" applyAlignment="1">
      <x:alignment vertical="center"/>
    </x:xf>
    <x:xf numFmtId="4" fontId="31" fillId="31" borderId="1" xfId="0" applyNumberFormat="1" applyFont="1" applyFill="1" applyBorder="1" applyAlignment="1">
      <x:alignment vertical="center"/>
    </x:xf>
    <x:xf numFmtId="0" fontId="31" fillId="31" borderId="0" xfId="0" applyNumberFormat="1" applyFont="1" applyFill="1" applyBorder="1" applyAlignment="1">
      <x:alignment vertical="center"/>
    </x:xf>
    <x:xf numFmtId="4" fontId="31" fillId="31" borderId="0" xfId="0" applyNumberFormat="1" applyFont="1" applyFill="1" applyBorder="1" applyAlignment="1">
      <x:alignment vertical="center"/>
    </x:xf>
    <x:xf numFmtId="3" fontId="28" fillId="31" borderId="0" xfId="0" applyNumberFormat="1" applyFont="1" applyFill="1" applyBorder="1" applyAlignment="1">
      <x:alignment vertical="center"/>
    </x:xf>
    <x:xf numFmtId="164" fontId="31" fillId="31" borderId="0" xfId="0" applyNumberFormat="1" applyFont="1" applyFill="1" applyBorder="1" applyAlignment="1">
      <x:alignment vertical="center"/>
    </x:xf>
    <x:xf numFmtId="200" fontId="31" fillId="31" borderId="0" xfId="0" applyNumberFormat="1" applyFont="1" applyFill="1" applyBorder="1" applyAlignment="1">
      <x:alignment vertical="center"/>
    </x:xf>
    <x:xf numFmtId="200" fontId="26" fillId="31" borderId="0" xfId="0" applyNumberFormat="1" applyFont="1" applyFill="1" applyBorder="1" applyAlignment="1">
      <x:alignment vertical="center"/>
    </x:xf>
    <x:xf numFmtId="0" fontId="38" fillId="31" borderId="0" xfId="0" applyNumberFormat="1" applyFont="1" applyFill="1" applyBorder="1" applyAlignment="1">
      <x:alignment vertical="center" wrapText="1"/>
    </x:xf>
    <x:xf numFmtId="0" fontId="38" fillId="31" borderId="0" xfId="0" applyNumberFormat="1" applyFont="1" applyFill="1" applyBorder="1" applyAlignment="1">
      <x:alignment vertical="center"/>
    </x:xf>
    <x:xf numFmtId="0" fontId="26" fillId="32" borderId="0" xfId="0" applyNumberFormat="1" applyFont="1" applyFill="1" applyBorder="1" applyAlignment="1">
      <x:alignment horizontal="center" vertical="center"/>
    </x:xf>
    <x:xf numFmtId="0" fontId="26" fillId="32" borderId="0" xfId="0" applyNumberFormat="1" applyFont="1" applyFill="1" applyBorder="1" applyAlignment="1">
      <x:alignment vertical="center"/>
    </x:xf>
    <x:xf numFmtId="0" fontId="39" fillId="32" borderId="0" xfId="0" applyNumberFormat="1" applyFont="1" applyFill="1" applyBorder="1" applyAlignment="1">
      <x:alignment horizontal="center" vertical="center"/>
    </x:xf>
    <x:xf numFmtId="0" fontId="39" fillId="32" borderId="0" xfId="0" applyNumberFormat="1" applyFont="1" applyFill="1" applyBorder="1" applyAlignment="1">
      <x:alignment vertical="center"/>
    </x:xf>
    <x:xf numFmtId="0" fontId="31" fillId="32" borderId="0" xfId="0" applyNumberFormat="1" applyFont="1" applyFill="1" applyBorder="1" applyAlignment="1">
      <x:alignment horizontal="center" vertical="center"/>
    </x:xf>
    <x:xf numFmtId="0" fontId="30" fillId="32" borderId="0" xfId="0" applyNumberFormat="1" applyFont="1" applyFill="1" applyBorder="1" applyAlignment="1">
      <x:alignment horizontal="center" vertical="center"/>
    </x:xf>
    <x:xf numFmtId="0" fontId="31" fillId="33" borderId="1" xfId="0" applyNumberFormat="1" applyFont="1" applyFill="1" applyBorder="1" applyAlignment="1">
      <x:alignment vertical="center"/>
    </x:xf>
    <x:xf numFmtId="4" fontId="31" fillId="33" borderId="1" xfId="0" applyNumberFormat="1" applyFont="1" applyFill="1" applyBorder="1" applyAlignment="1">
      <x:alignment vertical="center"/>
    </x:xf>
    <x:xf numFmtId="0" fontId="31" fillId="33" borderId="0" xfId="0" applyNumberFormat="1" applyFont="1" applyFill="1" applyBorder="1" applyAlignment="1">
      <x:alignment vertical="center"/>
    </x:xf>
    <x:xf numFmtId="0" fontId="32" fillId="31" borderId="0" xfId="0" applyNumberFormat="1" applyFont="1" applyFill="1" applyBorder="1" applyAlignment="1">
      <x:alignment horizontal="center" vertical="center"/>
    </x:xf>
    <x:xf numFmtId="4" fontId="32" fillId="31" borderId="0" xfId="0" applyNumberFormat="1" applyFont="1" applyFill="1" applyBorder="1" applyAlignment="1">
      <x:alignment vertical="center"/>
    </x:xf>
    <x:xf numFmtId="0" fontId="32" fillId="31" borderId="0" xfId="0" applyNumberFormat="1" applyFont="1" applyFill="1" applyBorder="1" applyAlignment="1">
      <x:alignment vertical="center"/>
    </x:xf>
    <x:xf numFmtId="4" fontId="32" fillId="31" borderId="0" xfId="0" applyNumberFormat="1" applyFont="1" applyFill="1" applyBorder="1" applyAlignment="1">
      <x:alignment horizontal="center" vertical="center"/>
    </x:xf>
    <x:xf numFmtId="0" fontId="31" fillId="32" borderId="0" xfId="0" applyNumberFormat="1" applyFont="1" applyFill="1" applyBorder="1" applyAlignment="1">
      <x:alignment vertical="center"/>
    </x:xf>
    <x:xf numFmtId="164" fontId="31" fillId="32" borderId="0" xfId="0" applyNumberFormat="1" applyFont="1" applyFill="1" applyBorder="1" applyAlignment="1">
      <x:alignment vertical="center"/>
    </x:xf>
    <x:xf numFmtId="0" fontId="30" fillId="32" borderId="0" xfId="0" applyNumberFormat="1" applyFont="1" applyFill="1" applyBorder="1" applyAlignment="1">
      <x:alignment vertical="center"/>
    </x:xf>
    <x:xf numFmtId="164" fontId="30" fillId="32" borderId="0" xfId="0" applyNumberFormat="1" applyFont="1" applyFill="1" applyBorder="1" applyAlignment="1">
      <x:alignment vertical="center"/>
    </x:xf>
    <x:xf numFmtId="0" fontId="40" fillId="32" borderId="0" xfId="0" applyNumberFormat="1" applyFont="1" applyFill="1" applyBorder="1" applyAlignment="1">
      <x:alignment vertical="center"/>
    </x:xf>
    <x:xf numFmtId="200" fontId="26" fillId="32" borderId="0" xfId="0" applyNumberFormat="1" applyFont="1" applyFill="1" applyBorder="1" applyAlignment="1">
      <x:alignment vertical="center"/>
    </x:xf>
    <x:xf numFmtId="200" fontId="40" fillId="32" borderId="0" xfId="0" applyNumberFormat="1" applyFont="1" applyFill="1" applyBorder="1" applyAlignment="1">
      <x:alignment vertical="center"/>
    </x:xf>
    <x:xf numFmtId="200" fontId="31" fillId="33" borderId="0" xfId="0" applyNumberFormat="1" applyFont="1" applyFill="1" applyBorder="1" applyAlignment="1">
      <x:alignment vertical="center"/>
    </x:xf>
    <x:xf numFmtId="200" fontId="28" fillId="33" borderId="0" xfId="0" applyNumberFormat="1" applyFont="1" applyFill="1" applyBorder="1" applyAlignment="1">
      <x:alignment vertical="center"/>
    </x:xf>
    <x:xf numFmtId="200" fontId="34" fillId="33" borderId="0" xfId="0" applyNumberFormat="1" applyFont="1" applyFill="1" applyBorder="1" applyAlignment="1">
      <x:alignment vertical="center"/>
    </x:xf>
    <x:xf numFmtId="0" fontId="28" fillId="34" borderId="0" xfId="0" applyNumberFormat="1" applyFont="1" applyFill="1" applyBorder="1" applyAlignment="1">
      <x:alignment vertical="center"/>
    </x:xf>
    <x:xf numFmtId="200" fontId="28" fillId="34" borderId="0" xfId="0" applyNumberFormat="1" applyFont="1" applyFill="1" applyBorder="1" applyAlignment="1">
      <x:alignment vertical="center"/>
    </x:xf>
    <x:xf numFmtId="0" fontId="35" fillId="31" borderId="0" xfId="0" applyNumberFormat="1" applyFont="1" applyFill="1" applyBorder="1" applyAlignment="1">
      <x:alignment vertical="center" wrapText="1"/>
    </x:xf>
    <x:xf numFmtId="200" fontId="24" fillId="33" borderId="1" xfId="0" applyNumberFormat="1" applyFont="1" applyFill="1" applyBorder="1" applyAlignment="1">
      <x:alignment vertical="center"/>
    </x:xf>
    <x:xf numFmtId="0" fontId="37" fillId="31" borderId="0" xfId="0" applyNumberFormat="1" applyFont="1" applyFill="1" applyBorder="1" applyAlignment="1">
      <x:alignment wrapText="1"/>
    </x:xf>
    <x:xf numFmtId="0" fontId="26" fillId="31" borderId="0" xfId="0" applyNumberFormat="1" applyFont="1" applyFill="1" applyBorder="1" applyAlignment="1">
      <x:alignment wrapText="1"/>
    </x:xf>
    <x:xf numFmtId="0" fontId="37" fillId="34" borderId="0" xfId="0" applyNumberFormat="1" applyFont="1" applyFill="1" applyBorder="1" applyAlignment="1">
      <x:alignment wrapText="1"/>
    </x:xf>
    <x:xf numFmtId="0" fontId="26" fillId="34" borderId="0" xfId="0" applyNumberFormat="1" applyFont="1" applyFill="1" applyBorder="1" applyAlignment="1">
      <x:alignment wrapText="1"/>
    </x:xf>
    <x:xf numFmtId="0" fontId="37" fillId="31" borderId="0" xfId="0" applyNumberFormat="1" applyFont="1" applyFill="1" applyBorder="1" applyAlignment="1">
      <x:alignment vertical="top" wrapText="1"/>
    </x:xf>
    <x:xf numFmtId="0" fontId="37" fillId="34" borderId="0" xfId="0" applyNumberFormat="1" applyFont="1" applyFill="1" applyBorder="1" applyAlignment="1">
      <x:alignment vertical="top" wrapText="1"/>
    </x:xf>
  </x:cellXfs>
  <x:cellStyles count="2">
    <x:cellStyle name="Hipervínculo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759b6296044cfc" /><Relationship Type="http://schemas.openxmlformats.org/officeDocument/2006/relationships/theme" Target="/xl/theme/theme1.xml" Id="R9e0ef3dfe6014088" /><Relationship Type="http://schemas.openxmlformats.org/officeDocument/2006/relationships/sharedStrings" Target="/xl/sharedStrings.xml" Id="R386991fb970744f4" /><Relationship Type="http://schemas.openxmlformats.org/officeDocument/2006/relationships/worksheet" Target="/xl/worksheets/sheet1.xml" Id="R7475421024a34718" /><Relationship Type="http://schemas.openxmlformats.org/officeDocument/2006/relationships/worksheet" Target="/xl/worksheets/sheet2.xml" Id="R7402f6f915eb41fb" /><Relationship Type="http://schemas.openxmlformats.org/officeDocument/2006/relationships/worksheet" Target="/xl/worksheets/sheet3.xml" Id="R47aaafd449714c65" /><Relationship Type="http://schemas.openxmlformats.org/officeDocument/2006/relationships/worksheet" Target="/xl/worksheets/sheet4.xml" Id="R666dc8be68fb45ba" /><Relationship Type="http://schemas.openxmlformats.org/officeDocument/2006/relationships/worksheet" Target="/xl/worksheets/sheet5.xml" Id="R14c518c8b6d14063" /><Relationship Type="http://schemas.openxmlformats.org/officeDocument/2006/relationships/worksheet" Target="/xl/worksheets/sheet6.xml" Id="R7d4f5d4ca13b4505" /><Relationship Type="http://schemas.openxmlformats.org/officeDocument/2006/relationships/worksheet" Target="/xl/worksheets/sheet7.xml" Id="Rc4973df343634ea8" /><Relationship Type="http://schemas.openxmlformats.org/officeDocument/2006/relationships/worksheet" Target="/xl/worksheets/sheet8.xml" Id="R755b6a7662214806" /><Relationship Type="http://schemas.openxmlformats.org/officeDocument/2006/relationships/worksheet" Target="/xl/worksheets/sheet9.xml" Id="Rac0272f987074b89" /><Relationship Type="http://schemas.openxmlformats.org/officeDocument/2006/relationships/worksheet" Target="/xl/worksheets/sheet10.xml" Id="R3a50e84164b2401c" /><Relationship Type="http://schemas.openxmlformats.org/officeDocument/2006/relationships/worksheet" Target="/xl/worksheets/sheet11.xml" Id="Rd92e2df07f7d41e8" /><Relationship Type="http://schemas.openxmlformats.org/officeDocument/2006/relationships/worksheet" Target="/xl/worksheets/sheet12.xml" Id="R65314b2d6112401c" /><Relationship Type="http://schemas.openxmlformats.org/officeDocument/2006/relationships/worksheet" Target="/xl/worksheets/sheet13.xml" Id="Rb8a9ffb94ce246d3" /><Relationship Type="http://schemas.openxmlformats.org/officeDocument/2006/relationships/worksheet" Target="/xl/worksheets/sheet14.xml" Id="Ra5858d91ddcc470a" /><Relationship Type="http://schemas.openxmlformats.org/officeDocument/2006/relationships/worksheet" Target="/xl/worksheets/sheet15.xml" Id="Rce056d1b86504e03" /><Relationship Type="http://schemas.openxmlformats.org/officeDocument/2006/relationships/worksheet" Target="/xl/worksheets/sheet16.xml" Id="R4a0bc4b8a20c40f2" /><Relationship Type="http://schemas.openxmlformats.org/officeDocument/2006/relationships/worksheet" Target="/xl/worksheets/sheet17.xml" Id="R351c9f697c02403a" /><Relationship Type="http://schemas.openxmlformats.org/officeDocument/2006/relationships/worksheet" Target="/xl/worksheets/sheet18.xml" Id="R0117c2a65f5a4b2f" /><Relationship Type="http://schemas.openxmlformats.org/officeDocument/2006/relationships/worksheet" Target="/xl/worksheets/sheet19.xml" Id="R0031af9fd5f74ef1" /><Relationship Type="http://schemas.openxmlformats.org/officeDocument/2006/relationships/worksheet" Target="/xl/worksheets/sheet20.xml" Id="R2cd276efac2544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b4c05cf3bc64ee7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63500</xdr:colOff>
      <xdr:row>15</xdr:row>
      <xdr:rowOff>76200</xdr:rowOff>
    </xdr:from>
    <xdr:to>
      <xdr:col>7</xdr:col>
      <xdr:colOff>850900</xdr:colOff>
      <xdr:row>40</xdr:row>
      <xdr:rowOff>19050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4c05cf3bc64e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4e7b8688b7546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://www.aduanet.gob.pe/itarancel/arancelS01Alias" TargetMode="External" Id="R23db77fefcc048df" /><Relationship Type="http://schemas.openxmlformats.org/officeDocument/2006/relationships/hyperlink" Target="https://www.gob.pe/22738-solicitar-certificado-de-homologacion-para-un-equipo-y-o-aparato-de-telecomunicaciones-que-genera-emisiones-radioelectricas" TargetMode="External" Id="R558a3a302748461e" /><Relationship Type="http://schemas.openxmlformats.org/officeDocument/2006/relationships/hyperlink" Target="https://she.mtc.gob.pe/IEqHomGestionar/index" TargetMode="External" Id="Ree77783c9be240d6" /><Relationship Type="http://schemas.openxmlformats.org/officeDocument/2006/relationships/hyperlink" Target="https://www.gob.pe/institucion/minam/informes-publicaciones/1503643-regimen-especial-de-gestion-y-manejo-de-residuos-de-aparatos-electricos-y-electronicos" TargetMode="External" Id="Rde4f46a2bff148f0" /><Relationship Type="http://schemas.openxmlformats.org/officeDocument/2006/relationships/hyperlink" Target="https://www.indecopi.gob.pe/" TargetMode="External" Id="R2328cb7d3f584755" /><Relationship Type="http://schemas.openxmlformats.org/officeDocument/2006/relationships/hyperlink" Target="https://www.vuce.gob.pe/" TargetMode="External" Id="R2d993bb4294a4233" /><Relationship Type="http://schemas.openxmlformats.org/officeDocument/2006/relationships/hyperlink" Target="https://www.alibaba.com/product-detail/Photo-Booth-Machine-Video-Booth-360_1601773430842.html" TargetMode="External" Id="R004c9dd7bac34af0" /><Relationship Type="http://schemas.openxmlformats.org/officeDocument/2006/relationships/hyperlink" Target="https://www.alibaba.com/product-detail/New-Mirror-Photo-Booth-Selfie-Digital_1600949166824.html" TargetMode="External" Id="Rc4d90e77f8854de8" /><Relationship Type="http://schemas.openxmlformats.org/officeDocument/2006/relationships/hyperlink" Target="https://www.alibaba.com/product-detail/Manufacture-5-Sided-Interactive-LED-Soft_1601824219217.html" TargetMode="External" Id="R681fcf24119640e1" /><Relationship Type="http://schemas.openxmlformats.org/officeDocument/2006/relationships/hyperlink" Target="https://www.alibaba.com/product-detail/Recording-Vintage-Phone-Audio-Guestbook-Phone_1601060997786.htm" TargetMode="External" Id="R33fdd9a648c844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frkstudio.pe/" TargetMode="External" Id="R83642e32e35a4d52" /><Relationship Type="http://schemas.openxmlformats.org/officeDocument/2006/relationships/hyperlink" Target="https://www.espaciodigital360.com/cabinasfotograficas.html" TargetMode="External" Id="R45d51da716fd499c" /><Relationship Type="http://schemas.openxmlformats.org/officeDocument/2006/relationships/hyperlink" Target="https://selfie360lima.com/" TargetMode="External" Id="R5b8148f0c8d84f1a" /><Relationship Type="http://schemas.openxmlformats.org/officeDocument/2006/relationships/hyperlink" Target="https://www.fotocabinasenlima.com.pe/" TargetMode="External" Id="Rf2905252df2145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www.worldometers.info/world-population/peru-population/" TargetMode="External" Id="R7181e0e0833942af" /><Relationship Type="http://schemas.openxmlformats.org/officeDocument/2006/relationships/hyperlink" Target="https://www.inei.gob.pe/estadisticas/indice-tematico/poblacion-y-vivienda/" TargetMode="External" Id="R64bda515e9894165" /><Relationship Type="http://schemas.openxmlformats.org/officeDocument/2006/relationships/hyperlink" Target="https://www.inei.gob.pe/media/MenuRecursivo/boletines/pea_lima_metropolitana.pdf" TargetMode="External" Id="R7663f950015f4e76" /><Relationship Type="http://schemas.openxmlformats.org/officeDocument/2006/relationships/hyperlink" Target="http://www.apeim.com.pe/wp-content/uploads/2026/02/APEIM-NSE-2026.pdf" TargetMode="External" Id="R9cd4ff9c7b394bd5" /><Relationship Type="http://schemas.openxmlformats.org/officeDocument/2006/relationships/hyperlink" Target="https://www.inei.gob.pe/media/MenuRecursivo/boletines/pea_lima_metropolitana.pdf" TargetMode="External" Id="R9a8565c744ab4554" /><Relationship Type="http://schemas.openxmlformats.org/officeDocument/2006/relationships/hyperlink" Target="https://www.inei.gob.pe/media/MenuRecursivo/boletines/gastos_hogares.pdf" TargetMode="External" Id="R042d897a32a64a6b" /><Relationship Type="http://schemas.openxmlformats.org/officeDocument/2006/relationships/hyperlink" Target="https://www.portal.euromonitor.com/portal/analysis/tab" TargetMode="External" Id="Rf062895233f84ca8" /><Relationship Type="http://schemas.openxmlformats.org/officeDocument/2006/relationships/hyperlink" Target="https://www.sunat.gob.pe/estadisticas/Aduanet/" TargetMode="External" Id="R0d589bde6b9b4988" /><Relationship Type="http://schemas.openxmlformats.org/officeDocument/2006/relationships/hyperlink" Target="https://www.trademap.org/" TargetMode="External" Id="R7d7d779f767140da" /><Relationship Type="http://schemas.openxmlformats.org/officeDocument/2006/relationships/hyperlink" Target="https://www.trademap.org/" TargetMode="External" Id="R782905da87df4294" /><Relationship Type="http://schemas.openxmlformats.org/officeDocument/2006/relationships/hyperlink" Target="https://graceproducciones.pe/" TargetMode="External" Id="R376c502c93fc4a7b" /><Relationship Type="http://schemas.openxmlformats.org/officeDocument/2006/relationships/hyperlink" Target="https://www.colmenaproducciones.com/" TargetMode="External" Id="Rf405a26997344bd2" /><Relationship Type="http://schemas.openxmlformats.org/officeDocument/2006/relationships/hyperlink" Target="https://www.ineventos.com/pe/produccion-de-eventos/lima" TargetMode="External" Id="Rec9f921d65004b5b" /><Relationship Type="http://schemas.openxmlformats.org/officeDocument/2006/relationships/hyperlink" Target="https://ebombo.com/blog/mejores-productoras-eventos-lima-peru" TargetMode="External" Id="R9c59b8b7443e43e1" /><Relationship Type="http://schemas.openxmlformats.org/officeDocument/2006/relationships/hyperlink" Target="https://www.mercadillo.pe/empresas-organizadoras-de-eventos-corporativos-en-lima/" TargetMode="External" Id="R2d7ed438166f41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hyperlink" Target="https://e-consulta.sunat.gob.pe/cl-at-ittipcam/tcS01Alias" TargetMode="External" Id="R85cfc261925f4485" /></Relationships>
</file>

<file path=xl/worksheets/sheet1.xml><?xml version="1.0" encoding="utf-8"?>
<x:worksheet xmlns:x="http://schemas.openxmlformats.org/spreadsheetml/2006/main">
  <x:sheetFormatPr baseColWidth="10" defaultColWidth="11.42578125" defaultRowHeight="15"/>
  <x:cols>
    <x:col min="2" max="2" width="60.7109375" customWidth="1"/>
  </x:cols>
  <x:sheetData>
    <x:row r="1" ht="17.25" customHeight="1">
      <x:c r="A1" s="2"/>
    </x:row>
    <x:row r="2" ht="19.5">
      <x:c r="B2" s="137" t="s">
        <x:v>0</x:v>
      </x:c>
      <x:c r="C2" s="5"/>
      <x:c r="D2" s="5"/>
      <x:c r="E2" s="5"/>
      <x:c r="F2" s="5"/>
      <x:c r="G2" s="5"/>
      <x:c r="H2" s="5"/>
      <x:c r="I2" s="5"/>
    </x:row>
    <x:row r="3">
      <x:c r="A3" s="1"/>
      <x:c r="B3" s="1" t="s">
        <x:v>1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5">
      <x:c r="B5" t="s">
        <x:v>2</x:v>
      </x:c>
    </x:row>
    <x:row r="7">
      <x:c r="B7" t="s">
        <x:v>3</x:v>
      </x:c>
    </x:row>
    <x:row r="8">
      <x:c r="B8" t="s">
        <x:v>4</x:v>
      </x:c>
    </x:row>
    <x:row r="9">
      <x:c r="B9" t="s">
        <x:v>5</x:v>
      </x:c>
    </x:row>
    <x:row r="10">
      <x:c r="B10" t="s">
        <x:v>6</x:v>
      </x:c>
    </x:row>
    <x:row r="11">
      <x:c r="B11" t="s">
        <x:v>7</x:v>
      </x:c>
    </x:row>
    <x:row r="12">
      <x:c r="B12" t="s">
        <x:v>8</x:v>
      </x:c>
    </x:row>
    <x:row r="15">
      <x:c r="B15" t="s">
        <x:v>9</x:v>
      </x:c>
    </x:row>
    <x:row r="16">
      <x:c r="B16" t="s">
        <x:v>10</x:v>
      </x:c>
    </x:row>
    <x:row r="17">
      <x:c r="B17" t="s">
        <x:v>11</x:v>
      </x:c>
    </x:row>
    <x:row r="18">
      <x:c r="B18" t="s">
        <x:v>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11.42578125" defaultRowHeight="15"/>
  <x:cols>
    <x:col min="1" max="1" width="3.7109375" style="5" customWidth="1"/>
    <x:col min="2" max="8" width="13.7109375" style="5" customWidth="1"/>
    <x:col min="9" max="9" width="11.42578125" style="5" customWidth="1"/>
    <x:col min="10" max="16384" width="11.42578125" style="5" customWidth="0"/>
  </x:cols>
  <x:sheetData>
    <x:row r="1" ht="30" customHeight="1">
      <x:c r="A1" s="177" t="s">
        <x:v>13</x:v>
      </x:c>
      <x:c r="B1" s="174"/>
      <x:c r="C1" s="174"/>
      <x:c r="D1" s="174"/>
      <x:c r="E1" s="174"/>
      <x:c r="F1" s="174"/>
      <x:c r="G1" s="174"/>
      <x:c r="H1" s="174"/>
    </x:row>
    <x:row r="3" ht="15.75" customHeight="1">
      <x:c r="A3" s="14"/>
      <x:c r="B3" s="21" t="s">
        <x:v>14</x:v>
      </x:c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</x:row>
    <x:row r="4">
      <x:c r="B4" s="176" t="s">
        <x:v>15</x:v>
      </x:c>
      <x:c r="C4" s="174"/>
      <x:c r="D4" s="174"/>
      <x:c r="E4" s="174"/>
      <x:c r="F4" s="174"/>
      <x:c r="G4" s="174"/>
      <x:c r="H4" s="174"/>
    </x:row>
    <x:row r="5">
      <x:c r="B5" s="174"/>
      <x:c r="C5" s="174"/>
      <x:c r="D5" s="174"/>
      <x:c r="E5" s="174"/>
      <x:c r="F5" s="174"/>
      <x:c r="G5" s="174"/>
      <x:c r="H5" s="174"/>
    </x:row>
    <x:row r="6">
      <x:c r="B6" s="174"/>
      <x:c r="C6" s="174"/>
      <x:c r="D6" s="174"/>
      <x:c r="E6" s="174"/>
      <x:c r="F6" s="174"/>
      <x:c r="G6" s="174"/>
      <x:c r="H6" s="174"/>
    </x:row>
    <x:row r="8">
      <x:c r="B8" s="176" t="s">
        <x:v>16</x:v>
      </x:c>
      <x:c r="C8" s="174"/>
      <x:c r="D8" s="174"/>
      <x:c r="E8" s="174"/>
      <x:c r="F8" s="174"/>
      <x:c r="G8" s="174"/>
      <x:c r="H8" s="174"/>
    </x:row>
    <x:row r="9">
      <x:c r="B9" s="174"/>
      <x:c r="C9" s="174"/>
      <x:c r="D9" s="174"/>
      <x:c r="E9" s="174"/>
      <x:c r="F9" s="174"/>
      <x:c r="G9" s="174"/>
      <x:c r="H9" s="174"/>
    </x:row>
    <x:row r="10">
      <x:c r="B10" s="174"/>
      <x:c r="C10" s="174"/>
      <x:c r="D10" s="174"/>
      <x:c r="E10" s="174"/>
      <x:c r="F10" s="174"/>
      <x:c r="G10" s="174"/>
      <x:c r="H10" s="174"/>
    </x:row>
    <x:row r="12" ht="30" customHeight="1">
      <x:c r="B12" s="175" t="s">
        <x:v>17</x:v>
      </x:c>
      <x:c r="C12" s="174"/>
      <x:c r="D12" s="174"/>
      <x:c r="E12" s="174"/>
      <x:c r="F12" s="174"/>
      <x:c r="G12" s="174"/>
      <x:c r="H12" s="174"/>
    </x:row>
    <x:row r="14" ht="30" customHeight="1">
      <x:c r="B14" s="175" t="s">
        <x:v>18</x:v>
      </x:c>
      <x:c r="C14" s="174"/>
      <x:c r="D14" s="174"/>
      <x:c r="E14" s="174"/>
      <x:c r="F14" s="174"/>
      <x:c r="G14" s="174"/>
      <x:c r="H14" s="174"/>
    </x:row>
  </x:sheetData>
  <x:mergeCells>
    <x:mergeCell ref="B14:H14"/>
    <x:mergeCell ref="B12:H12"/>
    <x:mergeCell ref="B4:H6"/>
    <x:mergeCell ref="B8:H10"/>
    <x:mergeCell ref="A1:H1"/>
  </x:mergeCells>
  <x:pageMargins left="0.7" right="0.7" top="0.75" bottom="0.75" header="0.3" footer="0.3"/>
  <x:drawing xmlns:r="http://schemas.openxmlformats.org/officeDocument/2006/relationships" r:id="R34e7b8688b754607"/>
</x:worksheet>
</file>

<file path=xl/worksheets/sheet3.xml><?xml version="1.0" encoding="utf-8"?>
<x:worksheet xmlns:x="http://schemas.openxmlformats.org/spreadsheetml/2006/main">
  <x:sheetFormatPr baseColWidth="10" defaultColWidth="11.42578125" defaultRowHeight="15"/>
  <x:cols>
    <x:col min="1" max="1" width="26.7109375" style="5" customWidth="1"/>
    <x:col min="2" max="5" width="42.7109375" style="5" customWidth="1"/>
    <x:col min="6" max="6" width="11.42578125" style="5" customWidth="1"/>
    <x:col min="7" max="16384" width="11.42578125" style="5" customWidth="0"/>
  </x:cols>
  <x:sheetData>
    <x:row r="1" ht="26.100000381469727" customHeight="1">
      <x:c r="A1" s="173" t="s">
        <x:v>19</x:v>
      </x:c>
      <x:c r="B1" s="174"/>
      <x:c r="C1" s="174"/>
      <x:c r="D1" s="174"/>
      <x:c r="E1" s="174"/>
    </x:row>
    <x:row r="3">
      <x:c r="A3" s="103" t="s">
        <x:v>20</x:v>
      </x:c>
      <x:c r="B3" s="103" t="s">
        <x:v>21</x:v>
      </x:c>
      <x:c r="C3" s="103" t="s">
        <x:v>22</x:v>
      </x:c>
      <x:c r="D3" s="103" t="s">
        <x:v>23</x:v>
      </x:c>
      <x:c r="E3" s="103" t="s">
        <x:v>24</x:v>
      </x:c>
    </x:row>
    <x:row r="4">
      <x:c r="A4" s="19" t="s">
        <x:v>25</x:v>
      </x:c>
      <x:c r="B4" s="16" t="s">
        <x:v>26</x:v>
      </x:c>
      <x:c r="C4" s="16" t="s">
        <x:v>27</x:v>
      </x:c>
      <x:c r="D4" s="16" t="s">
        <x:v>28</x:v>
      </x:c>
      <x:c r="E4" s="16" t="s">
        <x:v>29</x:v>
      </x:c>
    </x:row>
    <x:row r="5" ht="60">
      <x:c r="A5" s="19" t="s">
        <x:v>30</x:v>
      </x:c>
      <x:c r="B5" s="16" t="s">
        <x:v>31</x:v>
      </x:c>
      <x:c r="C5" s="16" t="s">
        <x:v>32</x:v>
      </x:c>
      <x:c r="D5" s="16" t="s">
        <x:v>33</x:v>
      </x:c>
      <x:c r="E5" s="16" t="s">
        <x:v>34</x:v>
      </x:c>
    </x:row>
    <x:row r="6">
      <x:c r="A6" s="19" t="s">
        <x:v>35</x:v>
      </x:c>
      <x:c r="B6" s="16" t="s">
        <x:v>36</x:v>
      </x:c>
      <x:c r="C6" s="16" t="s">
        <x:v>37</x:v>
      </x:c>
      <x:c r="D6" s="16" t="s">
        <x:v>38</x:v>
      </x:c>
      <x:c r="E6" s="16" t="s">
        <x:v>39</x:v>
      </x:c>
    </x:row>
    <x:row r="7">
      <x:c r="A7" s="19" t="s">
        <x:v>40</x:v>
      </x:c>
      <x:c r="B7" s="16" t="s">
        <x:v>41</x:v>
      </x:c>
      <x:c r="C7" s="16" t="s">
        <x:v>42</x:v>
      </x:c>
      <x:c r="D7" s="16" t="s">
        <x:v>43</x:v>
      </x:c>
      <x:c r="E7" s="16" t="s">
        <x:v>44</x:v>
      </x:c>
    </x:row>
    <x:row r="8" ht="45" customHeight="1">
      <x:c r="A8" s="19" t="s">
        <x:v>45</x:v>
      </x:c>
      <x:c r="B8" s="16" t="s">
        <x:v>46</x:v>
      </x:c>
      <x:c r="C8" s="16" t="s">
        <x:v>47</x:v>
      </x:c>
      <x:c r="D8" s="16" t="s">
        <x:v>48</x:v>
      </x:c>
      <x:c r="E8" s="16" t="s">
        <x:v>49</x:v>
      </x:c>
    </x:row>
    <x:row r="9" ht="30" customHeight="1">
      <x:c r="A9" s="19" t="s">
        <x:v>50</x:v>
      </x:c>
      <x:c r="B9" s="16" t="s">
        <x:v>51</x:v>
      </x:c>
      <x:c r="C9" s="16" t="s">
        <x:v>52</x:v>
      </x:c>
      <x:c r="D9" s="16" t="s">
        <x:v>53</x:v>
      </x:c>
      <x:c r="E9" s="16" t="s">
        <x:v>54</x:v>
      </x:c>
    </x:row>
    <x:row r="10" ht="30" customHeight="1">
      <x:c r="A10" s="19" t="s">
        <x:v>55</x:v>
      </x:c>
      <x:c r="B10" s="16" t="s">
        <x:v>56</x:v>
      </x:c>
      <x:c r="C10" s="16" t="s">
        <x:v>57</x:v>
      </x:c>
      <x:c r="D10" s="16" t="s">
        <x:v>58</x:v>
      </x:c>
      <x:c r="E10" s="16" t="s">
        <x:v>59</x:v>
      </x:c>
    </x:row>
    <x:row r="11" ht="30" customHeight="1">
      <x:c r="A11" s="19" t="s">
        <x:v>60</x:v>
      </x:c>
      <x:c r="B11" s="16" t="s">
        <x:v>61</x:v>
      </x:c>
      <x:c r="C11" s="16" t="s">
        <x:v>62</x:v>
      </x:c>
      <x:c r="D11" s="16" t="s">
        <x:v>63</x:v>
      </x:c>
      <x:c r="E11" s="16" t="s">
        <x:v>64</x:v>
      </x:c>
    </x:row>
    <x:row r="12" ht="30" customHeight="1">
      <x:c r="A12" s="19" t="s">
        <x:v>65</x:v>
      </x:c>
      <x:c r="B12" s="16" t="s">
        <x:v>66</x:v>
      </x:c>
      <x:c r="C12" s="16" t="s">
        <x:v>67</x:v>
      </x:c>
      <x:c r="D12" s="16" t="s">
        <x:v>68</x:v>
      </x:c>
      <x:c r="E12" s="16" t="s">
        <x:v>69</x:v>
      </x:c>
    </x:row>
    <x:row r="13">
      <x:c r="A13" s="19" t="s">
        <x:v>70</x:v>
      </x:c>
      <x:c r="B13" s="16" t="s">
        <x:v>71</x:v>
      </x:c>
      <x:c r="C13" s="16" t="s">
        <x:v>72</x:v>
      </x:c>
      <x:c r="D13" s="16" t="s">
        <x:v>73</x:v>
      </x:c>
      <x:c r="E13" s="16" t="s">
        <x:v>74</x:v>
      </x:c>
    </x:row>
    <x:row r="14">
      <x:c r="A14" s="19" t="s">
        <x:v>75</x:v>
      </x:c>
      <x:c r="B14" s="16" t="s">
        <x:v>76</x:v>
      </x:c>
      <x:c r="C14" s="16" t="s">
        <x:v>76</x:v>
      </x:c>
      <x:c r="D14" s="16" t="s">
        <x:v>77</x:v>
      </x:c>
      <x:c r="E14" s="16" t="s">
        <x:v>76</x:v>
      </x:c>
    </x:row>
    <x:row r="15" ht="30" customHeight="1">
      <x:c r="A15" s="19" t="s">
        <x:v>78</x:v>
      </x:c>
      <x:c r="B15" s="16" t="s">
        <x:v>79</x:v>
      </x:c>
      <x:c r="C15" s="16" t="s">
        <x:v>79</x:v>
      </x:c>
      <x:c r="D15" s="16" t="s">
        <x:v>79</x:v>
      </x:c>
      <x:c r="E15" s="16" t="s">
        <x:v>79</x:v>
      </x:c>
    </x:row>
    <x:row r="16">
      <x:c r="A16" s="19" t="s">
        <x:v>80</x:v>
      </x:c>
      <x:c r="B16" s="20" t="n">
        <x:f>INVERSION!B5</x:f>
        <x:v>1</x:v>
      </x:c>
      <x:c r="C16" s="20" t="n">
        <x:f>INVERSION!B6</x:f>
        <x:v>1</x:v>
      </x:c>
      <x:c r="D16" s="20" t="n">
        <x:f>INVERSION!B7</x:f>
        <x:v>1</x:v>
      </x:c>
      <x:c r="E16" s="20" t="n">
        <x:f>INVERSION!B8</x:f>
        <x:v>1</x:v>
      </x:c>
    </x:row>
    <x:row r="18" ht="15.75" customHeight="1">
      <x:c r="A18" s="21" t="s">
        <x:v>81</x:v>
      </x:c>
    </x:row>
    <x:row r="19" ht="30" customHeight="1">
      <x:c r="A19" s="103" t="s">
        <x:v>82</x:v>
      </x:c>
      <x:c r="B19" s="103" t="s">
        <x:v>83</x:v>
      </x:c>
      <x:c r="C19" s="103" t="s">
        <x:v>84</x:v>
      </x:c>
    </x:row>
    <x:row r="20" ht="45" customHeight="1">
      <x:c r="A20" s="15" t="s">
        <x:v>85</x:v>
      </x:c>
      <x:c r="B20" s="16" t="s">
        <x:v>86</x:v>
      </x:c>
      <x:c r="C20" s="17" t="s">
        <x:v>87</x:v>
      </x:c>
    </x:row>
    <x:row r="21" ht="60" customHeight="1">
      <x:c r="A21" s="104" t="s">
        <x:v>88</x:v>
      </x:c>
      <x:c r="B21" s="105" t="s">
        <x:v>89</x:v>
      </x:c>
      <x:c r="C21" s="106" t="s">
        <x:v>90</x:v>
      </x:c>
    </x:row>
    <x:row r="22" ht="45" customHeight="1">
      <x:c r="A22" s="15" t="s">
        <x:v>91</x:v>
      </x:c>
      <x:c r="B22" s="16" t="s">
        <x:v>92</x:v>
      </x:c>
      <x:c r="C22" s="17" t="s">
        <x:v>93</x:v>
      </x:c>
    </x:row>
    <x:row r="23" ht="45" customHeight="1">
      <x:c r="A23" s="104" t="s">
        <x:v>94</x:v>
      </x:c>
      <x:c r="B23" s="105" t="s">
        <x:v>95</x:v>
      </x:c>
      <x:c r="C23" s="106" t="s">
        <x:v>96</x:v>
      </x:c>
    </x:row>
    <x:row r="24" ht="45" customHeight="1">
      <x:c r="A24" s="15" t="s">
        <x:v>97</x:v>
      </x:c>
      <x:c r="B24" s="16" t="s">
        <x:v>98</x:v>
      </x:c>
      <x:c r="C24" s="17" t="s">
        <x:v>99</x:v>
      </x:c>
    </x:row>
    <x:row r="25" ht="45" customHeight="1">
      <x:c r="A25" s="104" t="s">
        <x:v>100</x:v>
      </x:c>
      <x:c r="B25" s="105" t="s">
        <x:v>101</x:v>
      </x:c>
      <x:c r="C25" s="106" t="s">
        <x:v>102</x:v>
      </x:c>
    </x:row>
    <x:row r="28" ht="15.75" customHeight="1">
      <x:c r="A28" s="21" t="s">
        <x:v>103</x:v>
      </x:c>
    </x:row>
    <x:row r="29">
      <x:c r="A29" s="103" t="s">
        <x:v>104</x:v>
      </x:c>
      <x:c r="B29" s="103" t="s">
        <x:v>105</x:v>
      </x:c>
      <x:c r="C29" s="103" t="s">
        <x:v>106</x:v>
      </x:c>
    </x:row>
    <x:row r="30">
      <x:c r="A30" s="16" t="s">
        <x:v>107</x:v>
      </x:c>
      <x:c r="B30" s="16" t="s">
        <x:v>108</x:v>
      </x:c>
      <x:c r="C30" s="25" t="s">
        <x:v>109</x:v>
      </x:c>
    </x:row>
    <x:row r="31" ht="15" customHeight="1">
      <x:c r="A31" s="105" t="s">
        <x:v>110</x:v>
      </x:c>
      <x:c r="B31" s="105" t="s">
        <x:v>111</x:v>
      </x:c>
      <x:c r="C31" s="25" t="s">
        <x:v>109</x:v>
      </x:c>
    </x:row>
    <x:row r="32">
      <x:c r="A32" s="16" t="s">
        <x:v>112</x:v>
      </x:c>
      <x:c r="B32" s="16" t="s">
        <x:v>113</x:v>
      </x:c>
      <x:c r="C32" s="25" t="s">
        <x:v>109</x:v>
      </x:c>
    </x:row>
    <x:row r="33">
      <x:c r="A33" s="105" t="s">
        <x:v>114</x:v>
      </x:c>
      <x:c r="B33" s="105" t="s">
        <x:v>115</x:v>
      </x:c>
      <x:c r="C33" s="25" t="s">
        <x:v>109</x:v>
      </x:c>
    </x:row>
  </x:sheetData>
  <x:mergeCells>
    <x:mergeCell ref="A1:E1"/>
  </x:mergeCells>
  <x:hyperlinks>
    <x:hyperlink xmlns:r="http://schemas.openxmlformats.org/officeDocument/2006/relationships" ref="C20" r:id="R23db77fefcc048df"/>
    <x:hyperlink xmlns:r="http://schemas.openxmlformats.org/officeDocument/2006/relationships" ref="C21" r:id="R558a3a302748461e"/>
    <x:hyperlink xmlns:r="http://schemas.openxmlformats.org/officeDocument/2006/relationships" ref="C22" r:id="Ree77783c9be240d6"/>
    <x:hyperlink xmlns:r="http://schemas.openxmlformats.org/officeDocument/2006/relationships" ref="C23" r:id="Rde4f46a2bff148f0"/>
    <x:hyperlink xmlns:r="http://schemas.openxmlformats.org/officeDocument/2006/relationships" ref="C24" r:id="R2328cb7d3f584755"/>
    <x:hyperlink xmlns:r="http://schemas.openxmlformats.org/officeDocument/2006/relationships" ref="C25" r:id="R2d993bb4294a4233"/>
    <x:hyperlink xmlns:r="http://schemas.openxmlformats.org/officeDocument/2006/relationships" ref="C30" r:id="R004c9dd7bac34af0"/>
    <x:hyperlink xmlns:r="http://schemas.openxmlformats.org/officeDocument/2006/relationships" ref="C31" r:id="Rc4d90e77f8854de8"/>
    <x:hyperlink xmlns:r="http://schemas.openxmlformats.org/officeDocument/2006/relationships" ref="C32" r:id="R681fcf24119640e1"/>
    <x:hyperlink xmlns:r="http://schemas.openxmlformats.org/officeDocument/2006/relationships" ref="C33" r:id="R33fdd9a648c844f1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11.42578125" defaultRowHeight="15"/>
  <x:cols>
    <x:col min="1" max="1" width="26.7109375" style="5" customWidth="1"/>
    <x:col min="2" max="2" width="42.7109375" style="5" customWidth="1"/>
    <x:col min="3" max="3" width="22.7109375" style="5" customWidth="1"/>
    <x:col min="4" max="4" width="40.7109375" style="5" customWidth="1"/>
    <x:col min="5" max="5" width="34.7109375" style="5" customWidth="1"/>
    <x:col min="6" max="6" width="24.7109375" style="5" customWidth="1"/>
    <x:col min="7" max="7" width="11.42578125" style="5" customWidth="1"/>
    <x:col min="8" max="16384" width="11.42578125" style="5" customWidth="0"/>
  </x:cols>
  <x:sheetData>
    <x:row r="1" ht="26.100000381469727" customHeight="1">
      <x:c r="A1" s="173" t="s">
        <x:v>116</x:v>
      </x:c>
      <x:c r="B1" s="174"/>
      <x:c r="C1" s="174"/>
      <x:c r="D1" s="174"/>
      <x:c r="E1" s="174"/>
      <x:c r="F1" s="174"/>
    </x:row>
    <x:row r="3">
      <x:c r="A3" s="103" t="s">
        <x:v>117</x:v>
      </x:c>
      <x:c r="B3" s="103" t="s">
        <x:v>118</x:v>
      </x:c>
      <x:c r="C3" s="103" t="s">
        <x:v>119</x:v>
      </x:c>
      <x:c r="D3" s="103" t="s">
        <x:v>120</x:v>
      </x:c>
      <x:c r="E3" s="103" t="s">
        <x:v>121</x:v>
      </x:c>
      <x:c r="F3" s="103" t="s">
        <x:v>122</x:v>
      </x:c>
    </x:row>
    <x:row r="4" ht="30" customHeight="1">
      <x:c r="A4" s="15" t="s">
        <x:v>123</x:v>
      </x:c>
      <x:c r="B4" s="16" t="s">
        <x:v>124</x:v>
      </x:c>
      <x:c r="C4" s="16" t="s">
        <x:v>125</x:v>
      </x:c>
      <x:c r="D4" s="16" t="s">
        <x:v>126</x:v>
      </x:c>
      <x:c r="E4" s="16" t="s">
        <x:v>127</x:v>
      </x:c>
      <x:c r="F4" s="17" t="s">
        <x:v>128</x:v>
      </x:c>
    </x:row>
    <x:row r="5" ht="30" customHeight="1">
      <x:c r="A5" s="104" t="s">
        <x:v>129</x:v>
      </x:c>
      <x:c r="B5" s="105" t="s">
        <x:v>130</x:v>
      </x:c>
      <x:c r="C5" s="105" t="s">
        <x:v>131</x:v>
      </x:c>
      <x:c r="D5" s="105" t="s">
        <x:v>132</x:v>
      </x:c>
      <x:c r="E5" s="105" t="s">
        <x:v>133</x:v>
      </x:c>
      <x:c r="F5" s="106" t="s">
        <x:v>134</x:v>
      </x:c>
    </x:row>
    <x:row r="6" ht="30" customHeight="1">
      <x:c r="A6" s="15" t="s">
        <x:v>135</x:v>
      </x:c>
      <x:c r="B6" s="16" t="s">
        <x:v>136</x:v>
      </x:c>
      <x:c r="C6" s="16" t="s">
        <x:v>137</x:v>
      </x:c>
      <x:c r="D6" s="16" t="s">
        <x:v>138</x:v>
      </x:c>
      <x:c r="E6" s="16" t="s">
        <x:v>139</x:v>
      </x:c>
      <x:c r="F6" s="17" t="s">
        <x:v>140</x:v>
      </x:c>
    </x:row>
    <x:row r="7" ht="30" customHeight="1">
      <x:c r="A7" s="104" t="s">
        <x:v>141</x:v>
      </x:c>
      <x:c r="B7" s="105" t="s">
        <x:v>142</x:v>
      </x:c>
      <x:c r="C7" s="105" t="s">
        <x:v>137</x:v>
      </x:c>
      <x:c r="D7" s="105" t="s">
        <x:v>143</x:v>
      </x:c>
      <x:c r="E7" s="105" t="s">
        <x:v>144</x:v>
      </x:c>
      <x:c r="F7" s="106" t="s">
        <x:v>145</x:v>
      </x:c>
    </x:row>
    <x:row r="8" ht="45" customHeight="1">
      <x:c r="A8" s="18" t="s">
        <x:v>146</x:v>
      </x:c>
      <x:c r="B8" s="18" t="s">
        <x:v>147</x:v>
      </x:c>
      <x:c r="C8" s="18" t="s">
        <x:v>148</x:v>
      </x:c>
      <x:c r="D8" s="18" t="s">
        <x:v>149</x:v>
      </x:c>
      <x:c r="E8" s="18" t="s">
        <x:v>150</x:v>
      </x:c>
      <x:c r="F8" s="18" t="s">
        <x:v>151</x:v>
      </x:c>
    </x:row>
    <x:row r="10">
      <x:c r="A10" s="13" t="s">
        <x:v>152</x:v>
      </x:c>
    </x:row>
    <x:row r="11">
      <x:c r="A11" s="13" t="s">
        <x:v>153</x:v>
      </x:c>
    </x:row>
  </x:sheetData>
  <x:mergeCells>
    <x:mergeCell ref="A1:F1"/>
  </x:mergeCells>
  <x:hyperlinks>
    <x:hyperlink xmlns:r="http://schemas.openxmlformats.org/officeDocument/2006/relationships" ref="F4" r:id="R83642e32e35a4d52"/>
    <x:hyperlink xmlns:r="http://schemas.openxmlformats.org/officeDocument/2006/relationships" ref="F5" r:id="R45d51da716fd499c"/>
    <x:hyperlink xmlns:r="http://schemas.openxmlformats.org/officeDocument/2006/relationships" ref="F6" r:id="R5b8148f0c8d84f1a"/>
    <x:hyperlink xmlns:r="http://schemas.openxmlformats.org/officeDocument/2006/relationships" ref="F7" r:id="Rf2905252df2145a6"/>
  </x:hyperlink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11.42578125" defaultRowHeight="15"/>
  <x:cols>
    <x:col min="1" max="1" width="57" customWidth="1"/>
    <x:col min="2" max="2" width="18.28515625" customWidth="1"/>
    <x:col min="3" max="3" width="60.7109375" customWidth="1"/>
    <x:col min="4" max="4" width="28.7109375" customWidth="1"/>
    <x:col min="5" max="5" width="111.85546875" customWidth="1"/>
  </x:cols>
  <x:sheetData>
    <x:row r="1" ht="26.100000381469727" customHeight="1">
      <x:c r="A1" s="178" t="s">
        <x:v>154</x:v>
      </x:c>
      <x:c r="B1" s="179"/>
      <x:c r="C1" s="179"/>
      <x:c r="D1" s="179"/>
      <x:c r="E1" s="179"/>
    </x:row>
    <x:row r="3">
      <x:c r="A3" s="107" t="s">
        <x:v>155</x:v>
      </x:c>
      <x:c r="B3" s="107" t="s">
        <x:v>156</x:v>
      </x:c>
      <x:c r="C3" s="107" t="s">
        <x:v>157</x:v>
      </x:c>
      <x:c r="D3" s="107" t="s">
        <x:v>158</x:v>
      </x:c>
      <x:c r="E3" s="107" t="s">
        <x:v>159</x:v>
      </x:c>
    </x:row>
    <x:row r="4">
      <x:c r="A4" s="108" t="s">
        <x:v>160</x:v>
      </x:c>
      <x:c r="B4" s="48">
        <x:v>1</x:v>
      </x:c>
      <x:c r="C4" s="53">
        <x:v>34350000</x:v>
      </x:c>
      <x:c r="D4" s="50" t="s">
        <x:v>161</x:v>
      </x:c>
      <x:c r="E4" s="102" t="s">
        <x:v>162</x:v>
      </x:c>
    </x:row>
    <x:row r="5">
      <x:c r="A5" s="51" t="s">
        <x:v>163</x:v>
      </x:c>
      <x:c r="B5" s="48" t="n">
        <x:f>C5/C4</x:f>
        <x:v>0.3037011062590975</x:v>
      </x:c>
      <x:c r="C5" s="53">
        <x:v>10432133</x:v>
      </x:c>
      <x:c r="D5" s="50" t="s">
        <x:v>161</x:v>
      </x:c>
      <x:c r="E5" s="102" t="s">
        <x:v>164</x:v>
      </x:c>
    </x:row>
    <x:row r="6">
      <x:c r="A6" s="108" t="s">
        <x:v>165</x:v>
      </x:c>
      <x:c r="B6" s="54">
        <x:v>0.65</x:v>
      </x:c>
      <x:c r="C6" s="49" t="n">
        <x:f>C5*B6</x:f>
        <x:v>6780886.45</x:v>
      </x:c>
      <x:c r="D6" s="50" t="s">
        <x:v>161</x:v>
      </x:c>
      <x:c r="E6" s="102" t="s">
        <x:v>166</x:v>
      </x:c>
    </x:row>
    <x:row r="7">
      <x:c r="A7" s="51" t="s">
        <x:v>167</x:v>
      </x:c>
      <x:c r="B7" s="54">
        <x:v>0.252</x:v>
      </x:c>
      <x:c r="C7" s="49" t="n">
        <x:f>C6*B7</x:f>
        <x:v>1708783.3854</x:v>
      </x:c>
      <x:c r="D7" s="50" t="s">
        <x:v>161</x:v>
      </x:c>
      <x:c r="E7" s="102" t="s">
        <x:v>168</x:v>
      </x:c>
    </x:row>
    <x:row r="8">
      <x:c r="A8" s="108" t="s">
        <x:v>169</x:v>
      </x:c>
      <x:c r="B8" s="54">
        <x:v>0.95699999999999996</x:v>
      </x:c>
      <x:c r="C8" s="49" t="n">
        <x:f>C7*B8</x:f>
        <x:v>1635305.6998278</x:v>
      </x:c>
      <x:c r="D8" s="50" t="s">
        <x:v>161</x:v>
      </x:c>
      <x:c r="E8" s="102" t="s">
        <x:v>170</x:v>
      </x:c>
    </x:row>
    <x:row r="9">
      <x:c r="A9" s="51" t="s">
        <x:v>171</x:v>
      </x:c>
      <x:c r="B9" s="54">
        <x:v>0.15</x:v>
      </x:c>
      <x:c r="C9" s="49" t="n">
        <x:f>C8*B9</x:f>
        <x:v>245295.85497416998</x:v>
      </x:c>
      <x:c r="D9" s="50" t="s">
        <x:v>161</x:v>
      </x:c>
      <x:c r="E9" s="102" t="s">
        <x:v>172</x:v>
      </x:c>
    </x:row>
    <x:row r="10">
      <x:c r="A10" s="108" t="s">
        <x:v>173</x:v>
      </x:c>
      <x:c r="B10" s="54">
        <x:v>0.1</x:v>
      </x:c>
      <x:c r="C10" s="49" t="n">
        <x:f>C9*B10</x:f>
        <x:v>24529.585497417</x:v>
      </x:c>
      <x:c r="D10" s="50" t="s">
        <x:v>174</x:v>
      </x:c>
      <x:c r="E10" s="102" t="s">
        <x:v>175</x:v>
      </x:c>
    </x:row>
    <x:row r="11">
      <x:c r="A11" s="55" t="s">
        <x:v>176</x:v>
      </x:c>
      <x:c r="B11" s="58"/>
      <x:c r="C11" s="56" t="n">
        <x:f>C10</x:f>
        <x:v>24529.585497417</x:v>
      </x:c>
      <x:c r="D11" s="57" t="s">
        <x:v>177</x:v>
      </x:c>
      <x:c r="E11" s="55" t="s">
        <x:v>178</x:v>
      </x:c>
    </x:row>
    <x:row r="12">
      <x:c r="A12" s="108" t="s">
        <x:v>179</x:v>
      </x:c>
      <x:c r="B12" s="48"/>
      <x:c r="C12" s="53">
        <x:v>22400</x:v>
      </x:c>
      <x:c r="D12" s="50" t="s">
        <x:v>177</x:v>
      </x:c>
      <x:c r="E12" s="102" t="s">
        <x:v>180</x:v>
      </x:c>
    </x:row>
    <x:row r="13">
      <x:c r="A13" s="51" t="s">
        <x:v>181</x:v>
      </x:c>
      <x:c r="B13" s="48"/>
      <x:c r="C13" s="53">
        <x:v>2500</x:v>
      </x:c>
      <x:c r="D13" s="50" t="s">
        <x:v>177</x:v>
      </x:c>
      <x:c r="E13" s="102" t="s">
        <x:v>182</x:v>
      </x:c>
    </x:row>
    <x:row r="14">
      <x:c r="A14" s="108" t="s">
        <x:v>183</x:v>
      </x:c>
      <x:c r="B14" s="48"/>
      <x:c r="C14" s="53">
        <x:v>1300</x:v>
      </x:c>
      <x:c r="D14" s="50" t="s">
        <x:v>177</x:v>
      </x:c>
      <x:c r="E14" s="102" t="s">
        <x:v>184</x:v>
      </x:c>
    </x:row>
    <x:row r="15">
      <x:c r="A15" s="55" t="s">
        <x:v>185</x:v>
      </x:c>
      <x:c r="B15" s="58"/>
      <x:c r="C15" s="56" t="n">
        <x:f>C12+C13-C14</x:f>
        <x:v>23600</x:v>
      </x:c>
      <x:c r="D15" s="57" t="s">
        <x:v>177</x:v>
      </x:c>
      <x:c r="E15" s="55" t="s">
        <x:v>186</x:v>
      </x:c>
    </x:row>
    <x:row r="16">
      <x:c r="A16" s="55" t="s">
        <x:v>187</x:v>
      </x:c>
      <x:c r="B16" s="58"/>
      <x:c r="C16" s="56" t="n">
        <x:f>C11-C15</x:f>
        <x:v>929.5854974169997</x:v>
      </x:c>
      <x:c r="D16" s="57" t="s">
        <x:v>177</x:v>
      </x:c>
      <x:c r="E16" s="55" t="s">
        <x:v>188</x:v>
      </x:c>
    </x:row>
    <x:row r="17">
      <x:c r="A17" s="55" t="s">
        <x:v>189</x:v>
      </x:c>
      <x:c r="B17" s="58" t="n">
        <x:f>'PROYECCION DE VENTAS'!B19/C16</x:f>
        <x:v>0.15383200404626374</x:v>
      </x:c>
      <x:c r="C17" s="56" t="n">
        <x:f>C16*B17</x:f>
        <x:v>143</x:v>
      </x:c>
      <x:c r="D17" s="57" t="s">
        <x:v>190</x:v>
      </x:c>
      <x:c r="E17" s="55" t="s">
        <x:v>191</x:v>
      </x:c>
    </x:row>
    <x:row r="18">
      <x:c r="A18" s="59" t="s">
        <x:v>192</x:v>
      </x:c>
      <x:c r="B18" s="60"/>
      <x:c r="C18" s="61" t="n">
        <x:f>ROUND(C17,0)</x:f>
        <x:v>143</x:v>
      </x:c>
      <x:c r="D18" s="62" t="s">
        <x:v>193</x:v>
      </x:c>
      <x:c r="E18" s="59" t="s">
        <x:v>194</x:v>
      </x:c>
    </x:row>
    <x:row r="20" ht="17.25" customHeight="1">
      <x:c r="A20" s="180" t="s">
        <x:v>195</x:v>
      </x:c>
      <x:c r="B20" s="179"/>
      <x:c r="C20" s="179"/>
      <x:c r="D20" s="179"/>
      <x:c r="E20" s="179"/>
    </x:row>
    <x:row r="21">
      <x:c r="A21" s="107" t="s">
        <x:v>196</x:v>
      </x:c>
      <x:c r="B21" s="107" t="s">
        <x:v>197</x:v>
      </x:c>
      <x:c r="C21" s="107" t="s">
        <x:v>198</x:v>
      </x:c>
      <x:c r="D21" s="107" t="s">
        <x:v>199</x:v>
      </x:c>
      <x:c r="E21" s="107" t="s">
        <x:v>200</x:v>
      </x:c>
    </x:row>
    <x:row r="22">
      <x:c r="A22" s="109" t="s">
        <x:v>201</x:v>
      </x:c>
      <x:c r="B22" s="50" t="s">
        <x:v>202</x:v>
      </x:c>
      <x:c r="C22" s="52" t="s">
        <x:v>203</x:v>
      </x:c>
      <x:c r="D22" s="50" t="s">
        <x:v>204</x:v>
      </x:c>
      <x:c r="E22" s="63" t="s">
        <x:v>205</x:v>
      </x:c>
    </x:row>
    <x:row r="23">
      <x:c r="A23" s="52" t="s">
        <x:v>206</x:v>
      </x:c>
      <x:c r="B23" s="50" t="s">
        <x:v>202</x:v>
      </x:c>
      <x:c r="C23" s="52" t="s">
        <x:v>207</x:v>
      </x:c>
      <x:c r="D23" s="50" t="s">
        <x:v>204</x:v>
      </x:c>
      <x:c r="E23" s="63" t="s">
        <x:v>208</x:v>
      </x:c>
    </x:row>
    <x:row r="24">
      <x:c r="A24" s="109" t="s">
        <x:v>209</x:v>
      </x:c>
      <x:c r="B24" s="50" t="s">
        <x:v>210</x:v>
      </x:c>
      <x:c r="C24" s="52" t="s">
        <x:v>211</x:v>
      </x:c>
      <x:c r="D24" s="50" t="s">
        <x:v>212</x:v>
      </x:c>
      <x:c r="E24" s="63" t="s">
        <x:v>213</x:v>
      </x:c>
    </x:row>
    <x:row r="25">
      <x:c r="A25" s="52" t="s">
        <x:v>214</x:v>
      </x:c>
      <x:c r="B25" s="50" t="s">
        <x:v>210</x:v>
      </x:c>
      <x:c r="C25" s="52" t="s">
        <x:v>215</x:v>
      </x:c>
      <x:c r="D25" s="50" t="s">
        <x:v>216</x:v>
      </x:c>
      <x:c r="E25" s="63" t="s">
        <x:v>217</x:v>
      </x:c>
    </x:row>
    <x:row r="26">
      <x:c r="A26" s="109" t="s">
        <x:v>218</x:v>
      </x:c>
      <x:c r="B26" s="50" t="s">
        <x:v>210</x:v>
      </x:c>
      <x:c r="C26" s="52" t="s">
        <x:v>219</x:v>
      </x:c>
      <x:c r="D26" s="50" t="s">
        <x:v>212</x:v>
      </x:c>
      <x:c r="E26" s="63" t="s">
        <x:v>220</x:v>
      </x:c>
    </x:row>
  </x:sheetData>
  <x:mergeCells>
    <x:mergeCell ref="A1:E1"/>
    <x:mergeCell ref="A20:E20"/>
  </x:mergeCells>
  <x:hyperlinks>
    <x:hyperlink xmlns:r="http://schemas.openxmlformats.org/officeDocument/2006/relationships" ref="E4" r:id="R7181e0e0833942af"/>
    <x:hyperlink xmlns:r="http://schemas.openxmlformats.org/officeDocument/2006/relationships" ref="E5" r:id="R64bda515e9894165"/>
    <x:hyperlink xmlns:r="http://schemas.openxmlformats.org/officeDocument/2006/relationships" ref="E6" r:id="R7663f950015f4e76"/>
    <x:hyperlink xmlns:r="http://schemas.openxmlformats.org/officeDocument/2006/relationships" ref="E7" r:id="R9cd4ff9c7b394bd5"/>
    <x:hyperlink xmlns:r="http://schemas.openxmlformats.org/officeDocument/2006/relationships" ref="E8" r:id="R9a8565c744ab4554"/>
    <x:hyperlink xmlns:r="http://schemas.openxmlformats.org/officeDocument/2006/relationships" ref="E9" r:id="R042d897a32a64a6b"/>
    <x:hyperlink xmlns:r="http://schemas.openxmlformats.org/officeDocument/2006/relationships" ref="E10" r:id="Rf062895233f84ca8"/>
    <x:hyperlink xmlns:r="http://schemas.openxmlformats.org/officeDocument/2006/relationships" ref="E12" r:id="R0d589bde6b9b4988"/>
    <x:hyperlink xmlns:r="http://schemas.openxmlformats.org/officeDocument/2006/relationships" ref="E13" r:id="R7d7d779f767140da"/>
    <x:hyperlink xmlns:r="http://schemas.openxmlformats.org/officeDocument/2006/relationships" ref="E14" r:id="R782905da87df4294"/>
    <x:hyperlink xmlns:r="http://schemas.openxmlformats.org/officeDocument/2006/relationships" ref="E22" r:id="R376c502c93fc4a7b"/>
    <x:hyperlink xmlns:r="http://schemas.openxmlformats.org/officeDocument/2006/relationships" ref="E23" r:id="Rf405a26997344bd2"/>
    <x:hyperlink xmlns:r="http://schemas.openxmlformats.org/officeDocument/2006/relationships" ref="E24" r:id="Rec9f921d65004b5b"/>
    <x:hyperlink xmlns:r="http://schemas.openxmlformats.org/officeDocument/2006/relationships" ref="E25" r:id="R9c59b8b7443e43e1"/>
    <x:hyperlink xmlns:r="http://schemas.openxmlformats.org/officeDocument/2006/relationships" ref="E26" r:id="R2d7ed438166f41d3"/>
  </x:hyperlink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11.42578125" defaultRowHeight="15"/>
  <x:cols>
    <x:col min="1" max="1" width="46.7109375" style="5" customWidth="1"/>
    <x:col min="2" max="2" width="16.7109375" style="5" customWidth="1"/>
    <x:col min="3" max="5" width="18.7109375" style="5" customWidth="1"/>
    <x:col min="6" max="6" width="14.7109375" style="5" customWidth="1"/>
    <x:col min="7" max="7" width="11.42578125" style="5" customWidth="1"/>
    <x:col min="8" max="16384" width="11.42578125" style="5" customWidth="0"/>
  </x:cols>
  <x:sheetData>
    <x:row r="1" ht="26.100000381469727" customHeight="1">
      <x:c r="A1" s="181" t="s">
        <x:v>221</x:v>
      </x:c>
      <x:c r="B1" s="174"/>
      <x:c r="C1" s="174"/>
      <x:c r="D1" s="174"/>
      <x:c r="E1" s="174"/>
      <x:c r="F1" s="174"/>
    </x:row>
    <x:row r="3">
      <x:c r="A3" s="6" t="s">
        <x:v>222</x:v>
      </x:c>
    </x:row>
    <x:row r="4">
      <x:c r="A4" s="103" t="s">
        <x:v>223</x:v>
      </x:c>
      <x:c r="B4" s="103" t="s">
        <x:v>224</x:v>
      </x:c>
      <x:c r="C4" s="103" t="s">
        <x:v>225</x:v>
      </x:c>
    </x:row>
    <x:row r="5">
      <x:c r="A5" s="7" t="s">
        <x:v>226</x:v>
      </x:c>
      <x:c r="B5" s="7" t="s">
        <x:v>227</x:v>
      </x:c>
      <x:c r="C5" s="110">
        <x:v>180</x:v>
      </x:c>
    </x:row>
    <x:row r="6">
      <x:c r="A6" s="7" t="s">
        <x:v>228</x:v>
      </x:c>
      <x:c r="B6" s="7" t="s">
        <x:v>227</x:v>
      </x:c>
      <x:c r="C6" s="110">
        <x:v>30</x:v>
      </x:c>
    </x:row>
    <x:row r="7">
      <x:c r="A7" s="7" t="s">
        <x:v>229</x:v>
      </x:c>
      <x:c r="B7" s="7" t="s">
        <x:v>230</x:v>
      </x:c>
      <x:c r="C7" s="110">
        <x:v>40</x:v>
      </x:c>
    </x:row>
    <x:row r="8">
      <x:c r="A8" s="7" t="s">
        <x:v>231</x:v>
      </x:c>
      <x:c r="B8" s="7" t="s">
        <x:v>232</x:v>
      </x:c>
      <x:c r="C8" s="110">
        <x:v>0</x:v>
      </x:c>
    </x:row>
    <x:row r="9">
      <x:c r="A9" s="8" t="s">
        <x:v>233</x:v>
      </x:c>
      <x:c r="B9" s="7"/>
      <x:c r="C9" s="9" t="n">
        <x:f>C5+C6</x:f>
        <x:v>210</x:v>
      </x:c>
    </x:row>
    <x:row r="10">
      <x:c r="A10" s="8" t="s">
        <x:v>234</x:v>
      </x:c>
      <x:c r="B10" s="7"/>
      <x:c r="C10" s="9">
        <x:v>40</x:v>
      </x:c>
    </x:row>
    <x:row r="12">
      <x:c r="A12" s="6" t="s">
        <x:v>235</x:v>
      </x:c>
    </x:row>
    <x:row r="13" ht="30" customHeight="1">
      <x:c r="A13" s="103" t="s">
        <x:v>236</x:v>
      </x:c>
      <x:c r="B13" s="103" t="s">
        <x:v>237</x:v>
      </x:c>
      <x:c r="C13" s="103" t="s">
        <x:v>238</x:v>
      </x:c>
      <x:c r="D13" s="103" t="s">
        <x:v>239</x:v>
      </x:c>
      <x:c r="E13" s="103" t="s">
        <x:v>240</x:v>
      </x:c>
    </x:row>
    <x:row r="14">
      <x:c r="A14" s="7" t="s">
        <x:v>241</x:v>
      </x:c>
      <x:c r="B14" s="7">
        <x:v>1</x:v>
      </x:c>
      <x:c r="C14" s="10" t="n">
        <x:f>$C$9</x:f>
        <x:v>210</x:v>
      </x:c>
      <x:c r="D14" s="10">
        <x:v>40</x:v>
      </x:c>
      <x:c r="E14" s="10">
        <x:v>250</x:v>
      </x:c>
    </x:row>
    <x:row r="15">
      <x:c r="A15" s="7" t="s">
        <x:v>242</x:v>
      </x:c>
      <x:c r="B15" s="7">
        <x:v>2</x:v>
      </x:c>
      <x:c r="C15" s="10" t="n">
        <x:f>$C$9</x:f>
        <x:v>210</x:v>
      </x:c>
      <x:c r="D15" s="10">
        <x:v>80</x:v>
      </x:c>
      <x:c r="E15" s="10">
        <x:v>290</x:v>
      </x:c>
    </x:row>
    <x:row r="16">
      <x:c r="A16" s="7" t="s">
        <x:v>243</x:v>
      </x:c>
      <x:c r="B16" s="7">
        <x:v>3</x:v>
      </x:c>
      <x:c r="C16" s="10" t="n">
        <x:f>$C$9</x:f>
        <x:v>210</x:v>
      </x:c>
      <x:c r="D16" s="10">
        <x:v>120</x:v>
      </x:c>
      <x:c r="E16" s="10">
        <x:v>330</x:v>
      </x:c>
    </x:row>
    <x:row r="17">
      <x:c r="A17" s="7" t="s">
        <x:v>244</x:v>
      </x:c>
      <x:c r="B17" s="7">
        <x:v>4</x:v>
      </x:c>
      <x:c r="C17" s="10" t="n">
        <x:f>$C$9</x:f>
        <x:v>210</x:v>
      </x:c>
      <x:c r="D17" s="10">
        <x:v>160</x:v>
      </x:c>
      <x:c r="E17" s="10">
        <x:v>370</x:v>
      </x:c>
    </x:row>
    <x:row r="19">
      <x:c r="A19" s="6" t="s">
        <x:v>245</x:v>
      </x:c>
    </x:row>
    <x:row r="20" ht="30" customHeight="1">
      <x:c r="A20" s="103" t="s">
        <x:v>236</x:v>
      </x:c>
      <x:c r="B20" s="103" t="s">
        <x:v>246</x:v>
      </x:c>
      <x:c r="C20" s="103" t="s">
        <x:v>247</x:v>
      </x:c>
      <x:c r="D20" s="103" t="s">
        <x:v>248</x:v>
      </x:c>
      <x:c r="E20" s="103" t="s">
        <x:v>249</x:v>
      </x:c>
      <x:c r="F20" s="103" t="s">
        <x:v>250</x:v>
      </x:c>
    </x:row>
    <x:row r="21">
      <x:c r="A21" s="7" t="s">
        <x:v>241</x:v>
      </x:c>
      <x:c r="B21" s="10">
        <x:v>250</x:v>
      </x:c>
      <x:c r="C21" s="383" t="n">
        <x:v>750</x:v>
      </x:c>
      <x:c r="D21" s="10" t="n">
        <x:f>C21-B21</x:f>
        <x:v>500</x:v>
      </x:c>
      <x:c r="E21" s="11" t="n">
        <x:f>D21/C21</x:f>
        <x:v>0.6666666666666666</x:v>
      </x:c>
      <x:c r="F21" s="11" t="n">
        <x:f>D21/B21</x:f>
        <x:v>2</x:v>
      </x:c>
    </x:row>
    <x:row r="22">
      <x:c r="A22" s="7" t="s">
        <x:v>242</x:v>
      </x:c>
      <x:c r="B22" s="10">
        <x:v>290</x:v>
      </x:c>
      <x:c r="C22" s="383" t="n">
        <x:v>1300</x:v>
      </x:c>
      <x:c r="D22" s="10" t="n">
        <x:f>C22-B22</x:f>
        <x:v>1010</x:v>
      </x:c>
      <x:c r="E22" s="11" t="n">
        <x:f>D22/C22</x:f>
        <x:v>0.7769230769230769</x:v>
      </x:c>
      <x:c r="F22" s="11" t="n">
        <x:f>D22/B22</x:f>
        <x:v>3.4827586206896552</x:v>
      </x:c>
    </x:row>
    <x:row r="23">
      <x:c r="A23" s="7" t="s">
        <x:v>243</x:v>
      </x:c>
      <x:c r="B23" s="10">
        <x:v>330</x:v>
      </x:c>
      <x:c r="C23" s="383" t="n">
        <x:v>1800</x:v>
      </x:c>
      <x:c r="D23" s="10" t="n">
        <x:f>C23-B23</x:f>
        <x:v>1470</x:v>
      </x:c>
      <x:c r="E23" s="11" t="n">
        <x:f>D23/C23</x:f>
        <x:v>0.8166666666666667</x:v>
      </x:c>
      <x:c r="F23" s="11" t="n">
        <x:f>D23/B23</x:f>
        <x:v>4.454545454545454</x:v>
      </x:c>
    </x:row>
    <x:row r="24">
      <x:c r="A24" s="7" t="s">
        <x:v>244</x:v>
      </x:c>
      <x:c r="B24" s="10">
        <x:v>370</x:v>
      </x:c>
      <x:c r="C24" s="383" t="n">
        <x:v>2300</x:v>
      </x:c>
      <x:c r="D24" s="10" t="n">
        <x:f>C24-B24</x:f>
        <x:v>1930</x:v>
      </x:c>
      <x:c r="E24" s="11" t="n">
        <x:f>D24/C24</x:f>
        <x:v>0.8391304347826087</x:v>
      </x:c>
      <x:c r="F24" s="11" t="n">
        <x:f>D24/B24</x:f>
        <x:v>5.216216216216216</x:v>
      </x:c>
    </x:row>
    <x:row r="26">
      <x:c r="A26" s="6" t="s">
        <x:v>251</x:v>
      </x:c>
    </x:row>
    <x:row r="27" ht="30" customHeight="1">
      <x:c r="A27" s="103" t="s">
        <x:v>236</x:v>
      </x:c>
      <x:c r="B27" s="103" t="s">
        <x:v>252</x:v>
      </x:c>
      <x:c r="C27" s="103" t="s">
        <x:v>253</x:v>
      </x:c>
      <x:c r="D27" s="103" t="s">
        <x:v>254</x:v>
      </x:c>
      <x:c r="E27" s="103" t="s">
        <x:v>255</x:v>
      </x:c>
      <x:c r="F27" s="103" t="s">
        <x:v>256</x:v>
      </x:c>
    </x:row>
    <x:row r="28">
      <x:c r="A28" s="7" t="s">
        <x:v>241</x:v>
      </x:c>
      <x:c r="B28" s="111">
        <x:v>0.45</x:v>
      </x:c>
      <x:c r="C28" s="10">
        <x:v>0.35</x:v>
      </x:c>
      <x:c r="D28" s="10">
        <x:v>0.2</x:v>
      </x:c>
      <x:c r="E28" s="10">
        <x:v>250</x:v>
      </x:c>
      <x:c r="F28" s="10" t="n">
        <x:f>B28*D28</x:f>
        <x:v>0.09000000000000001</x:v>
      </x:c>
    </x:row>
    <x:row r="29">
      <x:c r="A29" s="7" t="s">
        <x:v>257</x:v>
      </x:c>
      <x:c r="B29" s="111">
        <x:v>0.3</x:v>
      </x:c>
      <x:c r="C29" s="10">
        <x:v>0.3</x:v>
      </x:c>
      <x:c r="D29" s="10">
        <x:v>0.3</x:v>
      </x:c>
      <x:c r="E29" s="10">
        <x:v>290</x:v>
      </x:c>
      <x:c r="F29" s="10" t="n">
        <x:f>B29*D29</x:f>
        <x:v>0.09</x:v>
      </x:c>
    </x:row>
    <x:row r="30">
      <x:c r="A30" s="7" t="s">
        <x:v>258</x:v>
      </x:c>
      <x:c r="B30" s="111">
        <x:v>0.15</x:v>
      </x:c>
      <x:c r="C30" s="10">
        <x:v>0.25</x:v>
      </x:c>
      <x:c r="D30" s="10">
        <x:v>0.3</x:v>
      </x:c>
      <x:c r="E30" s="10">
        <x:v>330</x:v>
      </x:c>
      <x:c r="F30" s="10" t="n">
        <x:f>B30*D30</x:f>
        <x:v>0.045</x:v>
      </x:c>
    </x:row>
    <x:row r="31">
      <x:c r="A31" s="7" t="s">
        <x:v>259</x:v>
      </x:c>
      <x:c r="B31" s="111">
        <x:v>0.1</x:v>
      </x:c>
      <x:c r="C31" s="10">
        <x:v>0.1</x:v>
      </x:c>
      <x:c r="D31" s="10">
        <x:v>0.2</x:v>
      </x:c>
      <x:c r="E31" s="10">
        <x:v>370</x:v>
      </x:c>
      <x:c r="F31" s="10" t="n">
        <x:f>B31*D31</x:f>
        <x:v>0.020000000000000004</x:v>
      </x:c>
    </x:row>
    <x:row r="32">
      <x:c r="A32" s="166" t="s">
        <x:v>260</x:v>
      </x:c>
      <x:c r="B32" s="270" t="n">
        <x:f>'PROYECCION DE VENTAS'!D34</x:f>
        <x:v>286</x:v>
      </x:c>
      <x:c r="C32" s="270" t="n">
        <x:f>'PROYECCION DE VENTAS'!E34</x:f>
        <x:v>294</x:v>
      </x:c>
      <x:c r="D32" s="270" t="n">
        <x:f>'PROYECCION DE VENTAS'!F34</x:f>
        <x:v>310</x:v>
      </x:c>
      <x:c r="E32" s="270" t="n">
        <x:f>'FLUJO DE CAJA'!O10/'PROYECCION DE VENTAS'!B19</x:f>
        <x:v>298.97902097902096</x:v>
      </x:c>
      <x:c r="F32" s="9" t="n">
        <x:f>SUM(F28:F31)</x:f>
        <x:v>0.245</x:v>
      </x:c>
    </x:row>
    <x:row r="33">
      <x:c r="A33" s="169" t="s">
        <x:v>261</x:v>
      </x:c>
      <x:c r="B33" s="271" t="n">
        <x:f>'PROYECCION DE VENTAS'!D33</x:f>
        <x:v>1227.5</x:v>
      </x:c>
      <x:c r="C33" s="271" t="n">
        <x:f>'PROYECCION DE VENTAS'!E33</x:f>
        <x:v>1332.5</x:v>
      </x:c>
      <x:c r="D33" s="271" t="n">
        <x:f>'PROYECCION DE VENTAS'!F33</x:f>
        <x:v>1540</x:v>
      </x:c>
      <x:c r="E33" s="272" t="n">
        <x:f>'PROYECCION DE VENTAS'!B3</x:f>
        <x:v>1396.8006993006993</x:v>
      </x:c>
      <x:c r="F33" s="12" t="s">
        <x:v>262</x:v>
      </x:c>
    </x:row>
    <x:row r="34">
      <x:c r="A34" s="169" t="s">
        <x:v>263</x:v>
      </x:c>
      <x:c r="B34" s="271" t="n">
        <x:f>B33-B32</x:f>
        <x:v>941.5</x:v>
      </x:c>
      <x:c r="C34" s="271" t="n">
        <x:f>C33-C32</x:f>
        <x:v>1038.5</x:v>
      </x:c>
      <x:c r="D34" s="271" t="n">
        <x:f>D33-D32</x:f>
        <x:v>1230</x:v>
      </x:c>
      <x:c r="E34" s="271" t="n">
        <x:f>E33-E32</x:f>
        <x:v>1097.8216783216783</x:v>
      </x:c>
    </x:row>
    <x:row r="35">
      <x:c r="A35" s="171" t="s">
        <x:v>264</x:v>
      </x:c>
      <x:c r="B35" s="172">
        <x:v>0.75600000000000001</x:v>
      </x:c>
      <x:c r="C35" s="171"/>
      <x:c r="D35" s="172">
        <x:v>0.77</x:v>
      </x:c>
      <x:c r="E35" s="172">
        <x:v>0.79100000000000004</x:v>
      </x:c>
      <x:c r="F35" s="171"/>
    </x:row>
    <x:row r="36">
      <x:c r="A36" s="171" t="s">
        <x:v>265</x:v>
      </x:c>
      <x:c r="B36" s="171"/>
      <x:c r="C36" s="171"/>
      <x:c r="D36" s="171"/>
      <x:c r="E36" s="171"/>
      <x:c r="F36" s="171"/>
    </x:row>
    <x:row r="37">
      <x:c r="A37" s="5" t="s">
        <x:v>266</x:v>
      </x:c>
    </x:row>
    <x:row r="38">
      <x:c r="A38" s="5" t="s">
        <x:v>267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10" defaultColWidth="11.42578125" defaultRowHeight="15"/>
  <x:cols>
    <x:col min="1" max="1" width="48.7109375" customWidth="1"/>
    <x:col min="2" max="2" width="14.7109375" customWidth="1"/>
    <x:col min="3" max="5" width="16.7109375" customWidth="1"/>
  </x:cols>
  <x:sheetData>
    <x:row r="1" ht="26.100000381469727" customHeight="1">
      <x:c r="A1" s="183" t="s">
        <x:v>268</x:v>
      </x:c>
      <x:c r="B1" s="179"/>
      <x:c r="C1" s="179"/>
      <x:c r="D1" s="179"/>
      <x:c r="E1" s="179"/>
    </x:row>
    <x:row r="3">
      <x:c r="A3" s="22" t="s">
        <x:v>269</x:v>
      </x:c>
    </x:row>
    <x:row r="4">
      <x:c r="A4" t="s">
        <x:v>270</x:v>
      </x:c>
      <x:c r="B4" s="64" t="n">
        <x:f>COFACE!B12</x:f>
        <x:v>3.386</x:v>
      </x:c>
      <x:c r="C4" s="27" t="s">
        <x:v>271</x:v>
      </x:c>
      <x:c r="D4" s="25" t="s">
        <x:v>272</x:v>
      </x:c>
    </x:row>
    <x:row r="5">
      <x:c r="A5" t="s">
        <x:v>273</x:v>
      </x:c>
      <x:c r="B5" s="65">
        <x:v>0.06</x:v>
      </x:c>
    </x:row>
    <x:row r="6">
      <x:c r="A6" t="s">
        <x:v>274</x:v>
      </x:c>
      <x:c r="B6" s="65">
        <x:v>0.16</x:v>
      </x:c>
    </x:row>
    <x:row r="7">
      <x:c r="A7" t="s">
        <x:v>275</x:v>
      </x:c>
      <x:c r="B7" s="65">
        <x:v>0.02</x:v>
      </x:c>
    </x:row>
    <x:row r="8">
      <x:c r="A8" t="s">
        <x:v>276</x:v>
      </x:c>
      <x:c r="B8" s="65">
        <x:v>3.5000000000000003E-2</x:v>
      </x:c>
    </x:row>
    <x:row r="9">
      <x:c r="A9" t="s">
        <x:v>277</x:v>
      </x:c>
      <x:c r="B9" s="65">
        <x:v>0.01</x:v>
      </x:c>
    </x:row>
    <x:row r="11">
      <x:c r="A11" s="22" t="s">
        <x:v>278</x:v>
      </x:c>
    </x:row>
    <x:row r="12">
      <x:c r="A12" s="112" t="s">
        <x:v>279</x:v>
      </x:c>
      <x:c r="B12" s="112" t="s">
        <x:v>157</x:v>
      </x:c>
      <x:c r="C12" s="112" t="s">
        <x:v>280</x:v>
      </x:c>
      <x:c r="D12" s="112" t="s">
        <x:v>281</x:v>
      </x:c>
      <x:c r="E12" s="112" t="s">
        <x:v>282</x:v>
      </x:c>
    </x:row>
    <x:row r="13">
      <x:c r="A13" t="s">
        <x:v>283</x:v>
      </x:c>
      <x:c r="B13" s="3" t="n">
        <x:f>INVERSION!B5</x:f>
        <x:v>1</x:v>
      </x:c>
      <x:c r="C13" s="113" t="n">
        <x:f>ANEXOS!C4</x:f>
        <x:v>1200</x:v>
      </x:c>
      <x:c r="D13" s="71" t="n">
        <x:f>B13*C13</x:f>
        <x:v>1200</x:v>
      </x:c>
      <x:c r="E13" s="71" t="n">
        <x:f>D13*$B$4</x:f>
        <x:v>4063.2000000000003</x:v>
      </x:c>
    </x:row>
    <x:row r="14">
      <x:c r="A14" t="s">
        <x:v>284</x:v>
      </x:c>
      <x:c r="B14" s="3" t="n">
        <x:f>INVERSION!B6</x:f>
        <x:v>1</x:v>
      </x:c>
      <x:c r="C14" s="113" t="n">
        <x:f>ANEXOS!C5</x:f>
        <x:v>1500</x:v>
      </x:c>
      <x:c r="D14" s="71" t="n">
        <x:f>B14*C14</x:f>
        <x:v>1500</x:v>
      </x:c>
      <x:c r="E14" s="71" t="n">
        <x:f>D14*$B$4</x:f>
        <x:v>5079</x:v>
      </x:c>
    </x:row>
    <x:row r="15">
      <x:c r="A15" t="s">
        <x:v>285</x:v>
      </x:c>
      <x:c r="B15" s="3" t="n">
        <x:f>INVERSION!B7</x:f>
        <x:v>1</x:v>
      </x:c>
      <x:c r="C15" s="113" t="n">
        <x:f>ANEXOS!C6</x:f>
        <x:v>1800</x:v>
      </x:c>
      <x:c r="D15" s="71" t="n">
        <x:f>B15*C15</x:f>
        <x:v>1800</x:v>
      </x:c>
      <x:c r="E15" s="71" t="n">
        <x:f>D15*$B$4</x:f>
        <x:v>6094.8</x:v>
      </x:c>
    </x:row>
    <x:row r="16">
      <x:c r="A16" t="s">
        <x:v>286</x:v>
      </x:c>
      <x:c r="B16" s="3" t="n">
        <x:f>INVERSION!B8</x:f>
        <x:v>1</x:v>
      </x:c>
      <x:c r="C16" s="113" t="n">
        <x:f>ANEXOS!C7</x:f>
        <x:v>400</x:v>
      </x:c>
      <x:c r="D16" s="71" t="n">
        <x:f>B16*C16</x:f>
        <x:v>400</x:v>
      </x:c>
      <x:c r="E16" s="71" t="n">
        <x:f>D16*$B$4</x:f>
        <x:v>1354.4</x:v>
      </x:c>
    </x:row>
    <x:row r="17">
      <x:c r="A17" s="1" t="s">
        <x:v>287</x:v>
      </x:c>
      <x:c r="C17" s="3"/>
      <x:c r="D17" s="72" t="n">
        <x:f>SUM(D13:D16)</x:f>
        <x:v>4900</x:v>
      </x:c>
      <x:c r="E17" s="72" t="n">
        <x:f>SUM(E13:E16)</x:f>
        <x:v>16591.4</x:v>
      </x:c>
    </x:row>
    <x:row r="18">
      <x:c r="D18" s="71"/>
      <x:c r="E18" s="71"/>
    </x:row>
    <x:row r="19">
      <x:c r="A19" s="22" t="s">
        <x:v>288</x:v>
      </x:c>
      <x:c r="D19" s="71"/>
      <x:c r="E19" s="71"/>
    </x:row>
    <x:row r="20">
      <x:c r="A20" s="112" t="s">
        <x:v>289</x:v>
      </x:c>
      <x:c r="B20" s="112"/>
      <x:c r="C20" s="112"/>
      <x:c r="D20" s="114" t="s">
        <x:v>290</x:v>
      </x:c>
      <x:c r="E20" s="114" t="s">
        <x:v>291</x:v>
      </x:c>
    </x:row>
    <x:row r="21">
      <x:c r="A21" t="s">
        <x:v>292</x:v>
      </x:c>
      <x:c r="D21" s="73">
        <x:v>1500</x:v>
      </x:c>
      <x:c r="E21" s="71" t="n">
        <x:f>D21*$B$4</x:f>
        <x:v>5079</x:v>
      </x:c>
    </x:row>
    <x:row r="22">
      <x:c r="A22" t="s">
        <x:v>277</x:v>
      </x:c>
      <x:c r="D22" s="71" t="n">
        <x:f>D17*$B$9</x:f>
        <x:v>49</x:v>
      </x:c>
      <x:c r="E22" s="71" t="n">
        <x:f>D22*$B$4</x:f>
        <x:v>165.91400000000002</x:v>
      </x:c>
    </x:row>
    <x:row r="23">
      <x:c r="A23" s="1" t="s">
        <x:v>293</x:v>
      </x:c>
      <x:c r="D23" s="72" t="n">
        <x:f>D17+D21+D22</x:f>
        <x:v>6449</x:v>
      </x:c>
      <x:c r="E23" s="72" t="n">
        <x:f>D23*$B$4</x:f>
        <x:v>21836.314000000002</x:v>
      </x:c>
    </x:row>
    <x:row r="24">
      <x:c r="D24" s="71"/>
      <x:c r="E24" s="71"/>
    </x:row>
    <x:row r="25">
      <x:c r="A25" s="22" t="s">
        <x:v>294</x:v>
      </x:c>
      <x:c r="D25" s="71"/>
      <x:c r="E25" s="71"/>
    </x:row>
    <x:row r="26">
      <x:c r="A26" s="112" t="s">
        <x:v>289</x:v>
      </x:c>
      <x:c r="B26" s="112"/>
      <x:c r="C26" s="112"/>
      <x:c r="D26" s="114" t="s">
        <x:v>290</x:v>
      </x:c>
      <x:c r="E26" s="114" t="s">
        <x:v>291</x:v>
      </x:c>
    </x:row>
    <x:row r="27">
      <x:c r="A27" t="s">
        <x:v>295</x:v>
      </x:c>
      <x:c r="D27" s="71" t="n">
        <x:f>D23*$B$5</x:f>
        <x:v>386.94</x:v>
      </x:c>
      <x:c r="E27" s="71" t="n">
        <x:f>D27*$B$4</x:f>
        <x:v>1310.17884</x:v>
      </x:c>
    </x:row>
    <x:row r="28">
      <x:c r="A28" t="s">
        <x:v>296</x:v>
      </x:c>
      <x:c r="D28" s="71" t="n">
        <x:f>(D23+D27)*$B$6</x:f>
        <x:v>1093.7504</x:v>
      </x:c>
      <x:c r="E28" s="71" t="n">
        <x:f>D28*$B$4</x:f>
        <x:v>3703.4388544</x:v>
      </x:c>
    </x:row>
    <x:row r="29">
      <x:c r="A29" t="s">
        <x:v>297</x:v>
      </x:c>
      <x:c r="D29" s="71" t="n">
        <x:f>(D23+D27)*$B$7</x:f>
        <x:v>136.7188</x:v>
      </x:c>
      <x:c r="E29" s="71" t="n">
        <x:f>D29*$B$4</x:f>
        <x:v>462.9298568</x:v>
      </x:c>
    </x:row>
    <x:row r="30">
      <x:c r="A30" t="s">
        <x:v>298</x:v>
      </x:c>
      <x:c r="D30" s="71" t="n">
        <x:f>(D23+D27+D28+D29)*$B$8</x:f>
        <x:v>282.324322</x:v>
      </x:c>
      <x:c r="E30" s="71" t="n">
        <x:f>D30*$B$4</x:f>
        <x:v>955.950154292</x:v>
      </x:c>
    </x:row>
    <x:row r="31">
      <x:c r="A31" s="1" t="s">
        <x:v>299</x:v>
      </x:c>
      <x:c r="D31" s="72" t="n">
        <x:f>SUM(D27:D30)</x:f>
        <x:v>1899.733522</x:v>
      </x:c>
      <x:c r="E31" s="72" t="n">
        <x:f>D31*$B$4</x:f>
        <x:v>6432.497705492</x:v>
      </x:c>
    </x:row>
    <x:row r="32">
      <x:c r="D32" s="71"/>
      <x:c r="E32" s="71"/>
    </x:row>
    <x:row r="33">
      <x:c r="A33" s="22" t="s">
        <x:v>300</x:v>
      </x:c>
      <x:c r="D33" s="71"/>
      <x:c r="E33" s="71"/>
    </x:row>
    <x:row r="34">
      <x:c r="A34" s="112" t="s">
        <x:v>289</x:v>
      </x:c>
      <x:c r="B34" s="112"/>
      <x:c r="C34" s="112"/>
      <x:c r="D34" s="114" t="s">
        <x:v>290</x:v>
      </x:c>
      <x:c r="E34" s="114" t="s">
        <x:v>291</x:v>
      </x:c>
    </x:row>
    <x:row r="35">
      <x:c r="A35" t="s">
        <x:v>301</x:v>
      </x:c>
      <x:c r="D35" s="73">
        <x:v>400</x:v>
      </x:c>
      <x:c r="E35" s="71" t="n">
        <x:f>D35*$B$4</x:f>
        <x:v>1354.4</x:v>
      </x:c>
    </x:row>
    <x:row r="36">
      <x:c r="A36" t="s">
        <x:v>302</x:v>
      </x:c>
      <x:c r="D36" s="73">
        <x:v>350</x:v>
      </x:c>
      <x:c r="E36" s="71" t="n">
        <x:f>D36*$B$4</x:f>
        <x:v>1185.1000000000001</x:v>
      </x:c>
    </x:row>
    <x:row r="37">
      <x:c r="A37" t="s">
        <x:v>303</x:v>
      </x:c>
      <x:c r="D37" s="73">
        <x:v>200</x:v>
      </x:c>
      <x:c r="E37" s="71" t="n">
        <x:f>D37*$B$4</x:f>
        <x:v>677.2</x:v>
      </x:c>
    </x:row>
    <x:row r="38">
      <x:c r="A38" t="s">
        <x:v>304</x:v>
      </x:c>
      <x:c r="D38" s="73">
        <x:v>150</x:v>
      </x:c>
      <x:c r="E38" s="71" t="n">
        <x:f>D38*$B$4</x:f>
        <x:v>507.90000000000003</x:v>
      </x:c>
    </x:row>
    <x:row r="39">
      <x:c r="A39" s="1" t="s">
        <x:v>305</x:v>
      </x:c>
      <x:c r="D39" s="72" t="n">
        <x:f>SUM(D35:D38)</x:f>
        <x:v>1100</x:v>
      </x:c>
      <x:c r="E39" s="72" t="n">
        <x:f>D39*$B$4</x:f>
        <x:v>3724.6</x:v>
      </x:c>
    </x:row>
    <x:row r="40">
      <x:c r="D40" s="71"/>
      <x:c r="E40" s="71"/>
    </x:row>
    <x:row r="41">
      <x:c r="A41" s="22" t="s">
        <x:v>306</x:v>
      </x:c>
      <x:c r="D41" s="71"/>
      <x:c r="E41" s="71"/>
    </x:row>
    <x:row r="42">
      <x:c r="A42" t="s">
        <x:v>307</x:v>
      </x:c>
      <x:c r="D42" s="73">
        <x:v>300</x:v>
      </x:c>
      <x:c r="E42" s="71" t="n">
        <x:f>D42*$B$4</x:f>
        <x:v>1015.8000000000001</x:v>
      </x:c>
    </x:row>
    <x:row r="43">
      <x:c r="D43" s="71"/>
      <x:c r="E43" s="71"/>
    </x:row>
    <x:row r="44">
      <x:c r="A44" s="115" t="s">
        <x:v>308</x:v>
      </x:c>
      <x:c r="B44" s="115"/>
      <x:c r="C44" s="115"/>
      <x:c r="D44" s="116" t="n">
        <x:f>D23+D31+D39+D42</x:f>
        <x:v>9748.733522</x:v>
      </x:c>
      <x:c r="E44" s="116" t="n">
        <x:f>D44*$B$4</x:f>
        <x:v>33009.211705492</x:v>
      </x:c>
    </x:row>
    <x:row r="46">
      <x:c r="A46" s="66" t="s">
        <x:v>309</x:v>
      </x:c>
      <x:c r="B46" s="66"/>
      <x:c r="C46" s="66"/>
      <x:c r="D46" s="68" t="n">
        <x:f>(D44-D48)/D17</x:f>
        <x:v>1.6808040816326533</x:v>
      </x:c>
      <x:c r="E46" s="67"/>
    </x:row>
    <x:row r="47">
      <x:c r="A47" s="66" t="s">
        <x:v>310</x:v>
      </x:c>
      <x:c r="B47" s="66"/>
      <x:c r="C47" s="66"/>
      <x:c r="D47" s="68" t="n">
        <x:f>(D44-D48-D17)/D17</x:f>
        <x:v>0.6808040816326532</x:v>
      </x:c>
      <x:c r="E47" s="67"/>
    </x:row>
    <x:row r="48">
      <x:c r="A48" s="66" t="s">
        <x:v>311</x:v>
      </x:c>
      <x:c r="B48" s="66"/>
      <x:c r="C48" s="66"/>
      <x:c r="D48" s="69" t="n">
        <x:f>D28+D29+D30</x:f>
        <x:v>1512.793522</x:v>
      </x:c>
      <x:c r="E48" s="70" t="n">
        <x:f>D48*$B$4</x:f>
        <x:v>5122.3188654919995</x:v>
      </x:c>
    </x:row>
    <x:row r="50" ht="48.75" customHeight="1">
      <x:c r="A50" s="138" t="s">
        <x:v>312</x:v>
      </x:c>
      <x:c r="B50" s="140"/>
      <x:c r="C50" s="140"/>
      <x:c r="D50" s="140"/>
      <x:c r="E50" s="140"/>
    </x:row>
    <x:row r="52">
      <x:c r="A52" s="182" t="s">
        <x:v>313</x:v>
      </x:c>
      <x:c r="B52" s="179"/>
      <x:c r="C52" s="179"/>
      <x:c r="D52" s="179"/>
      <x:c r="E52" s="179"/>
    </x:row>
    <x:row r="53">
      <x:c r="A53" s="142" t="s">
        <x:v>314</x:v>
      </x:c>
      <x:c r="B53" s="142"/>
      <x:c r="C53" s="142"/>
      <x:c r="D53" s="142" t="s">
        <x:v>315</x:v>
      </x:c>
      <x:c r="E53" s="142" t="s">
        <x:v>316</x:v>
      </x:c>
    </x:row>
    <x:row r="54">
      <x:c r="A54" t="s">
        <x:v>317</x:v>
      </x:c>
      <x:c r="D54" t="s">
        <x:v>318</x:v>
      </x:c>
      <x:c r="E54" t="s">
        <x:v>319</x:v>
      </x:c>
    </x:row>
    <x:row r="55">
      <x:c r="A55" t="s">
        <x:v>320</x:v>
      </x:c>
      <x:c r="D55" t="s">
        <x:v>321</x:v>
      </x:c>
      <x:c r="E55" t="s">
        <x:v>322</x:v>
      </x:c>
    </x:row>
    <x:row r="56">
      <x:c r="A56" t="s">
        <x:v>323</x:v>
      </x:c>
      <x:c r="D56" t="s">
        <x:v>324</x:v>
      </x:c>
      <x:c r="E56" t="s">
        <x:v>325</x:v>
      </x:c>
    </x:row>
    <x:row r="57">
      <x:c r="A57" t="s">
        <x:v>326</x:v>
      </x:c>
      <x:c r="D57" t="s">
        <x:v>327</x:v>
      </x:c>
      <x:c r="E57" t="s">
        <x:v>328</x:v>
      </x:c>
    </x:row>
    <x:row r="58">
      <x:c r="A58" t="s">
        <x:v>329</x:v>
      </x:c>
      <x:c r="D58" t="s">
        <x:v>330</x:v>
      </x:c>
      <x:c r="E58" t="s">
        <x:v>331</x:v>
      </x:c>
    </x:row>
    <x:row r="59">
      <x:c r="A59" s="40" t="s">
        <x:v>332</x:v>
      </x:c>
      <x:c r="B59" s="40"/>
      <x:c r="C59" s="40"/>
      <x:c r="D59" s="40"/>
      <x:c r="E59" s="40" t="s">
        <x:v>331</x:v>
      </x:c>
    </x:row>
    <x:row r="60">
      <x:c r="A60" t="s">
        <x:v>333</x:v>
      </x:c>
    </x:row>
  </x:sheetData>
  <x:mergeCells>
    <x:mergeCell ref="A52:E52"/>
    <x:mergeCell ref="A1:E1"/>
  </x:mergeCells>
  <x:hyperlinks>
    <x:hyperlink xmlns:r="http://schemas.openxmlformats.org/officeDocument/2006/relationships" ref="D4" r:id="R85cfc261925f4485"/>
  </x:hyperlink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10" defaultColWidth="11.42578125" defaultRowHeight="15"/>
  <x:cols>
    <x:col min="1" max="1" width="58.7109375" customWidth="1"/>
    <x:col min="2" max="3" width="16" customWidth="1"/>
    <x:col min="4" max="4" width="62" customWidth="1"/>
    <x:col min="5" max="6" width="16.7109375" customWidth="1"/>
  </x:cols>
  <x:sheetData>
    <x:row r="1" ht="26.100000381469727" customHeight="1">
      <x:c r="A1" s="184" t="s">
        <x:v>334</x:v>
      </x:c>
      <x:c r="B1" s="179"/>
      <x:c r="C1" s="179"/>
      <x:c r="D1" s="179"/>
    </x:row>
    <x:row r="2">
      <x:c r="A2" s="22" t="s">
        <x:v>335</x:v>
      </x:c>
    </x:row>
    <x:row r="3" ht="16.5" customHeight="1">
      <x:c r="A3" s="117" t="s">
        <x:v>289</x:v>
      </x:c>
      <x:c r="B3" s="117" t="s">
        <x:v>336</x:v>
      </x:c>
      <x:c r="C3" s="117" t="s">
        <x:v>337</x:v>
      </x:c>
      <x:c r="D3" s="117" t="s">
        <x:v>338</x:v>
      </x:c>
    </x:row>
    <x:row r="4">
      <x:c r="A4" s="118" t="s">
        <x:v>339</x:v>
      </x:c>
      <x:c r="B4" s="119" t="n">
        <x:f>'GASTOS ADMINISTRATIVOS'!$B$8+'G. VENTAS'!$B$8</x:f>
        <x:v>8683.45</x:v>
      </x:c>
      <x:c r="C4" s="120" t="s">
        <x:v>340</x:v>
      </x:c>
      <x:c r="D4" s="118" t="s">
        <x:v>341</x:v>
      </x:c>
    </x:row>
    <x:row r="5">
      <x:c r="A5" s="28" t="s">
        <x:v>342</x:v>
      </x:c>
      <x:c r="B5" s="77">
        <x:v>3</x:v>
      </x:c>
      <x:c r="C5" s="29" t="s">
        <x:v>343</x:v>
      </x:c>
      <x:c r="D5" s="28" t="s">
        <x:v>344</x:v>
      </x:c>
    </x:row>
    <x:row r="6">
      <x:c r="A6" s="118" t="s">
        <x:v>345</x:v>
      </x:c>
      <x:c r="B6" s="119" t="n">
        <x:f>MAX(B4*B5,-MIN('FLUJO DE CAJA'!B18:M18))</x:f>
        <x:v>26050.350000000002</x:v>
      </x:c>
      <x:c r="C6" s="120" t="s">
        <x:v>340</x:v>
      </x:c>
      <x:c r="D6" s="118" t="s">
        <x:v>346</x:v>
      </x:c>
    </x:row>
    <x:row r="7">
      <x:c r="A7" s="28" t="s">
        <x:v>347</x:v>
      </x:c>
      <x:c r="B7" s="121" t="n">
        <x:f>('GASTOS ADMINISTRATIVOS'!B5+'GASTOS ADMINISTRATIVOS'!B6+'G. VENTAS'!B8)*4</x:f>
        <x:v>4800</x:v>
      </x:c>
      <x:c r="C7" s="29" t="s">
        <x:v>340</x:v>
      </x:c>
      <x:c r="D7" s="28" t="s">
        <x:v>348</x:v>
      </x:c>
    </x:row>
    <x:row r="8">
      <x:c r="A8" s="118" t="s">
        <x:v>349</x:v>
      </x:c>
      <x:c r="B8" s="77">
        <x:v>41400</x:v>
      </x:c>
      <x:c r="C8" s="120" t="s">
        <x:v>343</x:v>
      </x:c>
      <x:c r="D8" s="118" t="s">
        <x:v>350</x:v>
      </x:c>
    </x:row>
    <x:row r="9">
      <x:c r="A9" s="28" t="s">
        <x:v>351</x:v>
      </x:c>
      <x:c r="B9" s="77">
        <x:v>800</x:v>
      </x:c>
      <x:c r="C9" s="29" t="s">
        <x:v>343</x:v>
      </x:c>
      <x:c r="D9" s="28" t="s">
        <x:v>352</x:v>
      </x:c>
    </x:row>
    <x:row r="10" ht="28.5">
      <x:c r="A10" s="75" t="s">
        <x:v>353</x:v>
      </x:c>
      <x:c r="B10" s="78" t="n">
        <x:f>'G. EXPORT'!E48</x:f>
        <x:v>5122.3188654919995</x:v>
      </x:c>
      <x:c r="C10" s="76" t="s">
        <x:v>340</x:v>
      </x:c>
      <x:c r="D10" s="83" t="s">
        <x:v>354</x:v>
      </x:c>
    </x:row>
    <x:row r="11" ht="30" customHeight="1">
      <x:c r="A11" s="139" t="s">
        <x:v>355</x:v>
      </x:c>
      <x:c r="B11" s="79" t="n">
        <x:f>SUM(B6:B10)</x:f>
        <x:v>78172.668865492</x:v>
      </x:c>
      <x:c r="C11" s="139" t="s">
        <x:v>340</x:v>
      </x:c>
      <x:c r="D11" s="84" t="s">
        <x:v>356</x:v>
      </x:c>
    </x:row>
    <x:row r="12">
      <x:c r="B12" s="71"/>
    </x:row>
    <x:row r="13">
      <x:c r="A13" s="22" t="s">
        <x:v>357</x:v>
      </x:c>
      <x:c r="B13" s="71"/>
    </x:row>
    <x:row r="14">
      <x:c r="A14" t="s">
        <x:v>358</x:v>
      </x:c>
      <x:c r="B14" s="71" t="n">
        <x:f>INVERSION!D18+INVERSION!D36</x:f>
        <x:v>63832.89284</x:v>
      </x:c>
    </x:row>
    <x:row r="15">
      <x:c r="A15" t="s">
        <x:v>359</x:v>
      </x:c>
      <x:c r="B15" s="71" t="n">
        <x:f>B11</x:f>
        <x:v>78172.668865492</x:v>
      </x:c>
    </x:row>
    <x:row r="16">
      <x:c r="A16" s="115" t="s">
        <x:v>360</x:v>
      </x:c>
      <x:c r="B16" s="116" t="n">
        <x:f>B14+B15</x:f>
        <x:v>142005.561705492</x:v>
      </x:c>
    </x:row>
    <x:row r="17">
      <x:c r="B17" s="71"/>
    </x:row>
    <x:row r="18">
      <x:c r="A18" s="22" t="s">
        <x:v>361</x:v>
      </x:c>
      <x:c r="B18" s="71"/>
    </x:row>
    <x:row r="19">
      <x:c r="A19" s="122" t="s">
        <x:v>105</x:v>
      </x:c>
      <x:c r="B19" s="123" t="s">
        <x:v>336</x:v>
      </x:c>
      <x:c r="C19" s="122" t="s">
        <x:v>362</x:v>
      </x:c>
    </x:row>
    <x:row r="20">
      <x:c r="A20" s="30" t="s">
        <x:v>363</x:v>
      </x:c>
      <x:c r="B20" s="80" t="n">
        <x:f>B16-B21</x:f>
        <x:v>102005.561705492</x:v>
      </x:c>
      <x:c r="C20" s="32" t="n">
        <x:f>B20/$B$16</x:f>
        <x:v>0.7183208916636888</x:v>
      </x:c>
    </x:row>
    <x:row r="21">
      <x:c r="A21" s="30" t="s">
        <x:v>364</x:v>
      </x:c>
      <x:c r="B21" s="81">
        <x:v>40000</x:v>
      </x:c>
      <x:c r="C21" s="32" t="n">
        <x:f>B21/$B$16</x:f>
        <x:v>0.28167910833631116</x:v>
      </x:c>
    </x:row>
    <x:row r="22">
      <x:c r="A22" s="33" t="s">
        <x:v>365</x:v>
      </x:c>
      <x:c r="B22" s="82" t="n">
        <x:f>B20+B21</x:f>
        <x:v>142005.561705492</x:v>
      </x:c>
      <x:c r="C22" s="35" t="n">
        <x:f>B22/$B$16</x:f>
        <x:v>1</x:v>
      </x:c>
    </x:row>
    <x:row r="23">
      <x:c r="A23" t="s">
        <x:v>366</x:v>
      </x:c>
      <x:c r="B23" s="71" t="n">
        <x:f>B20/6</x:f>
        <x:v>17000.926950915335</x:v>
      </x:c>
    </x:row>
    <x:row r="25">
      <x:c r="A25" s="22" t="s">
        <x:v>367</x:v>
      </x:c>
    </x:row>
    <x:row r="26">
      <x:c r="A26" t="s">
        <x:v>368</x:v>
      </x:c>
      <x:c r="B26" s="65">
        <x:v>0.28000000000000003</x:v>
      </x:c>
    </x:row>
    <x:row r="27">
      <x:c r="A27" t="s">
        <x:v>369</x:v>
      </x:c>
      <x:c r="B27" s="74">
        <x:v>3</x:v>
      </x:c>
    </x:row>
    <x:row r="28">
      <x:c r="A28" s="122" t="s">
        <x:v>370</x:v>
      </x:c>
      <x:c r="B28" s="122" t="s">
        <x:v>371</x:v>
      </x:c>
      <x:c r="C28" s="122" t="s">
        <x:v>372</x:v>
      </x:c>
      <x:c r="D28" s="122" t="s">
        <x:v>373</x:v>
      </x:c>
      <x:c r="E28" s="122" t="s">
        <x:v>374</x:v>
      </x:c>
      <x:c r="F28" s="122" t="s">
        <x:v>375</x:v>
      </x:c>
    </x:row>
    <x:row r="29">
      <x:c r="A29" s="30">
        <x:v>1</x:v>
      </x:c>
      <x:c r="B29" s="31" t="n">
        <x:f>B21</x:f>
        <x:v>40000</x:v>
      </x:c>
      <x:c r="C29" s="31" t="n">
        <x:f>B29*$B$26</x:f>
        <x:v>11200.000000000002</x:v>
      </x:c>
      <x:c r="D29" s="31" t="n">
        <x:f>E29-C29</x:f>
        <x:v>10208.248264597793</x:v>
      </x:c>
      <x:c r="E29" s="31" t="n">
        <x:f>PMT($B$26,$B$27,-$B$21)</x:f>
        <x:v>21408.248264597794</x:v>
      </x:c>
      <x:c r="F29" s="31" t="n">
        <x:f>B29-D29</x:f>
        <x:v>29791.751735402206</x:v>
      </x:c>
    </x:row>
    <x:row r="30">
      <x:c r="A30" s="30">
        <x:v>2</x:v>
      </x:c>
      <x:c r="B30" s="31" t="n">
        <x:f>F29</x:f>
        <x:v>29791.751735402206</x:v>
      </x:c>
      <x:c r="C30" s="31" t="n">
        <x:f>B30*$B$26</x:f>
        <x:v>8341.690485912619</x:v>
      </x:c>
      <x:c r="D30" s="31" t="n">
        <x:f>E30-C30</x:f>
        <x:v>13066.557778685175</x:v>
      </x:c>
      <x:c r="E30" s="31" t="n">
        <x:f>$E$29</x:f>
        <x:v>21408.248264597794</x:v>
      </x:c>
      <x:c r="F30" s="31" t="n">
        <x:f>B30-D30</x:f>
        <x:v>16725.19395671703</x:v>
      </x:c>
    </x:row>
    <x:row r="31">
      <x:c r="A31" s="30">
        <x:v>3</x:v>
      </x:c>
      <x:c r="B31" s="31" t="n">
        <x:f>F30</x:f>
        <x:v>16725.19395671703</x:v>
      </x:c>
      <x:c r="C31" s="31" t="n">
        <x:f>B31*$B$26</x:f>
        <x:v>4683.054307880769</x:v>
      </x:c>
      <x:c r="D31" s="31" t="n">
        <x:f>E31-C31</x:f>
        <x:v>16725.193956717027</x:v>
      </x:c>
      <x:c r="E31" s="31" t="n">
        <x:f>$E$29</x:f>
        <x:v>21408.248264597794</x:v>
      </x:c>
      <x:c r="F31" s="31" t="n">
        <x:f>B31-D31</x:f>
        <x:v>3.637978807091713e-12</x:v>
      </x:c>
    </x:row>
    <x:row r="32">
      <x:c r="A32" s="33" t="s">
        <x:v>376</x:v>
      </x:c>
      <x:c r="B32" s="31"/>
      <x:c r="C32" s="34" t="n">
        <x:f>SUM(C29:C31)</x:f>
        <x:v>24224.74479379339</x:v>
      </x:c>
      <x:c r="D32" s="34" t="n">
        <x:f>SUM(D29:D31)</x:f>
        <x:v>39999.99999999999</x:v>
      </x:c>
      <x:c r="E32" s="34" t="n">
        <x:f>SUM(E29:E31)</x:f>
        <x:v>64224.74479379338</x:v>
      </x:c>
      <x:c r="F32" s="31"/>
    </x:row>
    <x:row r="34">
      <x:c r="A34" s="24" t="s">
        <x:v>377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10" defaultColWidth="11.42578125" defaultRowHeight="15"/>
  <x:cols>
    <x:col min="1" max="1" width="44" customWidth="1"/>
    <x:col min="2" max="2" width="48" customWidth="1"/>
    <x:col min="3" max="3" width="15.7109375" customWidth="1"/>
    <x:col min="4" max="4" width="18" customWidth="1"/>
    <x:col min="5" max="5" width="30" customWidth="1"/>
    <x:col min="6" max="6" width="14.7109375" customWidth="1"/>
  </x:cols>
  <x:sheetData>
    <x:row r="1" ht="26.100000381469727" customHeight="1">
      <x:c r="A1" s="183" t="s">
        <x:v>378</x:v>
      </x:c>
      <x:c r="B1" s="179"/>
      <x:c r="C1" s="179"/>
      <x:c r="D1" s="179"/>
      <x:c r="E1" s="179"/>
      <x:c r="F1" s="179"/>
    </x:row>
    <x:row r="3">
      <x:c r="A3" s="22" t="s">
        <x:v>379</x:v>
      </x:c>
    </x:row>
    <x:row r="4">
      <x:c r="A4" s="122" t="s">
        <x:v>380</x:v>
      </x:c>
      <x:c r="B4" s="122" t="s">
        <x:v>381</x:v>
      </x:c>
      <x:c r="C4" s="122" t="s">
        <x:v>382</x:v>
      </x:c>
      <x:c r="D4" s="122" t="s">
        <x:v>383</x:v>
      </x:c>
      <x:c r="E4" s="122" t="s">
        <x:v>384</x:v>
      </x:c>
      <x:c r="F4" s="122" t="s">
        <x:v>385</x:v>
      </x:c>
    </x:row>
    <x:row r="5">
      <x:c r="A5" s="30" t="s">
        <x:v>386</x:v>
      </x:c>
      <x:c r="B5" s="85">
        <x:v>1</x:v>
      </x:c>
      <x:c r="C5" s="80" t="n">
        <x:f>'G. EXPORT'!C13*'G. EXPORT'!$D$46*'G. EXPORT'!$B$4</x:f>
        <x:v>6829.443144489796</x:v>
      </x:c>
      <x:c r="D5" s="80" t="n">
        <x:f t="shared" ref="D5:D17" si="0">B5*C5</x:f>
        <x:v>6829.443144489796</x:v>
      </x:c>
      <x:c r="E5" s="85">
        <x:v>5</x:v>
      </x:c>
      <x:c r="F5" s="31" t="n">
        <x:f t="shared" ref="F5:F17" si="1">D5/E5</x:f>
        <x:v>1365.8886288979593</x:v>
      </x:c>
    </x:row>
    <x:row r="6">
      <x:c r="A6" s="30" t="s">
        <x:v>387</x:v>
      </x:c>
      <x:c r="B6" s="85">
        <x:v>1</x:v>
      </x:c>
      <x:c r="C6" s="80" t="n">
        <x:f>'G. EXPORT'!C14*'G. EXPORT'!$D$46*'G. EXPORT'!$B$4</x:f>
        <x:v>8536.803930612246</x:v>
      </x:c>
      <x:c r="D6" s="80">
        <x:f t="shared" si="0"/>
        <x:v>8536.8039306122464</x:v>
      </x:c>
      <x:c r="E6" s="85">
        <x:v>4</x:v>
      </x:c>
      <x:c r="F6" s="31">
        <x:f t="shared" si="1"/>
        <x:v>2134.2009826530616</x:v>
      </x:c>
    </x:row>
    <x:row r="7">
      <x:c r="A7" s="30" t="s">
        <x:v>285</x:v>
      </x:c>
      <x:c r="B7" s="85">
        <x:v>1</x:v>
      </x:c>
      <x:c r="C7" s="80" t="n">
        <x:f>'G. EXPORT'!C15*'G. EXPORT'!$D$46*'G. EXPORT'!$B$4</x:f>
        <x:v>10244.164716734695</x:v>
      </x:c>
      <x:c r="D7" s="80">
        <x:f t="shared" si="0"/>
        <x:v>10244.164716734695</x:v>
      </x:c>
      <x:c r="E7" s="85">
        <x:v>3</x:v>
      </x:c>
      <x:c r="F7" s="31">
        <x:f t="shared" si="1"/>
        <x:v>3414.7215722448982</x:v>
      </x:c>
    </x:row>
    <x:row r="8">
      <x:c r="A8" s="30" t="s">
        <x:v>286</x:v>
      </x:c>
      <x:c r="B8" s="85">
        <x:v>1</x:v>
      </x:c>
      <x:c r="C8" s="80" t="n">
        <x:f>'G. EXPORT'!C16*'G. EXPORT'!$D$46*'G. EXPORT'!$B$4</x:f>
        <x:v>2276.4810481632658</x:v>
      </x:c>
      <x:c r="D8" s="80">
        <x:f t="shared" si="0"/>
        <x:v>2276.4810481632658</x:v>
      </x:c>
      <x:c r="E8" s="85">
        <x:v>5</x:v>
      </x:c>
      <x:c r="F8" s="31">
        <x:f t="shared" si="1"/>
        <x:v>455.29620963265313</x:v>
      </x:c>
    </x:row>
    <x:row r="9">
      <x:c r="A9" s="30" t="s">
        <x:v>388</x:v>
      </x:c>
      <x:c r="B9" s="85">
        <x:v>1</x:v>
      </x:c>
      <x:c r="C9" s="81">
        <x:v>2500</x:v>
      </x:c>
      <x:c r="D9" s="80">
        <x:f t="shared" si="0"/>
        <x:v>2500</x:v>
      </x:c>
      <x:c r="E9" s="85">
        <x:v>5</x:v>
      </x:c>
      <x:c r="F9" s="31">
        <x:f t="shared" si="1"/>
        <x:v>500</x:v>
      </x:c>
    </x:row>
    <x:row r="10">
      <x:c r="A10" s="30" t="s">
        <x:v>389</x:v>
      </x:c>
      <x:c r="B10" s="85">
        <x:v>3</x:v>
      </x:c>
      <x:c r="C10" s="81">
        <x:v>500</x:v>
      </x:c>
      <x:c r="D10" s="80">
        <x:f t="shared" si="0"/>
        <x:v>1500</x:v>
      </x:c>
      <x:c r="E10" s="85">
        <x:v>10</x:v>
      </x:c>
      <x:c r="F10" s="31">
        <x:f t="shared" si="1"/>
        <x:v>150</x:v>
      </x:c>
    </x:row>
    <x:row r="11">
      <x:c r="A11" s="30" t="s">
        <x:v>390</x:v>
      </x:c>
      <x:c r="B11" s="85">
        <x:v>5</x:v>
      </x:c>
      <x:c r="C11" s="81">
        <x:v>150</x:v>
      </x:c>
      <x:c r="D11" s="80">
        <x:f t="shared" si="0"/>
        <x:v>750</x:v>
      </x:c>
      <x:c r="E11" s="85">
        <x:v>10</x:v>
      </x:c>
      <x:c r="F11" s="31">
        <x:f t="shared" si="1"/>
        <x:v>75</x:v>
      </x:c>
    </x:row>
    <x:row r="12">
      <x:c r="A12" s="30" t="s">
        <x:v>391</x:v>
      </x:c>
      <x:c r="B12" s="85">
        <x:v>2</x:v>
      </x:c>
      <x:c r="C12" s="81">
        <x:v>2000</x:v>
      </x:c>
      <x:c r="D12" s="80">
        <x:f t="shared" si="0"/>
        <x:v>4000</x:v>
      </x:c>
      <x:c r="E12" s="85">
        <x:v>4</x:v>
      </x:c>
      <x:c r="F12" s="31">
        <x:f t="shared" si="1"/>
        <x:v>1000</x:v>
      </x:c>
    </x:row>
    <x:row r="13">
      <x:c r="A13" s="30" t="s">
        <x:v>392</x:v>
      </x:c>
      <x:c r="B13" s="85">
        <x:v>1</x:v>
      </x:c>
      <x:c r="C13" s="81">
        <x:v>3500</x:v>
      </x:c>
      <x:c r="D13" s="80">
        <x:f t="shared" si="0"/>
        <x:v>3500</x:v>
      </x:c>
      <x:c r="E13" s="85">
        <x:v>4</x:v>
      </x:c>
      <x:c r="F13" s="31">
        <x:f t="shared" si="1"/>
        <x:v>875</x:v>
      </x:c>
    </x:row>
    <x:row r="14">
      <x:c r="A14" s="30" t="s">
        <x:v>393</x:v>
      </x:c>
      <x:c r="B14" s="85">
        <x:v>1</x:v>
      </x:c>
      <x:c r="C14" s="81">
        <x:v>1200</x:v>
      </x:c>
      <x:c r="D14" s="80">
        <x:f t="shared" si="0"/>
        <x:v>1200</x:v>
      </x:c>
      <x:c r="E14" s="85">
        <x:v>4</x:v>
      </x:c>
      <x:c r="F14" s="31">
        <x:f t="shared" si="1"/>
        <x:v>300</x:v>
      </x:c>
    </x:row>
    <x:row r="15">
      <x:c r="A15" s="30" t="s">
        <x:v>394</x:v>
      </x:c>
      <x:c r="B15" s="85">
        <x:v>3</x:v>
      </x:c>
      <x:c r="C15" s="81">
        <x:v>900</x:v>
      </x:c>
      <x:c r="D15" s="80">
        <x:f t="shared" si="0"/>
        <x:v>2700</x:v>
      </x:c>
      <x:c r="E15" s="85">
        <x:v>10</x:v>
      </x:c>
      <x:c r="F15" s="31">
        <x:f t="shared" si="1"/>
        <x:v>270</x:v>
      </x:c>
    </x:row>
    <x:row r="16">
      <x:c r="A16" s="30" t="s">
        <x:v>395</x:v>
      </x:c>
      <x:c r="B16" s="85">
        <x:v>1</x:v>
      </x:c>
      <x:c r="C16" s="81">
        <x:v>2800</x:v>
      </x:c>
      <x:c r="D16" s="80">
        <x:f t="shared" si="0"/>
        <x:v>2800</x:v>
      </x:c>
      <x:c r="E16" s="85">
        <x:v>5</x:v>
      </x:c>
      <x:c r="F16" s="31">
        <x:f t="shared" si="1"/>
        <x:v>560</x:v>
      </x:c>
    </x:row>
    <x:row r="17">
      <x:c r="A17" s="30" t="s">
        <x:v>396</x:v>
      </x:c>
      <x:c r="B17" s="85">
        <x:v>1</x:v>
      </x:c>
      <x:c r="C17" s="81">
        <x:v>2000</x:v>
      </x:c>
      <x:c r="D17" s="80">
        <x:f t="shared" si="0"/>
        <x:v>2000</x:v>
      </x:c>
      <x:c r="E17" s="85">
        <x:v>3</x:v>
      </x:c>
      <x:c r="F17" s="31">
        <x:f t="shared" si="1"/>
        <x:v>666.66666666666663</x:v>
      </x:c>
    </x:row>
    <x:row r="18">
      <x:c r="A18" s="33" t="s">
        <x:v>397</x:v>
      </x:c>
      <x:c r="B18" s="30"/>
      <x:c r="C18" s="80"/>
      <x:c r="D18" s="82" t="n">
        <x:f>SUM(D5:D17)</x:f>
        <x:v>48836.89284</x:v>
      </x:c>
      <x:c r="E18" s="30"/>
      <x:c r="F18" s="34" t="n">
        <x:f>SUM(F5:F17)</x:f>
        <x:v>11766.774060095237</x:v>
      </x:c>
    </x:row>
    <x:row r="19">
      <x:c r="C19" s="71"/>
      <x:c r="D19" s="71"/>
    </x:row>
    <x:row r="20">
      <x:c r="A20" s="22" t="s">
        <x:v>398</x:v>
      </x:c>
      <x:c r="C20" s="71"/>
      <x:c r="D20" s="71"/>
    </x:row>
    <x:row r="21">
      <x:c r="A21" s="122" t="s">
        <x:v>289</x:v>
      </x:c>
      <x:c r="B21" s="122" t="s">
        <x:v>314</x:v>
      </x:c>
      <x:c r="C21" s="123"/>
      <x:c r="D21" s="123" t="s">
        <x:v>399</x:v>
      </x:c>
      <x:c r="E21" s="122" t="s">
        <x:v>400</x:v>
      </x:c>
      <x:c r="F21" s="122" t="s">
        <x:v>401</x:v>
      </x:c>
    </x:row>
    <x:row r="22">
      <x:c r="A22" s="30" t="s">
        <x:v>402</x:v>
      </x:c>
      <x:c r="B22" s="30" t="s">
        <x:v>403</x:v>
      </x:c>
      <x:c r="C22" s="80"/>
      <x:c r="D22" s="81">
        <x:v>25</x:v>
      </x:c>
      <x:c r="E22" s="85">
        <x:v>1</x:v>
      </x:c>
      <x:c r="F22" s="31" t="n">
        <x:f t="shared" ref="F22:F35" si="2">D22/E22</x:f>
        <x:v>25</x:v>
      </x:c>
    </x:row>
    <x:row r="23">
      <x:c r="A23" s="30" t="s">
        <x:v>404</x:v>
      </x:c>
      <x:c r="B23" s="30" t="s">
        <x:v>403</x:v>
      </x:c>
      <x:c r="C23" s="80"/>
      <x:c r="D23" s="81">
        <x:v>350</x:v>
      </x:c>
      <x:c r="E23" s="85">
        <x:v>1</x:v>
      </x:c>
      <x:c r="F23" s="31">
        <x:f t="shared" si="2"/>
        <x:v>350</x:v>
      </x:c>
    </x:row>
    <x:row r="24">
      <x:c r="A24" s="30" t="s">
        <x:v>405</x:v>
      </x:c>
      <x:c r="B24" s="30" t="s">
        <x:v>403</x:v>
      </x:c>
      <x:c r="C24" s="80"/>
      <x:c r="D24" s="81">
        <x:v>450</x:v>
      </x:c>
      <x:c r="E24" s="85">
        <x:v>1</x:v>
      </x:c>
      <x:c r="F24" s="31">
        <x:f t="shared" si="2"/>
        <x:v>450</x:v>
      </x:c>
    </x:row>
    <x:row r="25">
      <x:c r="A25" s="30" t="s">
        <x:v>406</x:v>
      </x:c>
      <x:c r="B25" s="30" t="s">
        <x:v>403</x:v>
      </x:c>
      <x:c r="C25" s="80"/>
      <x:c r="D25" s="81">
        <x:v>90</x:v>
      </x:c>
      <x:c r="E25" s="85">
        <x:v>1</x:v>
      </x:c>
      <x:c r="F25" s="31">
        <x:f t="shared" si="2"/>
        <x:v>90</x:v>
      </x:c>
    </x:row>
    <x:row r="26">
      <x:c r="A26" s="30" t="s">
        <x:v>407</x:v>
      </x:c>
      <x:c r="B26" s="30" t="s">
        <x:v>403</x:v>
      </x:c>
      <x:c r="C26" s="80"/>
      <x:c r="D26" s="81">
        <x:v>150</x:v>
      </x:c>
      <x:c r="E26" s="85">
        <x:v>1</x:v>
      </x:c>
      <x:c r="F26" s="31">
        <x:f t="shared" si="2"/>
        <x:v>150</x:v>
      </x:c>
    </x:row>
    <x:row r="27">
      <x:c r="A27" s="30" t="s">
        <x:v>408</x:v>
      </x:c>
      <x:c r="B27" s="30" t="s">
        <x:v>403</x:v>
      </x:c>
      <x:c r="C27" s="80"/>
      <x:c r="D27" s="81">
        <x:v>535</x:v>
      </x:c>
      <x:c r="E27" s="85">
        <x:v>5</x:v>
      </x:c>
      <x:c r="F27" s="31">
        <x:f t="shared" si="2"/>
        <x:v>107</x:v>
      </x:c>
    </x:row>
    <x:row r="28">
      <x:c r="A28" s="30" t="s">
        <x:v>409</x:v>
      </x:c>
      <x:c r="B28" s="30" t="s">
        <x:v>410</x:v>
      </x:c>
      <x:c r="C28" s="80"/>
      <x:c r="D28" s="81">
        <x:v>500</x:v>
      </x:c>
      <x:c r="E28" s="85">
        <x:v>1</x:v>
      </x:c>
      <x:c r="F28" s="31">
        <x:f t="shared" si="2"/>
        <x:v>500</x:v>
      </x:c>
    </x:row>
    <x:row r="29">
      <x:c r="A29" s="30" t="s">
        <x:v>411</x:v>
      </x:c>
      <x:c r="B29" s="30" t="s">
        <x:v>410</x:v>
      </x:c>
      <x:c r="C29" s="80"/>
      <x:c r="D29" s="81">
        <x:v>350</x:v>
      </x:c>
      <x:c r="E29" s="85">
        <x:v>1</x:v>
      </x:c>
      <x:c r="F29" s="31">
        <x:f t="shared" si="2"/>
        <x:v>350</x:v>
      </x:c>
    </x:row>
    <x:row r="30">
      <x:c r="A30" s="30" t="s">
        <x:v>412</x:v>
      </x:c>
      <x:c r="B30" s="30" t="s">
        <x:v>410</x:v>
      </x:c>
      <x:c r="C30" s="80"/>
      <x:c r="D30" s="81">
        <x:v>200</x:v>
      </x:c>
      <x:c r="E30" s="85">
        <x:v>1</x:v>
      </x:c>
      <x:c r="F30" s="31">
        <x:f t="shared" si="2"/>
        <x:v>200</x:v>
      </x:c>
    </x:row>
    <x:row r="31">
      <x:c r="A31" s="30" t="s">
        <x:v>413</x:v>
      </x:c>
      <x:c r="B31" s="30" t="s">
        <x:v>410</x:v>
      </x:c>
      <x:c r="C31" s="80"/>
      <x:c r="D31" s="81">
        <x:v>346</x:v>
      </x:c>
      <x:c r="E31" s="85">
        <x:v>5</x:v>
      </x:c>
      <x:c r="F31" s="31">
        <x:f t="shared" si="2"/>
        <x:v>69.2</x:v>
      </x:c>
    </x:row>
    <x:row r="32">
      <x:c r="A32" s="30" t="s">
        <x:v>414</x:v>
      </x:c>
      <x:c r="B32" s="30" t="s">
        <x:v>410</x:v>
      </x:c>
      <x:c r="C32" s="80"/>
      <x:c r="D32" s="81">
        <x:v>3500</x:v>
      </x:c>
      <x:c r="E32" s="85">
        <x:v>5</x:v>
      </x:c>
      <x:c r="F32" s="31">
        <x:f t="shared" si="2"/>
        <x:v>700</x:v>
      </x:c>
    </x:row>
    <x:row r="33">
      <x:c r="A33" s="30" t="s">
        <x:v>415</x:v>
      </x:c>
      <x:c r="B33" s="30" t="s">
        <x:v>410</x:v>
      </x:c>
      <x:c r="C33" s="80"/>
      <x:c r="D33" s="81">
        <x:v>4000</x:v>
      </x:c>
      <x:c r="E33" s="85">
        <x:v>3</x:v>
      </x:c>
      <x:c r="F33" s="31">
        <x:f t="shared" si="2"/>
        <x:v>1333.3333333333333</x:v>
      </x:c>
    </x:row>
    <x:row r="34">
      <x:c r="A34" s="30" t="s">
        <x:v>416</x:v>
      </x:c>
      <x:c r="B34" s="30" t="s">
        <x:v>410</x:v>
      </x:c>
      <x:c r="C34" s="80"/>
      <x:c r="D34" s="81">
        <x:v>2000</x:v>
      </x:c>
      <x:c r="E34" s="85">
        <x:v>1</x:v>
      </x:c>
      <x:c r="F34" s="31">
        <x:f t="shared" si="2"/>
        <x:v>2000</x:v>
      </x:c>
    </x:row>
    <x:row r="35">
      <x:c r="A35" s="30" t="s">
        <x:v>417</x:v>
      </x:c>
      <x:c r="B35" s="30" t="s">
        <x:v>410</x:v>
      </x:c>
      <x:c r="C35" s="80"/>
      <x:c r="D35" s="81">
        <x:v>2500</x:v>
      </x:c>
      <x:c r="E35" s="85">
        <x:v>1</x:v>
      </x:c>
      <x:c r="F35" s="31">
        <x:f t="shared" si="2"/>
        <x:v>2500</x:v>
      </x:c>
    </x:row>
    <x:row r="36">
      <x:c r="A36" s="33" t="s">
        <x:v>418</x:v>
      </x:c>
      <x:c r="B36" s="30"/>
      <x:c r="C36" s="80"/>
      <x:c r="D36" s="82" t="n">
        <x:f>SUM(D22:D35)</x:f>
        <x:v>14996</x:v>
      </x:c>
      <x:c r="E36" s="30"/>
      <x:c r="F36" s="34" t="n">
        <x:f>SUM(F22:F35)</x:f>
        <x:v>8824.533333333333</x:v>
      </x:c>
    </x:row>
    <x:row r="37">
      <x:c r="C37" s="71"/>
      <x:c r="D37" s="71"/>
    </x:row>
    <x:row r="38">
      <x:c r="A38" s="22" t="s">
        <x:v>419</x:v>
      </x:c>
      <x:c r="C38" s="71"/>
      <x:c r="D38" s="71"/>
    </x:row>
    <x:row r="39">
      <x:c r="A39" t="s">
        <x:v>420</x:v>
      </x:c>
      <x:c r="C39" s="71"/>
      <x:c r="D39" s="71" t="n">
        <x:f>'CAPITAL DE TRABAJO'!B11</x:f>
        <x:v>78172.668865492</x:v>
      </x:c>
    </x:row>
    <x:row r="40">
      <x:c r="C40" s="71"/>
      <x:c r="D40" s="71"/>
    </x:row>
    <x:row r="41">
      <x:c r="A41" s="22" t="s">
        <x:v>421</x:v>
      </x:c>
      <x:c r="C41" s="71"/>
      <x:c r="D41" s="71"/>
    </x:row>
    <x:row r="42">
      <x:c r="A42" s="122" t="s">
        <x:v>422</x:v>
      </x:c>
      <x:c r="B42" s="122"/>
      <x:c r="C42" s="123"/>
      <x:c r="D42" s="123" t="s">
        <x:v>291</x:v>
      </x:c>
      <x:c r="E42" s="122" t="s">
        <x:v>362</x:v>
      </x:c>
    </x:row>
    <x:row r="43">
      <x:c r="A43" s="30" t="s">
        <x:v>423</x:v>
      </x:c>
      <x:c r="B43" s="30"/>
      <x:c r="C43" s="80"/>
      <x:c r="D43" s="80" t="n">
        <x:f>D18</x:f>
        <x:v>48836.89284</x:v>
      </x:c>
      <x:c r="E43" s="32" t="n">
        <x:f>D43/$D$46</x:f>
        <x:v>0.3439083107271795</x:v>
      </x:c>
    </x:row>
    <x:row r="44">
      <x:c r="A44" s="30" t="s">
        <x:v>424</x:v>
      </x:c>
      <x:c r="B44" s="30"/>
      <x:c r="C44" s="80"/>
      <x:c r="D44" s="80" t="n">
        <x:f>D36</x:f>
        <x:v>14996</x:v>
      </x:c>
      <x:c r="E44" s="32" t="n">
        <x:f>D44/$D$46</x:f>
        <x:v>0.10560149771528306</x:v>
      </x:c>
    </x:row>
    <x:row r="45">
      <x:c r="A45" s="30" t="s">
        <x:v>425</x:v>
      </x:c>
      <x:c r="B45" s="30"/>
      <x:c r="C45" s="80"/>
      <x:c r="D45" s="80" t="n">
        <x:f>D39</x:f>
        <x:v>78172.668865492</x:v>
      </x:c>
      <x:c r="E45" s="32" t="n">
        <x:f>D45/$D$46</x:f>
        <x:v>0.5504901915575375</x:v>
      </x:c>
    </x:row>
    <x:row r="46">
      <x:c r="A46" s="124" t="s">
        <x:v>426</x:v>
      </x:c>
      <x:c r="B46" s="125"/>
      <x:c r="C46" s="126"/>
      <x:c r="D46" s="127" t="n">
        <x:f>SUM(D43:D45)</x:f>
        <x:v>142005.561705492</x:v>
      </x:c>
      <x:c r="E46" s="32" t="n">
        <x:f>D46/$D$46</x:f>
        <x:v>1</x:v>
      </x:c>
    </x:row>
    <x:row r="47">
      <x:c r="C47" s="71"/>
      <x:c r="D47" s="71"/>
    </x:row>
    <x:row r="48">
      <x:c r="A48" s="22" t="s">
        <x:v>427</x:v>
      </x:c>
      <x:c r="C48" s="71"/>
      <x:c r="D48" s="71"/>
    </x:row>
    <x:row r="49">
      <x:c r="A49" t="s">
        <x:v>428</x:v>
      </x:c>
      <x:c r="C49" s="71"/>
      <x:c r="D49" s="71" t="n">
        <x:f>F18</x:f>
        <x:v>11766.774060095237</x:v>
      </x:c>
    </x:row>
    <x:row r="50">
      <x:c r="A50" t="s">
        <x:v>429</x:v>
      </x:c>
      <x:c r="C50" s="71"/>
      <x:c r="D50" s="71" t="n">
        <x:f>F36</x:f>
        <x:v>8824.533333333333</x:v>
      </x:c>
    </x:row>
    <x:row r="51">
      <x:c r="A51" s="1" t="s">
        <x:v>430</x:v>
      </x:c>
      <x:c r="C51" s="71"/>
      <x:c r="D51" s="72" t="n">
        <x:f>(D49+D50)/12</x:f>
        <x:v>1715.9422827857143</x:v>
      </x:c>
    </x:row>
    <x:row r="52">
      <x:c r="C52" s="71"/>
      <x:c r="D52" s="71"/>
    </x:row>
    <x:row r="53">
      <x:c r="A53" s="22" t="s">
        <x:v>431</x:v>
      </x:c>
      <x:c r="C53" s="71"/>
      <x:c r="D53" s="71"/>
    </x:row>
    <x:row r="54">
      <x:c r="A54" s="86" t="s">
        <x:v>432</x:v>
      </x:c>
      <x:c r="B54" s="86" t="s">
        <x:v>433</x:v>
      </x:c>
      <x:c r="C54" s="87"/>
      <x:c r="D54" s="87" t="s">
        <x:v>434</x:v>
      </x:c>
      <x:c r="E54" s="86" t="s">
        <x:v>435</x:v>
      </x:c>
    </x:row>
    <x:row r="55">
      <x:c r="A55" s="30" t="s">
        <x:v>436</x:v>
      </x:c>
      <x:c r="B55" s="30" t="s">
        <x:v>437</x:v>
      </x:c>
      <x:c r="C55" s="80"/>
      <x:c r="D55" s="88" t="n">
        <x:f>0</x:f>
        <x:v>0</x:v>
      </x:c>
      <x:c r="E55" s="30" t="s">
        <x:v>438</x:v>
      </x:c>
    </x:row>
    <x:row r="56" ht="30" customHeight="1">
      <x:c r="A56" s="30" t="s">
        <x:v>439</x:v>
      </x:c>
      <x:c r="B56" s="30" t="s">
        <x:v>440</x:v>
      </x:c>
      <x:c r="C56" s="80"/>
      <x:c r="D56" s="88" t="n">
        <x:f>D5+2*D6+D7</x:f>
        <x:v>34147.215722448986</x:v>
      </x:c>
      <x:c r="E56" s="89" t="s">
        <x:v>441</x:v>
      </x:c>
    </x:row>
    <x:row r="57">
      <x:c r="A57" s="30" t="s">
        <x:v>442</x:v>
      </x:c>
      <x:c r="B57" s="30" t="s">
        <x:v>443</x:v>
      </x:c>
      <x:c r="C57" s="80"/>
      <x:c r="D57" s="88" t="n">
        <x:f>0</x:f>
        <x:v>0</x:v>
      </x:c>
      <x:c r="E57" s="89" t="s">
        <x:v>444</x:v>
      </x:c>
    </x:row>
    <x:row r="58">
      <x:c r="A58" s="24" t="s">
        <x:v>445</x:v>
      </x:c>
    </x:row>
    <x:row r="59">
      <x:c r="A59" t="s">
        <x:v>446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11.42578125" defaultRowHeight="15"/>
  <x:cols>
    <x:col min="1" max="1" width="26.7109375" customWidth="1"/>
    <x:col min="2" max="2" width="12.7109375" customWidth="1"/>
    <x:col min="3" max="3" width="13.7109375" customWidth="1"/>
    <x:col min="4" max="4" width="16.7109375" customWidth="1"/>
    <x:col min="5" max="5" width="14.7109375" customWidth="1"/>
    <x:col min="6" max="6" width="15.7109375" customWidth="1"/>
    <x:col min="7" max="7" width="14.7109375" customWidth="1"/>
    <x:col min="8" max="8" width="10.7109375" customWidth="1"/>
  </x:cols>
  <x:sheetData>
    <x:row r="1" ht="26.100000381469727" customHeight="1">
      <x:c r="A1" s="181" t="s">
        <x:v>447</x:v>
      </x:c>
      <x:c r="B1" s="179"/>
      <x:c r="C1" s="179"/>
      <x:c r="D1" s="179"/>
      <x:c r="E1" s="179"/>
      <x:c r="F1" s="179"/>
      <x:c r="G1" s="179"/>
    </x:row>
    <x:row r="2">
      <x:c r="A2" t="str">
        <x:f>"TICKET PONDERADO ANUAL = S/."&amp;TEXT(B3,"#,##0.00")&amp;" ("&amp;TEXT(D19,"#,##0")&amp;"/"&amp;TEXT(B19,"0")&amp;" ev) — precios por fase en fila 33"</x:f>
        <x:v>TICKET PONDERADO ANUAL = S/.1,396.80 (199,743/143 ev) — precios por fase en fila 33</x:v>
      </x:c>
    </x:row>
    <x:row r="3">
      <x:c r="A3" s="1" t="s">
        <x:v>448</x:v>
      </x:c>
      <x:c r="B3" s="37" t="n">
        <x:f>D19/B19</x:f>
        <x:v>1396.8006993006993</x:v>
      </x:c>
      <x:c r="K3" s="1"/>
      <x:c r="L3" s="1"/>
      <x:c r="M3" s="1"/>
      <x:c r="N3" s="1"/>
      <x:c r="O3" s="1"/>
    </x:row>
    <x:row r="5">
      <x:c r="A5" s="142" t="s">
        <x:v>316</x:v>
      </x:c>
      <x:c r="B5" s="142" t="s">
        <x:v>174</x:v>
      </x:c>
      <x:c r="C5" s="142" t="s">
        <x:v>449</x:v>
      </x:c>
      <x:c r="D5" s="142" t="s">
        <x:v>450</x:v>
      </x:c>
      <x:c r="F5" s="142" t="s">
        <x:v>451</x:v>
      </x:c>
      <x:c r="G5" s="142" t="s">
        <x:v>452</x:v>
      </x:c>
      <x:c r="H5" s="142" t="s">
        <x:v>432</x:v>
      </x:c>
    </x:row>
    <x:row r="6">
      <x:c r="A6" s="41" t="s">
        <x:v>453</x:v>
      </x:c>
      <x:c r="B6" s="231" t="n">
        <x:f t="shared" ref="B6:B17" si="0">MIN(F6,G6)</x:f>
        <x:v>8</x:v>
      </x:c>
      <x:c r="C6" s="233" t="n">
        <x:f>$D$33</x:f>
        <x:v>1227.5</x:v>
      </x:c>
      <x:c r="D6" s="233" t="n">
        <x:f>B6*C6</x:f>
        <x:v>9820</x:v>
      </x:c>
      <x:c r="F6" t="n">
        <x:f>$D$23</x:f>
        <x:v>8</x:v>
      </x:c>
      <x:c r="G6" s="128">
        <x:v>16</x:v>
      </x:c>
      <x:c r="H6" t="s">
        <x:v>454</x:v>
      </x:c>
    </x:row>
    <x:row r="7">
      <x:c r="A7" s="129" t="s">
        <x:v>455</x:v>
      </x:c>
      <x:c r="B7" s="232" t="n">
        <x:f>MIN(F7,G7)</x:f>
        <x:v>8</x:v>
      </x:c>
      <x:c r="C7" s="234" t="n">
        <x:f>$D$33</x:f>
        <x:v>1227.5</x:v>
      </x:c>
      <x:c r="D7" s="234" t="n">
        <x:f>B7*C7</x:f>
        <x:v>9820</x:v>
      </x:c>
      <x:c r="E7" s="98"/>
      <x:c r="F7" s="98" t="n">
        <x:f>$D$23</x:f>
        <x:v>8</x:v>
      </x:c>
      <x:c r="G7" s="128">
        <x:v>16</x:v>
      </x:c>
      <x:c r="H7" s="98" t="s">
        <x:v>454</x:v>
      </x:c>
    </x:row>
    <x:row r="8">
      <x:c r="A8" s="41" t="s">
        <x:v>456</x:v>
      </x:c>
      <x:c r="B8" s="231" t="n">
        <x:f t="shared" si="0">MIN(F8,G8)</x:f>
        <x:v>7</x:v>
      </x:c>
      <x:c r="C8" s="233" t="n">
        <x:f>$D$33</x:f>
        <x:v>1227.5</x:v>
      </x:c>
      <x:c r="D8" s="233" t="n">
        <x:f>B8*C8</x:f>
        <x:v>8592.5</x:v>
      </x:c>
      <x:c r="F8" t="n">
        <x:f>$D$23</x:f>
        <x:v>8</x:v>
      </x:c>
      <x:c r="G8" s="128">
        <x:v>7</x:v>
      </x:c>
      <x:c r="H8" t="s">
        <x:v>454</x:v>
      </x:c>
    </x:row>
    <x:row r="9">
      <x:c r="A9" s="129" t="s">
        <x:v>457</x:v>
      </x:c>
      <x:c r="B9" s="232" t="n">
        <x:f>MIN(F9,G9)</x:f>
        <x:v>8</x:v>
      </x:c>
      <x:c r="C9" s="234" t="n">
        <x:f>$D$33</x:f>
        <x:v>1227.5</x:v>
      </x:c>
      <x:c r="D9" s="234" t="n">
        <x:f>B9*C9</x:f>
        <x:v>9820</x:v>
      </x:c>
      <x:c r="E9" s="98"/>
      <x:c r="F9" s="98" t="n">
        <x:f>$D$23</x:f>
        <x:v>8</x:v>
      </x:c>
      <x:c r="G9" s="128">
        <x:v>8</x:v>
      </x:c>
      <x:c r="H9" s="98" t="s">
        <x:v>454</x:v>
      </x:c>
    </x:row>
    <x:row r="10">
      <x:c r="A10" s="41" t="s">
        <x:v>458</x:v>
      </x:c>
      <x:c r="B10" s="231" t="n">
        <x:f>MIN(F10,G10)</x:f>
        <x:v>11</x:v>
      </x:c>
      <x:c r="C10" s="233" t="n">
        <x:f>$E$33</x:f>
        <x:v>1332.5</x:v>
      </x:c>
      <x:c r="D10" s="233" t="n">
        <x:f>B10*C10</x:f>
        <x:v>14657.5</x:v>
      </x:c>
      <x:c r="F10" t="n">
        <x:f>$D$24</x:f>
        <x:v>16</x:v>
      </x:c>
      <x:c r="G10" s="128">
        <x:v>11</x:v>
      </x:c>
      <x:c r="H10" t="s">
        <x:v>459</x:v>
      </x:c>
    </x:row>
    <x:row r="11">
      <x:c r="A11" s="129" t="s">
        <x:v>460</x:v>
      </x:c>
      <x:c r="B11" s="232" t="n">
        <x:f>MIN(F11,G11)</x:f>
        <x:v>12</x:v>
      </x:c>
      <x:c r="C11" s="234" t="n">
        <x:f>$E$33</x:f>
        <x:v>1332.5</x:v>
      </x:c>
      <x:c r="D11" s="234" t="n">
        <x:f>B11*C11</x:f>
        <x:v>15990</x:v>
      </x:c>
      <x:c r="E11" s="98"/>
      <x:c r="F11" s="98" t="n">
        <x:f>$D$24</x:f>
        <x:v>16</x:v>
      </x:c>
      <x:c r="G11" s="128">
        <x:v>12</x:v>
      </x:c>
      <x:c r="H11" s="98" t="s">
        <x:v>459</x:v>
      </x:c>
    </x:row>
    <x:row r="12">
      <x:c r="A12" s="41" t="s">
        <x:v>461</x:v>
      </x:c>
      <x:c r="B12" s="231" t="n">
        <x:f t="shared" si="0">MIN(F12,G12)</x:f>
        <x:v>15</x:v>
      </x:c>
      <x:c r="C12" s="233" t="n">
        <x:f>$E$33</x:f>
        <x:v>1332.5</x:v>
      </x:c>
      <x:c r="D12" s="233" t="n">
        <x:f>B12*C12</x:f>
        <x:v>19987.5</x:v>
      </x:c>
      <x:c r="F12" t="n">
        <x:f>$D$24</x:f>
        <x:v>16</x:v>
      </x:c>
      <x:c r="G12" s="128">
        <x:v>15</x:v>
      </x:c>
      <x:c r="H12" t="s">
        <x:v>459</x:v>
      </x:c>
    </x:row>
    <x:row r="13">
      <x:c r="A13" s="129" t="s">
        <x:v>462</x:v>
      </x:c>
      <x:c r="B13" s="232" t="n">
        <x:f t="shared" si="0">MIN(F13,G13)</x:f>
        <x:v>14</x:v>
      </x:c>
      <x:c r="C13" s="234" t="n">
        <x:f>$E$33</x:f>
        <x:v>1332.5</x:v>
      </x:c>
      <x:c r="D13" s="234" t="n">
        <x:f>B13*C13</x:f>
        <x:v>18655</x:v>
      </x:c>
      <x:c r="E13" s="98"/>
      <x:c r="F13" s="98" t="n">
        <x:f>$D$24</x:f>
        <x:v>16</x:v>
      </x:c>
      <x:c r="G13" s="128">
        <x:v>14</x:v>
      </x:c>
      <x:c r="H13" s="98" t="s">
        <x:v>459</x:v>
      </x:c>
    </x:row>
    <x:row r="14">
      <x:c r="A14" s="41" t="s">
        <x:v>463</x:v>
      </x:c>
      <x:c r="B14" s="231" t="n">
        <x:f t="shared" si="0">MIN(F14,G14)</x:f>
        <x:v>16</x:v>
      </x:c>
      <x:c r="C14" s="233" t="n">
        <x:f>$F$33</x:f>
        <x:v>1540</x:v>
      </x:c>
      <x:c r="D14" s="233" t="n">
        <x:f>B14*C14</x:f>
        <x:v>24640</x:v>
      </x:c>
      <x:c r="F14" t="n">
        <x:f>$D$25</x:f>
        <x:v>16</x:v>
      </x:c>
      <x:c r="G14" s="128">
        <x:v>16</x:v>
      </x:c>
      <x:c r="H14" t="s">
        <x:v>464</x:v>
      </x:c>
    </x:row>
    <x:row r="15">
      <x:c r="A15" s="129" t="s">
        <x:v>465</x:v>
      </x:c>
      <x:c r="B15" s="232" t="n">
        <x:f>MIN(F15,G15)</x:f>
        <x:v>13</x:v>
      </x:c>
      <x:c r="C15" s="234" t="n">
        <x:f>$F$33</x:f>
        <x:v>1540</x:v>
      </x:c>
      <x:c r="D15" s="234" t="n">
        <x:f>B15*C15</x:f>
        <x:v>20020</x:v>
      </x:c>
      <x:c r="E15" s="98"/>
      <x:c r="F15" s="98" t="n">
        <x:f>$D$25</x:f>
        <x:v>16</x:v>
      </x:c>
      <x:c r="G15" s="128">
        <x:v>13</x:v>
      </x:c>
      <x:c r="H15" s="98" t="s">
        <x:v>464</x:v>
      </x:c>
    </x:row>
    <x:row r="16">
      <x:c r="A16" s="41" t="s">
        <x:v>466</x:v>
      </x:c>
      <x:c r="B16" s="231" t="n">
        <x:f>MIN(F16,G16)</x:f>
        <x:v>15</x:v>
      </x:c>
      <x:c r="C16" s="233" t="n">
        <x:f>$F$33</x:f>
        <x:v>1540</x:v>
      </x:c>
      <x:c r="D16" s="233" t="n">
        <x:f>B16*C16</x:f>
        <x:v>23100</x:v>
      </x:c>
      <x:c r="F16" t="n">
        <x:f>$D$25</x:f>
        <x:v>16</x:v>
      </x:c>
      <x:c r="G16" s="128">
        <x:v>15</x:v>
      </x:c>
      <x:c r="H16" t="s">
        <x:v>464</x:v>
      </x:c>
    </x:row>
    <x:row r="17">
      <x:c r="A17" s="129" t="s">
        <x:v>467</x:v>
      </x:c>
      <x:c r="B17" s="232" t="n">
        <x:f t="shared" si="0">MIN(F17,G17)</x:f>
        <x:v>16</x:v>
      </x:c>
      <x:c r="C17" s="234" t="n">
        <x:f>$F$33</x:f>
        <x:v>1540</x:v>
      </x:c>
      <x:c r="D17" s="234" t="n">
        <x:f>B17*C17</x:f>
        <x:v>24640</x:v>
      </x:c>
      <x:c r="E17" s="98"/>
      <x:c r="F17" s="98" t="n">
        <x:f>$D$25</x:f>
        <x:v>16</x:v>
      </x:c>
      <x:c r="G17" s="128">
        <x:v>16</x:v>
      </x:c>
      <x:c r="H17" s="98" t="s">
        <x:v>464</x:v>
      </x:c>
    </x:row>
    <x:row r="19">
      <x:c r="A19" s="38" t="s">
        <x:v>468</x:v>
      </x:c>
      <x:c r="B19" s="38" t="n">
        <x:f>SUM(B6:B17)</x:f>
        <x:v>143</x:v>
      </x:c>
      <x:c r="C19" s="38"/>
      <x:c r="D19" s="39" t="n">
        <x:f>SUM(D6:D17)</x:f>
        <x:v>199742.5</x:v>
      </x:c>
    </x:row>
    <x:row r="21">
      <x:c r="A21" s="182" t="s">
        <x:v>469</x:v>
      </x:c>
      <x:c r="B21" s="179"/>
      <x:c r="C21" s="179"/>
      <x:c r="D21" s="179"/>
    </x:row>
    <x:row r="22">
      <x:c r="A22" s="142" t="s">
        <x:v>432</x:v>
      </x:c>
      <x:c r="B22" s="142" t="s">
        <x:v>470</x:v>
      </x:c>
      <x:c r="C22" s="142" t="s">
        <x:v>471</x:v>
      </x:c>
      <x:c r="D22" s="142" t="s">
        <x:v>472</x:v>
      </x:c>
    </x:row>
    <x:row r="23">
      <x:c r="A23" t="s">
        <x:v>454</x:v>
      </x:c>
      <x:c r="B23" t="s">
        <x:v>473</x:v>
      </x:c>
      <x:c r="C23">
        <x:v>4</x:v>
      </x:c>
      <x:c r="D23">
        <x:v>8</x:v>
      </x:c>
    </x:row>
    <x:row r="24">
      <x:c r="A24" s="98" t="s">
        <x:v>459</x:v>
      </x:c>
      <x:c r="B24" s="98" t="s">
        <x:v>474</x:v>
      </x:c>
      <x:c r="C24" s="98">
        <x:v>8</x:v>
      </x:c>
      <x:c r="D24" s="98">
        <x:v>16</x:v>
      </x:c>
    </x:row>
    <x:row r="25">
      <x:c r="A25" t="s">
        <x:v>464</x:v>
      </x:c>
      <x:c r="B25" t="s">
        <x:v>475</x:v>
      </x:c>
      <x:c r="C25">
        <x:v>8</x:v>
      </x:c>
      <x:c r="D25">
        <x:v>16</x:v>
      </x:c>
    </x:row>
    <x:row r="27">
      <x:c r="A27" s="182" t="s">
        <x:v>476</x:v>
      </x:c>
      <x:c r="B27" s="179"/>
      <x:c r="C27" s="179"/>
      <x:c r="D27" s="179"/>
      <x:c r="E27" s="179"/>
    </x:row>
    <x:row r="28">
      <x:c r="A28" s="142" t="s">
        <x:v>477</x:v>
      </x:c>
      <x:c r="B28" s="142" t="s">
        <x:v>478</x:v>
      </x:c>
      <x:c r="C28" s="142" t="s">
        <x:v>255</x:v>
      </x:c>
      <x:c r="D28" s="142" t="s">
        <x:v>454</x:v>
      </x:c>
      <x:c r="E28" s="142" t="s">
        <x:v>459</x:v>
      </x:c>
      <x:c r="F28" t="s">
        <x:v>464</x:v>
      </x:c>
    </x:row>
    <x:row r="29">
      <x:c r="A29" t="s">
        <x:v>241</x:v>
      </x:c>
      <x:c r="B29" t="n">
        <x:f>'C. PRODUCCION'!C21</x:f>
        <x:v>750</x:v>
      </x:c>
      <x:c r="C29" s="113" t="n">
        <x:f>'C. PRODUCCION'!B21</x:f>
        <x:v>250</x:v>
      </x:c>
      <x:c r="D29" s="131">
        <x:v>0.45</x:v>
      </x:c>
      <x:c r="E29" s="36">
        <x:v>0.35</x:v>
      </x:c>
      <x:c r="F29" s="144">
        <x:v>0.2</x:v>
      </x:c>
    </x:row>
    <x:row r="30">
      <x:c r="A30" s="98" t="s">
        <x:v>257</x:v>
      </x:c>
      <x:c r="B30" s="98" t="n">
        <x:f>'C. PRODUCCION'!C22</x:f>
        <x:v>1300</x:v>
      </x:c>
      <x:c r="C30" s="113" t="n">
        <x:f>'C. PRODUCCION'!B22</x:f>
        <x:v>290</x:v>
      </x:c>
      <x:c r="D30" s="131">
        <x:v>0.3</x:v>
      </x:c>
      <x:c r="E30" s="132">
        <x:v>0.3</x:v>
      </x:c>
      <x:c r="F30" s="144">
        <x:v>0.3</x:v>
      </x:c>
    </x:row>
    <x:row r="31">
      <x:c r="A31" t="s">
        <x:v>258</x:v>
      </x:c>
      <x:c r="B31" t="n">
        <x:f>'C. PRODUCCION'!C23</x:f>
        <x:v>1800</x:v>
      </x:c>
      <x:c r="C31" s="113" t="n">
        <x:f>'C. PRODUCCION'!B23</x:f>
        <x:v>330</x:v>
      </x:c>
      <x:c r="D31" s="131">
        <x:v>0.15</x:v>
      </x:c>
      <x:c r="E31" s="36">
        <x:v>0.25</x:v>
      </x:c>
      <x:c r="F31" s="144">
        <x:v>0.3</x:v>
      </x:c>
    </x:row>
    <x:row r="32">
      <x:c r="A32" s="98" t="s">
        <x:v>259</x:v>
      </x:c>
      <x:c r="B32" s="98" t="n">
        <x:f>'C. PRODUCCION'!C24</x:f>
        <x:v>2300</x:v>
      </x:c>
      <x:c r="C32" s="113" t="n">
        <x:f>'C. PRODUCCION'!B24</x:f>
        <x:v>370</x:v>
      </x:c>
      <x:c r="D32" s="131">
        <x:v>0.1</x:v>
      </x:c>
      <x:c r="E32" s="132">
        <x:v>0.1</x:v>
      </x:c>
      <x:c r="F32" s="144">
        <x:v>0.2</x:v>
      </x:c>
    </x:row>
    <x:row r="33">
      <x:c r="A33" s="152" t="s">
        <x:v>479</x:v>
      </x:c>
      <x:c r="B33" s="152"/>
      <x:c r="C33" s="152"/>
      <x:c r="D33" s="235" t="n">
        <x:f>SUMPRODUCT($B$29:$B$32,D29:D32)</x:f>
        <x:v>1227.5</x:v>
      </x:c>
      <x:c r="E33" s="235" t="n">
        <x:f>SUMPRODUCT($B$29:$B$32,E29:E32)</x:f>
        <x:v>1332.5</x:v>
      </x:c>
      <x:c r="F33" s="221" t="n">
        <x:f>SUMPRODUCT($B$29:$B$32,F29:F32)</x:f>
        <x:v>1540</x:v>
      </x:c>
    </x:row>
    <x:row r="34">
      <x:c r="A34" s="153" t="s">
        <x:v>480</x:v>
      </x:c>
      <x:c r="B34" s="153"/>
      <x:c r="C34" s="153"/>
      <x:c r="D34" s="221" t="n">
        <x:f>SUMPRODUCT($C$29:$C$32,D29:D32)</x:f>
        <x:v>286</x:v>
      </x:c>
      <x:c r="E34" s="221" t="n">
        <x:f>SUMPRODUCT($C$29:$C$32,E29:E32)</x:f>
        <x:v>294</x:v>
      </x:c>
      <x:c r="F34" s="221" t="n">
        <x:f>SUMPRODUCT($C$29:$C$32,F29:F32)</x:f>
        <x:v>310</x:v>
      </x:c>
    </x:row>
    <x:row r="35">
      <x:c r="A35" s="185" t="s">
        <x:v>481</x:v>
      </x:c>
      <x:c r="B35" s="186"/>
      <x:c r="C35" s="186"/>
      <x:c r="D35" s="221" t="n">
        <x:f>D33-D34</x:f>
        <x:v>941.5</x:v>
      </x:c>
      <x:c r="E35" s="221" t="n">
        <x:f>E33-E34</x:f>
        <x:v>1038.5</x:v>
      </x:c>
      <x:c r="F35" s="221" t="n">
        <x:f>F33-F34</x:f>
        <x:v>1230</x:v>
      </x:c>
      <x:c r="G35" s="179"/>
    </x:row>
    <x:row r="36">
      <x:c r="A36" t="s">
        <x:v>482</x:v>
      </x:c>
    </x:row>
    <x:row r="37">
      <x:c r="A37" t="s">
        <x:v>483</x:v>
      </x:c>
    </x:row>
    <x:row r="38">
      <x:c r="A38" t="s">
        <x:v>484</x:v>
      </x:c>
    </x:row>
  </x:sheetData>
  <x:mergeCells>
    <x:mergeCell ref="A21:D21"/>
    <x:mergeCell ref="A1:G1"/>
    <x:mergeCell ref="A35:G35"/>
    <x:mergeCell ref="A27:E2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11.42578125" defaultRowHeight="15"/>
  <x:cols>
    <x:col min="1" max="1" width="34.7109375" customWidth="1"/>
    <x:col min="2" max="3" width="14.7109375" customWidth="1"/>
    <x:col min="4" max="4" width="80.85546875" customWidth="1"/>
  </x:cols>
  <x:sheetData>
    <x:row r="1" ht="26.100000381469727" customHeight="1">
      <x:c r="A1" s="181" t="s">
        <x:v>485</x:v>
      </x:c>
      <x:c r="B1" s="179"/>
      <x:c r="C1" s="179"/>
      <x:c r="D1" s="179"/>
    </x:row>
    <x:row r="3">
      <x:c r="A3" s="182" t="s">
        <x:v>486</x:v>
      </x:c>
      <x:c r="B3" s="179"/>
      <x:c r="C3" s="179"/>
      <x:c r="D3" s="179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42" t="s">
        <x:v>289</x:v>
      </x:c>
      <x:c r="B4" s="142" t="s">
        <x:v>487</x:v>
      </x:c>
      <x:c r="C4" s="142" t="s">
        <x:v>488</x:v>
      </x:c>
      <x:c r="D4" s="142" t="s">
        <x:v>489</x:v>
      </x:c>
    </x:row>
    <x:row r="5">
      <x:c r="A5" t="s">
        <x:v>490</x:v>
      </x:c>
      <x:c r="B5" s="113">
        <x:v>500</x:v>
      </x:c>
      <x:c r="C5" s="3" t="n">
        <x:f>B5*12</x:f>
        <x:v>6000</x:v>
      </x:c>
      <x:c r="D5" s="140" t="s">
        <x:v>491</x:v>
      </x:c>
    </x:row>
    <x:row r="6">
      <x:c r="A6" s="98" t="s">
        <x:v>492</x:v>
      </x:c>
      <x:c r="B6" s="113">
        <x:v>300</x:v>
      </x:c>
      <x:c r="C6" s="130" t="n">
        <x:f>B6*12</x:f>
        <x:v>3600</x:v>
      </x:c>
      <x:c r="D6" s="141" t="s">
        <x:v>493</x:v>
      </x:c>
    </x:row>
    <x:row r="7">
      <x:c r="A7" t="s">
        <x:v>494</x:v>
      </x:c>
      <x:c r="B7" s="113">
        <x:v>0</x:v>
      </x:c>
      <x:c r="C7" s="3" t="n">
        <x:f>B7*12</x:f>
        <x:v>0</x:v>
      </x:c>
      <x:c r="D7" s="140" t="s">
        <x:v>495</x:v>
      </x:c>
    </x:row>
    <x:row r="8">
      <x:c r="A8" s="38" t="s">
        <x:v>496</x:v>
      </x:c>
      <x:c r="B8" s="39" t="n">
        <x:f>SUM(B5:B7)</x:f>
        <x:v>800</x:v>
      </x:c>
      <x:c r="C8" s="39" t="n">
        <x:f>SUM(C5:C7)</x:f>
        <x:v>9600</x:v>
      </x:c>
      <x:c r="D8" s="1"/>
    </x:row>
    <x:row r="10">
      <x:c r="A10" s="182" t="s">
        <x:v>497</x:v>
      </x:c>
      <x:c r="B10" s="179"/>
      <x:c r="C10" s="179"/>
      <x:c r="D10" s="179"/>
    </x:row>
    <x:row r="11">
      <x:c r="A11" t="s">
        <x:v>498</x:v>
      </x:c>
      <x:c r="B11" s="3" t="n">
        <x:f>C8</x:f>
        <x:v>9600</x:v>
      </x:c>
    </x:row>
    <x:row r="12">
      <x:c r="A12" s="98" t="s">
        <x:v>499</x:v>
      </x:c>
      <x:c r="B12" s="130" t="n">
        <x:f>'PROYECCION DE VENTAS'!B19</x:f>
        <x:v>143</x:v>
      </x:c>
    </x:row>
    <x:row r="13">
      <x:c r="A13" s="40" t="s">
        <x:v>500</x:v>
      </x:c>
      <x:c r="B13" s="43" t="n">
        <x:f>B11/B12</x:f>
        <x:v>67.13286713286713</x:v>
      </x:c>
    </x:row>
    <x:row r="14">
      <x:c r="A14" s="98" t="s">
        <x:v>501</x:v>
      </x:c>
      <x:c r="B14" s="130" t="n">
        <x:f>'RESUMEN ECONOMICO'!B5</x:f>
        <x:v>199742.5</x:v>
      </x:c>
    </x:row>
    <x:row r="15">
      <x:c r="A15" t="s">
        <x:v>502</x:v>
      </x:c>
      <x:c r="B15" s="4" t="n">
        <x:f>B11/B14</x:f>
        <x:v>0.04806187967007522</x:v>
      </x:c>
    </x:row>
    <x:row r="16">
      <x:c r="A16" s="98" t="s">
        <x:v>503</x:v>
      </x:c>
      <x:c r="B16" s="130" t="n">
        <x:f>'PROYECCION DE VENTAS'!B3</x:f>
        <x:v>1396.8006993006993</x:v>
      </x:c>
    </x:row>
    <x:row r="17">
      <x:c r="A17" s="40" t="s">
        <x:v>504</x:v>
      </x:c>
      <x:c r="B17" s="45" t="n">
        <x:f>B16/B13</x:f>
        <x:v>20.806510416666665</x:v>
      </x:c>
    </x:row>
    <x:row r="19">
      <x:c r="A19" s="187" t="s">
        <x:v>505</x:v>
      </x:c>
      <x:c r="B19" s="179"/>
      <x:c r="C19" s="179"/>
      <x:c r="D19" s="179"/>
    </x:row>
    <x:row r="20">
      <x:c r="A20" s="179"/>
      <x:c r="B20" s="179"/>
      <x:c r="C20" s="179"/>
      <x:c r="D20" s="179"/>
    </x:row>
  </x:sheetData>
  <x:mergeCells>
    <x:mergeCell ref="A1:D1"/>
    <x:mergeCell ref="A19:D20"/>
    <x:mergeCell ref="A3:D3"/>
    <x:mergeCell ref="A10:D1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11.42578125" defaultRowHeight="15"/>
  <x:cols>
    <x:col min="1" max="1" width="36.7109375" customWidth="1"/>
    <x:col min="2" max="3" width="14.7109375" customWidth="1"/>
    <x:col min="4" max="4" width="62.28515625" customWidth="1"/>
  </x:cols>
  <x:sheetData>
    <x:row r="1" ht="26.100000381469727" customHeight="1">
      <x:c r="A1" s="359" t="s">
        <x:v>506</x:v>
      </x:c>
      <x:c r="B1" s="359"/>
      <x:c r="C1" s="359"/>
      <x:c r="D1" s="359"/>
      <x:c r="E1" s="359"/>
      <x:c r="F1" s="359"/>
      <x:c r="G1" s="359"/>
      <x:c r="H1" s="145"/>
    </x:row>
    <x:row r="2">
      <x:c r="A2" s="328"/>
      <x:c r="B2" s="328"/>
      <x:c r="C2" s="328"/>
      <x:c r="D2" s="328"/>
      <x:c r="E2" s="328"/>
      <x:c r="F2" s="328"/>
      <x:c r="G2" s="328"/>
      <x:c r="H2" s="145"/>
    </x:row>
    <x:row r="3">
      <x:c r="A3" s="362" t="s">
        <x:v>289</x:v>
      </x:c>
      <x:c r="B3" s="362" t="s">
        <x:v>487</x:v>
      </x:c>
      <x:c r="C3" s="362" t="s">
        <x:v>488</x:v>
      </x:c>
      <x:c r="D3" s="362" t="s">
        <x:v>507</x:v>
      </x:c>
      <x:c r="E3" s="328"/>
      <x:c r="F3" s="328"/>
      <x:c r="G3" s="328"/>
      <x:c r="H3" s="145"/>
      <x:c r="I3" s="1"/>
      <x:c r="J3" s="1"/>
      <x:c r="K3" s="1"/>
      <x:c r="L3" s="1"/>
      <x:c r="M3" s="1"/>
      <x:c r="N3" s="1"/>
      <x:c r="O3" s="1"/>
    </x:row>
    <x:row r="4">
      <x:c r="A4" s="328" t="s">
        <x:v>508</x:v>
      </x:c>
      <x:c r="B4" s="346" t="n">
        <x:f>(G22*4+G31*4+G41*4)/12</x:f>
        <x:v>7083.45</x:v>
      </x:c>
      <x:c r="C4" s="346" t="n">
        <x:f>B4*12</x:f>
        <x:v>85001.4</x:v>
      </x:c>
      <x:c r="D4" s="327" t="s">
        <x:v>509</x:v>
      </x:c>
      <x:c r="E4" s="328"/>
      <x:c r="F4" s="328"/>
      <x:c r="G4" s="328"/>
      <x:c r="H4" s="145"/>
    </x:row>
    <x:row r="5">
      <x:c r="A5" s="328" t="s">
        <x:v>510</x:v>
      </x:c>
      <x:c r="B5" s="346">
        <x:v>0</x:v>
      </x:c>
      <x:c r="C5" s="346">
        <x:v>0</x:v>
      </x:c>
      <x:c r="D5" s="327" t="s">
        <x:v>511</x:v>
      </x:c>
      <x:c r="E5" s="328"/>
      <x:c r="F5" s="328"/>
      <x:c r="G5" s="328"/>
      <x:c r="H5" s="145"/>
    </x:row>
    <x:row r="6">
      <x:c r="A6" s="328" t="s">
        <x:v>512</x:v>
      </x:c>
      <x:c r="B6" s="346">
        <x:v>400</x:v>
      </x:c>
      <x:c r="C6" s="346">
        <x:v>4800</x:v>
      </x:c>
      <x:c r="D6" s="327" t="s">
        <x:v>513</x:v>
      </x:c>
      <x:c r="E6" s="328"/>
      <x:c r="F6" s="328"/>
      <x:c r="G6" s="328"/>
      <x:c r="H6" s="145"/>
    </x:row>
    <x:row r="7">
      <x:c r="A7" s="328" t="s">
        <x:v>514</x:v>
      </x:c>
      <x:c r="B7" s="346">
        <x:v>400</x:v>
      </x:c>
      <x:c r="C7" s="346">
        <x:v>4800</x:v>
      </x:c>
      <x:c r="D7" s="327" t="s">
        <x:v>515</x:v>
      </x:c>
      <x:c r="E7" s="328"/>
      <x:c r="F7" s="328"/>
      <x:c r="G7" s="328"/>
      <x:c r="H7" s="145"/>
    </x:row>
    <x:row r="8">
      <x:c r="A8" s="363" t="s">
        <x:v>516</x:v>
      </x:c>
      <x:c r="B8" s="364" t="n">
        <x:f>SUM(B4:B7)</x:f>
        <x:v>7883.45</x:v>
      </x:c>
      <x:c r="C8" s="364" t="n">
        <x:f>SUM(C4:C7)</x:f>
        <x:v>94601.4</x:v>
      </x:c>
      <x:c r="D8" s="365"/>
      <x:c r="E8" s="328"/>
      <x:c r="F8" s="328"/>
      <x:c r="G8" s="328"/>
      <x:c r="H8" s="145"/>
    </x:row>
    <x:row r="9">
      <x:c r="A9" s="328"/>
      <x:c r="B9" s="346"/>
      <x:c r="C9" s="346"/>
      <x:c r="D9" s="328"/>
      <x:c r="E9" s="328"/>
      <x:c r="F9" s="328"/>
      <x:c r="G9" s="328"/>
      <x:c r="H9" s="145"/>
    </x:row>
    <x:row r="10">
      <x:c r="A10" s="366" t="s">
        <x:v>517</x:v>
      </x:c>
      <x:c r="B10" s="369"/>
      <x:c r="C10" s="369"/>
      <x:c r="D10" s="366"/>
      <x:c r="E10" s="328"/>
      <x:c r="F10" s="328"/>
      <x:c r="G10" s="328"/>
      <x:c r="H10" s="145"/>
    </x:row>
    <x:row r="11">
      <x:c r="A11" s="328" t="s">
        <x:v>518</x:v>
      </x:c>
      <x:c r="B11" s="346" t="n">
        <x:f>C8</x:f>
        <x:v>94601.4</x:v>
      </x:c>
      <x:c r="C11" s="346"/>
      <x:c r="D11" s="328"/>
      <x:c r="E11" s="328"/>
      <x:c r="F11" s="328"/>
      <x:c r="G11" s="328"/>
      <x:c r="H11" s="145"/>
    </x:row>
    <x:row r="12">
      <x:c r="A12" s="328" t="s">
        <x:v>519</x:v>
      </x:c>
      <x:c r="B12" s="346" t="n">
        <x:f>B8+'G. VENTAS'!B8</x:f>
        <x:v>8683.45</x:v>
      </x:c>
      <x:c r="C12" s="346"/>
      <x:c r="D12" s="328"/>
      <x:c r="E12" s="328"/>
      <x:c r="F12" s="328"/>
      <x:c r="G12" s="328"/>
      <x:c r="H12" s="145"/>
    </x:row>
    <x:row r="13">
      <x:c r="A13" s="328"/>
      <x:c r="B13" s="351"/>
      <x:c r="C13" s="328"/>
      <x:c r="D13" s="328"/>
      <x:c r="E13" s="328"/>
      <x:c r="F13" s="328"/>
      <x:c r="G13" s="328"/>
      <x:c r="H13" s="145"/>
    </x:row>
    <x:row r="14">
      <x:c r="A14" s="349" t="s">
        <x:v>520</x:v>
      </x:c>
      <x:c r="B14" s="352"/>
      <x:c r="C14" s="349"/>
      <x:c r="D14" s="349"/>
      <x:c r="E14" s="349"/>
      <x:c r="F14" s="349"/>
      <x:c r="G14" s="349"/>
      <x:c r="H14" s="145"/>
    </x:row>
    <x:row r="15">
      <x:c r="A15" s="372" t="s">
        <x:v>521</x:v>
      </x:c>
      <x:c r="B15" s="373" t="s">
        <x:v>337</x:v>
      </x:c>
      <x:c r="C15" s="372" t="s">
        <x:v>522</x:v>
      </x:c>
      <x:c r="D15" s="372" t="s">
        <x:v>523</x:v>
      </x:c>
      <x:c r="E15" s="372" t="s">
        <x:v>524</x:v>
      </x:c>
      <x:c r="F15" s="372" t="s">
        <x:v>525</x:v>
      </x:c>
      <x:c r="G15" s="372" t="s">
        <x:v>526</x:v>
      </x:c>
      <x:c r="H15" s="145"/>
    </x:row>
    <x:row r="16">
      <x:c r="A16" s="374" t="s">
        <x:v>527</x:v>
      </x:c>
      <x:c r="B16" s="374"/>
      <x:c r="C16" s="374"/>
      <x:c r="D16" s="374"/>
      <x:c r="E16" s="374"/>
      <x:c r="F16" s="374"/>
      <x:c r="G16" s="374"/>
      <x:c r="H16" s="145"/>
    </x:row>
    <x:row r="17">
      <x:c r="A17" s="327" t="str">
        <x:v>Gerente General (CEO)</x:v>
      </x:c>
      <x:c r="B17" s="328" t="str">
        <x:v>Fijo</x:v>
      </x:c>
      <x:c r="C17" s="379" t="n">
        <x:v>1130</x:v>
      </x:c>
      <x:c r="D17" s="330" t="n">
        <x:f>C17*9%</x:f>
        <x:v>101.7</x:v>
      </x:c>
      <x:c r="E17" s="330" t="n">
        <x:f>C17/24</x:f>
        <x:v>47.083333333333336</x:v>
      </x:c>
      <x:c r="F17" s="330" t="n">
        <x:f>C17/12</x:f>
        <x:v>94.16666666666667</x:v>
      </x:c>
      <x:c r="G17" s="330" t="n">
        <x:f>SUM(C17:F17)</x:f>
        <x:v>1372.95</x:v>
      </x:c>
      <x:c r="H17" s="145"/>
    </x:row>
    <x:row r="18">
      <x:c r="A18" s="380" t="str">
        <x:v>Gerente de Operaciones (COO)</x:v>
      </x:c>
      <x:c r="B18" s="380" t="str">
        <x:v>Fijo</x:v>
      </x:c>
      <x:c r="C18" s="379" t="n">
        <x:v>1130</x:v>
      </x:c>
      <x:c r="D18" s="381" t="n">
        <x:f>C18*9%</x:f>
        <x:v>101.7</x:v>
      </x:c>
      <x:c r="E18" s="381" t="n">
        <x:f>C18/24</x:f>
        <x:v>47.083333333333336</x:v>
      </x:c>
      <x:c r="F18" s="381" t="n">
        <x:f>C18/12</x:f>
        <x:v>94.16666666666667</x:v>
      </x:c>
      <x:c r="G18" s="381" t="n">
        <x:f>SUM(C18:F18)</x:f>
        <x:v>1372.95</x:v>
      </x:c>
      <x:c r="H18" s="145"/>
    </x:row>
    <x:row r="19">
      <x:c r="A19" s="328" t="str">
        <x:v>Director Financiero</x:v>
      </x:c>
      <x:c r="B19" s="328" t="str">
        <x:v>Fijo</x:v>
      </x:c>
      <x:c r="C19" s="379" t="n">
        <x:v>1130</x:v>
      </x:c>
      <x:c r="D19" s="330" t="n">
        <x:f>C19*9%</x:f>
        <x:v>101.7</x:v>
      </x:c>
      <x:c r="E19" s="330" t="n">
        <x:f>C19/24</x:f>
        <x:v>47.083333333333336</x:v>
      </x:c>
      <x:c r="F19" s="330" t="n">
        <x:f>C19/12</x:f>
        <x:v>94.16666666666667</x:v>
      </x:c>
      <x:c r="G19" s="330" t="n">
        <x:f>SUM(C19:F19)</x:f>
        <x:v>1372.95</x:v>
      </x:c>
      <x:c r="H19" s="145"/>
    </x:row>
    <x:row r="20">
      <x:c r="A20" s="380" t="str">
        <x:v>Técnico de campo A (20h/sem)</x:v>
      </x:c>
      <x:c r="B20" s="380" t="str">
        <x:v>Part-time</x:v>
      </x:c>
      <x:c r="C20" s="379" t="n">
        <x:v>700</x:v>
      </x:c>
      <x:c r="D20" s="381" t="n">
        <x:f>C20*9%</x:f>
        <x:v>63</x:v>
      </x:c>
      <x:c r="E20" s="381" t="n">
        <x:f>C20/24</x:f>
        <x:v>29.166666666666668</x:v>
      </x:c>
      <x:c r="F20" s="381" t="n">
        <x:f>C20/12</x:f>
        <x:v>58.333333333333336</x:v>
      </x:c>
      <x:c r="G20" s="381" t="n">
        <x:f>SUM(C20:F20)</x:f>
        <x:v>850.5</x:v>
      </x:c>
      <x:c r="H20" s="145"/>
    </x:row>
    <x:row r="21">
      <x:c r="A21" s="328" t="str">
        <x:v>Técnico de campo B (20h/sem)</x:v>
      </x:c>
      <x:c r="B21" s="328" t="str">
        <x:v>Part-time</x:v>
      </x:c>
      <x:c r="C21" s="379" t="n">
        <x:v>600</x:v>
      </x:c>
      <x:c r="D21" s="330" t="n">
        <x:f>C21*9%</x:f>
        <x:v>54</x:v>
      </x:c>
      <x:c r="E21" s="330" t="n">
        <x:f>C21/24</x:f>
        <x:v>25</x:v>
      </x:c>
      <x:c r="F21" s="330" t="n">
        <x:f>C21/12</x:f>
        <x:v>50</x:v>
      </x:c>
      <x:c r="G21" s="330" t="n">
        <x:f>SUM(C21:F21)</x:f>
        <x:v>729</x:v>
      </x:c>
      <x:c r="H21" s="145"/>
    </x:row>
    <x:row r="22">
      <x:c r="A22" s="365" t="s">
        <x:v>528</x:v>
      </x:c>
      <x:c r="B22" s="365"/>
      <x:c r="C22" s="377" t="n">
        <x:f>SUM(C17:C21)</x:f>
        <x:v>4690</x:v>
      </x:c>
      <x:c r="D22" s="377" t="n">
        <x:f>SUM(D17:D21)</x:f>
        <x:v>422.1</x:v>
      </x:c>
      <x:c r="E22" s="377" t="n">
        <x:f>SUM(E17:E21)</x:f>
        <x:v>195.41666666666666</x:v>
      </x:c>
      <x:c r="F22" s="377" t="n">
        <x:f>SUM(F17:F21)</x:f>
        <x:v>390.8333333333333</x:v>
      </x:c>
      <x:c r="G22" s="377" t="n">
        <x:f>SUM(G17:G21)</x:f>
        <x:v>5698.35</x:v>
      </x:c>
      <x:c r="H22" s="145"/>
    </x:row>
    <x:row r="23">
      <x:c r="A23" s="328"/>
      <x:c r="B23" s="328"/>
      <x:c r="C23" s="330"/>
      <x:c r="D23" s="330"/>
      <x:c r="E23" s="330"/>
      <x:c r="F23" s="330"/>
      <x:c r="G23" s="330"/>
      <x:c r="H23" s="145"/>
    </x:row>
    <x:row r="24">
      <x:c r="A24" s="374" t="s">
        <x:v>529</x:v>
      </x:c>
      <x:c r="B24" s="374"/>
      <x:c r="C24" s="376"/>
      <x:c r="D24" s="376"/>
      <x:c r="E24" s="376"/>
      <x:c r="F24" s="376"/>
      <x:c r="G24" s="376"/>
      <x:c r="H24" s="145"/>
    </x:row>
    <x:row r="25">
      <x:c r="A25" s="328" t="str">
        <x:v>Gerente General (CEO)</x:v>
      </x:c>
      <x:c r="B25" s="328" t="str">
        <x:v>Fijo</x:v>
      </x:c>
      <x:c r="C25" s="379" t="n">
        <x:v>1300</x:v>
      </x:c>
      <x:c r="D25" s="330" t="n">
        <x:f>C25*9%</x:f>
        <x:v>117</x:v>
      </x:c>
      <x:c r="E25" s="330" t="n">
        <x:f>C25/24</x:f>
        <x:v>54.166666666666664</x:v>
      </x:c>
      <x:c r="F25" s="330" t="n">
        <x:f>C25/12</x:f>
        <x:v>108.33333333333333</x:v>
      </x:c>
      <x:c r="G25" s="330" t="n">
        <x:f>SUM(C25:F25)</x:f>
        <x:v>1579.5</x:v>
      </x:c>
      <x:c r="H25" s="145"/>
    </x:row>
    <x:row r="26">
      <x:c r="A26" s="380" t="str">
        <x:v>Gerente de Operaciones (COO)</x:v>
      </x:c>
      <x:c r="B26" s="380" t="str">
        <x:v>Fijo</x:v>
      </x:c>
      <x:c r="C26" s="379" t="n">
        <x:v>1300</x:v>
      </x:c>
      <x:c r="D26" s="381" t="n">
        <x:f>C26*9%</x:f>
        <x:v>117</x:v>
      </x:c>
      <x:c r="E26" s="381" t="n">
        <x:f>C26/24</x:f>
        <x:v>54.166666666666664</x:v>
      </x:c>
      <x:c r="F26" s="381" t="n">
        <x:f>C26/12</x:f>
        <x:v>108.33333333333333</x:v>
      </x:c>
      <x:c r="G26" s="381" t="n">
        <x:f>SUM(C26:F26)</x:f>
        <x:v>1579.5</x:v>
      </x:c>
      <x:c r="H26" s="145"/>
    </x:row>
    <x:row r="27">
      <x:c r="A27" s="328" t="str">
        <x:v>Director Financiero</x:v>
      </x:c>
      <x:c r="B27" s="328" t="str">
        <x:v>Fijo</x:v>
      </x:c>
      <x:c r="C27" s="379" t="n">
        <x:v>1300</x:v>
      </x:c>
      <x:c r="D27" s="330" t="n">
        <x:f>C27*9%</x:f>
        <x:v>117</x:v>
      </x:c>
      <x:c r="E27" s="330" t="n">
        <x:f>C27/24</x:f>
        <x:v>54.166666666666664</x:v>
      </x:c>
      <x:c r="F27" s="330" t="n">
        <x:f>C27/12</x:f>
        <x:v>108.33333333333333</x:v>
      </x:c>
      <x:c r="G27" s="330" t="n">
        <x:f>SUM(C27:F27)</x:f>
        <x:v>1579.5</x:v>
      </x:c>
      <x:c r="H27" s="145"/>
    </x:row>
    <x:row r="28">
      <x:c r="A28" s="380" t="str">
        <x:v>Técnico de campo A (20h/sem)</x:v>
      </x:c>
      <x:c r="B28" s="380" t="str">
        <x:v>Part-time</x:v>
      </x:c>
      <x:c r="C28" s="379" t="n">
        <x:v>700</x:v>
      </x:c>
      <x:c r="D28" s="381" t="n">
        <x:f>C28*9%</x:f>
        <x:v>63</x:v>
      </x:c>
      <x:c r="E28" s="381" t="n">
        <x:f>C28/24</x:f>
        <x:v>29.166666666666668</x:v>
      </x:c>
      <x:c r="F28" s="381" t="n">
        <x:f>C28/12</x:f>
        <x:v>58.333333333333336</x:v>
      </x:c>
      <x:c r="G28" s="381" t="n">
        <x:f>SUM(C28:F28)</x:f>
        <x:v>850.5</x:v>
      </x:c>
      <x:c r="H28" s="145"/>
    </x:row>
    <x:row r="29">
      <x:c r="A29" s="328" t="str">
        <x:v>Técnico de campo B (20h/sem)</x:v>
      </x:c>
      <x:c r="B29" s="328" t="str">
        <x:v>Part-time</x:v>
      </x:c>
      <x:c r="C29" s="379" t="n">
        <x:v>600</x:v>
      </x:c>
      <x:c r="D29" s="330" t="n">
        <x:f>C29*9%</x:f>
        <x:v>54</x:v>
      </x:c>
      <x:c r="E29" s="330" t="n">
        <x:f>C29/24</x:f>
        <x:v>25</x:v>
      </x:c>
      <x:c r="F29" s="330" t="n">
        <x:f>C29/12</x:f>
        <x:v>50</x:v>
      </x:c>
      <x:c r="G29" s="330" t="n">
        <x:f>SUM(C29:F29)</x:f>
        <x:v>729</x:v>
      </x:c>
      <x:c r="H29" s="145"/>
    </x:row>
    <x:row r="30">
      <x:c r="A30" s="380" t="str">
        <x:v>Técnico de campo C (20h/sem)</x:v>
      </x:c>
      <x:c r="B30" s="380" t="str">
        <x:v>Part-time</x:v>
      </x:c>
      <x:c r="C30" s="379" t="n">
        <x:v>600</x:v>
      </x:c>
      <x:c r="D30" s="381" t="n">
        <x:f>C30*9%</x:f>
        <x:v>54</x:v>
      </x:c>
      <x:c r="E30" s="381" t="n">
        <x:f>C30/24</x:f>
        <x:v>25</x:v>
      </x:c>
      <x:c r="F30" s="381" t="n">
        <x:f>C30/12</x:f>
        <x:v>50</x:v>
      </x:c>
      <x:c r="G30" s="381" t="n">
        <x:f>SUM(C30:F30)</x:f>
        <x:v>729</x:v>
      </x:c>
      <x:c r="H30" s="145"/>
    </x:row>
    <x:row r="31">
      <x:c r="A31" s="365" t="s">
        <x:v>530</x:v>
      </x:c>
      <x:c r="B31" s="365"/>
      <x:c r="C31" s="377" t="n">
        <x:f>SUM(C25:C30)</x:f>
        <x:v>5800</x:v>
      </x:c>
      <x:c r="D31" s="377" t="n">
        <x:f>SUM(D25:D30)</x:f>
        <x:v>522</x:v>
      </x:c>
      <x:c r="E31" s="377" t="n">
        <x:f>SUM(E25:E30)</x:f>
        <x:v>241.66666666666666</x:v>
      </x:c>
      <x:c r="F31" s="377" t="n">
        <x:f>SUM(F25:F30)</x:f>
        <x:v>483.3333333333333</x:v>
      </x:c>
      <x:c r="G31" s="377" t="n">
        <x:f>SUM(G25:G30)</x:f>
        <x:v>7047</x:v>
      </x:c>
      <x:c r="H31" s="145"/>
    </x:row>
    <x:row r="32">
      <x:c r="A32" s="328"/>
      <x:c r="B32" s="328"/>
      <x:c r="C32" s="330"/>
      <x:c r="D32" s="330"/>
      <x:c r="E32" s="330"/>
      <x:c r="F32" s="330"/>
      <x:c r="G32" s="330"/>
      <x:c r="H32" s="145"/>
    </x:row>
    <x:row r="33">
      <x:c r="A33" s="374" t="s">
        <x:v>531</x:v>
      </x:c>
      <x:c r="B33" s="374"/>
      <x:c r="C33" s="376"/>
      <x:c r="D33" s="376"/>
      <x:c r="E33" s="376"/>
      <x:c r="F33" s="376"/>
      <x:c r="G33" s="376"/>
      <x:c r="H33" s="145"/>
    </x:row>
    <x:row r="34">
      <x:c r="A34" s="380" t="str">
        <x:v>Gerente General (CEO)</x:v>
      </x:c>
      <x:c r="B34" s="380" t="str">
        <x:v>Fijo</x:v>
      </x:c>
      <x:c r="C34" s="379" t="n">
        <x:v>1500</x:v>
      </x:c>
      <x:c r="D34" s="381" t="n">
        <x:f>C34*9%</x:f>
        <x:v>135</x:v>
      </x:c>
      <x:c r="E34" s="381" t="n">
        <x:f>C34/24</x:f>
        <x:v>62.5</x:v>
      </x:c>
      <x:c r="F34" s="381" t="n">
        <x:f>C34/12</x:f>
        <x:v>125</x:v>
      </x:c>
      <x:c r="G34" s="381" t="n">
        <x:f>SUM(C34:F34)</x:f>
        <x:v>1822.5</x:v>
      </x:c>
      <x:c r="H34" s="145"/>
    </x:row>
    <x:row r="35">
      <x:c r="A35" s="328" t="str">
        <x:v>Gerente de Operaciones (COO)</x:v>
      </x:c>
      <x:c r="B35" s="328" t="str">
        <x:v>Fijo</x:v>
      </x:c>
      <x:c r="C35" s="379" t="n">
        <x:v>1500</x:v>
      </x:c>
      <x:c r="D35" s="330" t="n">
        <x:f>C35*9%</x:f>
        <x:v>135</x:v>
      </x:c>
      <x:c r="E35" s="330" t="n">
        <x:f>C35/24</x:f>
        <x:v>62.5</x:v>
      </x:c>
      <x:c r="F35" s="330" t="n">
        <x:f>C35/12</x:f>
        <x:v>125</x:v>
      </x:c>
      <x:c r="G35" s="330" t="n">
        <x:f>SUM(C35:F35)</x:f>
        <x:v>1822.5</x:v>
      </x:c>
      <x:c r="H35" s="145"/>
    </x:row>
    <x:row r="36">
      <x:c r="A36" s="380" t="str">
        <x:v>Director Financiero</x:v>
      </x:c>
      <x:c r="B36" s="380" t="str">
        <x:v>Fijo</x:v>
      </x:c>
      <x:c r="C36" s="379" t="n">
        <x:v>1500</x:v>
      </x:c>
      <x:c r="D36" s="381" t="n">
        <x:f>C36*9%</x:f>
        <x:v>135</x:v>
      </x:c>
      <x:c r="E36" s="381" t="n">
        <x:f>C36/24</x:f>
        <x:v>62.5</x:v>
      </x:c>
      <x:c r="F36" s="381" t="n">
        <x:f>C36/12</x:f>
        <x:v>125</x:v>
      </x:c>
      <x:c r="G36" s="381" t="n">
        <x:f>SUM(C36:F36)</x:f>
        <x:v>1822.5</x:v>
      </x:c>
      <x:c r="H36" s="145"/>
    </x:row>
    <x:row r="37">
      <x:c r="A37" s="328" t="str">
        <x:v>Técnico de campo A (20h/sem)</x:v>
      </x:c>
      <x:c r="B37" s="328" t="str">
        <x:v>Part-time</x:v>
      </x:c>
      <x:c r="C37" s="379" t="n">
        <x:v>700</x:v>
      </x:c>
      <x:c r="D37" s="330" t="n">
        <x:f>C37*9%</x:f>
        <x:v>63</x:v>
      </x:c>
      <x:c r="E37" s="330" t="n">
        <x:f>C37/24</x:f>
        <x:v>29.166666666666668</x:v>
      </x:c>
      <x:c r="F37" s="330" t="n">
        <x:f>C37/12</x:f>
        <x:v>58.333333333333336</x:v>
      </x:c>
      <x:c r="G37" s="330" t="n">
        <x:f>SUM(C37:F37)</x:f>
        <x:v>850.5</x:v>
      </x:c>
      <x:c r="H37" s="145"/>
    </x:row>
    <x:row r="38">
      <x:c r="A38" s="380" t="str">
        <x:v>Técnico de campo B (20h/sem)</x:v>
      </x:c>
      <x:c r="B38" s="380" t="str">
        <x:v>Part-time</x:v>
      </x:c>
      <x:c r="C38" s="379" t="n">
        <x:v>600</x:v>
      </x:c>
      <x:c r="D38" s="381" t="n">
        <x:f>C38*9%</x:f>
        <x:v>54</x:v>
      </x:c>
      <x:c r="E38" s="381" t="n">
        <x:f>C38/24</x:f>
        <x:v>25</x:v>
      </x:c>
      <x:c r="F38" s="381" t="n">
        <x:f>C38/12</x:f>
        <x:v>50</x:v>
      </x:c>
      <x:c r="G38" s="381" t="n">
        <x:f>SUM(C38:F38)</x:f>
        <x:v>729</x:v>
      </x:c>
      <x:c r="H38" s="145"/>
    </x:row>
    <x:row r="39">
      <x:c r="A39" s="328" t="str">
        <x:v>Técnico de campo C (20h/sem)</x:v>
      </x:c>
      <x:c r="B39" s="328" t="str">
        <x:v>Part-time</x:v>
      </x:c>
      <x:c r="C39" s="379" t="n">
        <x:v>600</x:v>
      </x:c>
      <x:c r="D39" s="330" t="n">
        <x:f>C39*9%</x:f>
        <x:v>54</x:v>
      </x:c>
      <x:c r="E39" s="330" t="n">
        <x:f>C39/24</x:f>
        <x:v>25</x:v>
      </x:c>
      <x:c r="F39" s="330" t="n">
        <x:f>C39/12</x:f>
        <x:v>50</x:v>
      </x:c>
      <x:c r="G39" s="330" t="n">
        <x:f>SUM(C39:F39)</x:f>
        <x:v>729</x:v>
      </x:c>
      <x:c r="H39" s="145"/>
    </x:row>
    <x:row r="40">
      <x:c r="A40" s="380" t="str">
        <x:v>Técnico de campo D (20h/sem)</x:v>
      </x:c>
      <x:c r="B40" s="380" t="str">
        <x:v>Part-time</x:v>
      </x:c>
      <x:c r="C40" s="379" t="n">
        <x:v>600</x:v>
      </x:c>
      <x:c r="D40" s="381" t="n">
        <x:f>C40*9%</x:f>
        <x:v>54</x:v>
      </x:c>
      <x:c r="E40" s="381" t="n">
        <x:f>C40/24</x:f>
        <x:v>25</x:v>
      </x:c>
      <x:c r="F40" s="381" t="n">
        <x:f>C40/12</x:f>
        <x:v>50</x:v>
      </x:c>
      <x:c r="G40" s="381" t="n">
        <x:f>SUM(C40:F40)</x:f>
        <x:v>729</x:v>
      </x:c>
      <x:c r="H40" s="145"/>
    </x:row>
    <x:row r="41">
      <x:c r="A41" s="365" t="s">
        <x:v>532</x:v>
      </x:c>
      <x:c r="B41" s="365"/>
      <x:c r="C41" s="377" t="n">
        <x:f>SUM(C34:C40)</x:f>
        <x:v>7000</x:v>
      </x:c>
      <x:c r="D41" s="377" t="n">
        <x:f>SUM(D34:D40)</x:f>
        <x:v>630</x:v>
      </x:c>
      <x:c r="E41" s="377" t="n">
        <x:f>SUM(E34:E40)</x:f>
        <x:v>291.66666666666663</x:v>
      </x:c>
      <x:c r="F41" s="377" t="n">
        <x:f>SUM(F34:F40)</x:f>
        <x:v>583.3333333333333</x:v>
      </x:c>
      <x:c r="G41" s="377" t="n">
        <x:f>SUM(G34:G40)</x:f>
        <x:v>8505</x:v>
      </x:c>
      <x:c r="H41" s="145"/>
    </x:row>
    <x:row r="42">
      <x:c r="A42" s="328"/>
      <x:c r="B42" s="328"/>
      <x:c r="C42" s="328"/>
      <x:c r="D42" s="328"/>
      <x:c r="E42" s="328"/>
      <x:c r="F42" s="328"/>
      <x:c r="G42" s="328"/>
      <x:c r="H42" s="145"/>
    </x:row>
    <x:row r="43">
      <x:c r="A43" s="382" t="str">
        <x:v>Promedio mensual ponderado: planilla escalonada por fase + S/.800 de servicios y mantenimiento.</x:v>
      </x:c>
      <x:c r="B43" s="356"/>
      <x:c r="C43" s="356"/>
      <x:c r="D43" s="356"/>
      <x:c r="E43" s="356"/>
      <x:c r="F43" s="356"/>
      <x:c r="G43" s="356"/>
      <x:c r="H43" s="145"/>
    </x:row>
    <x:row r="44">
      <x:c r="A44" s="382" t="str">
        <x:v>Criterio: socios con base ≥ RMV (S/.1,130) y crecimiento ligado a la fase; técnicos part-time ≥ 50% de RMV. La retribución adicional de socios se difiere a utilidades.</x:v>
      </x:c>
      <x:c r="B44" s="356"/>
      <x:c r="C44" s="356"/>
      <x:c r="D44" s="356"/>
      <x:c r="E44" s="356"/>
      <x:c r="F44" s="356"/>
      <x:c r="G44" s="356"/>
      <x:c r="H44" s="145"/>
    </x:row>
    <x:row r="45">
      <x:c r="A45" s="145"/>
      <x:c r="B45" s="145"/>
      <x:c r="C45" s="145"/>
      <x:c r="D45" s="145"/>
      <x:c r="E45" s="145"/>
      <x:c r="F45" s="145"/>
      <x:c r="G45" s="145"/>
      <x:c r="H45" s="145"/>
    </x:row>
    <x:row r="46">
      <x:c r="A46" s="145"/>
      <x:c r="B46" s="145"/>
      <x:c r="C46" s="145"/>
      <x:c r="D46" s="145"/>
      <x:c r="E46" s="145"/>
      <x:c r="F46" s="145"/>
      <x:c r="G46" s="145"/>
      <x:c r="H46" s="145"/>
    </x:row>
    <x:row r="47">
      <x:c r="A47" s="145"/>
      <x:c r="B47" s="145"/>
      <x:c r="C47" s="145"/>
      <x:c r="D47" s="145"/>
      <x:c r="E47" s="145"/>
      <x:c r="F47" s="145"/>
      <x:c r="G47" s="145"/>
      <x:c r="H47" s="145"/>
    </x:row>
    <x:row r="48">
      <x:c r="A48" s="145"/>
      <x:c r="B48" s="145"/>
      <x:c r="C48" s="145"/>
      <x:c r="D48" s="145"/>
      <x:c r="E48" s="145"/>
      <x:c r="F48" s="145"/>
      <x:c r="G48" s="145"/>
      <x:c r="H48" s="145"/>
    </x:row>
    <x:row r="49">
      <x:c r="A49" s="145"/>
      <x:c r="B49" s="145"/>
      <x:c r="C49" s="145"/>
      <x:c r="D49" s="145"/>
      <x:c r="E49" s="145"/>
      <x:c r="F49" s="145"/>
      <x:c r="G49" s="145"/>
      <x:c r="H49" s="145"/>
    </x:row>
    <x:row r="50">
      <x:c r="A50" s="145"/>
      <x:c r="B50" s="145"/>
      <x:c r="C50" s="145"/>
      <x:c r="D50" s="145"/>
      <x:c r="E50" s="145"/>
      <x:c r="F50" s="145"/>
      <x:c r="G50" s="145"/>
      <x:c r="H50" s="145"/>
    </x:row>
    <x:row r="51">
      <x:c r="A51" s="145"/>
      <x:c r="B51" s="145"/>
      <x:c r="C51" s="145"/>
      <x:c r="D51" s="145"/>
      <x:c r="E51" s="145"/>
      <x:c r="F51" s="145"/>
      <x:c r="G51" s="145"/>
      <x:c r="H51" s="145"/>
    </x:row>
    <x:row r="52">
      <x:c r="A52" s="145"/>
      <x:c r="B52" s="145"/>
      <x:c r="C52" s="145"/>
      <x:c r="D52" s="145"/>
      <x:c r="E52" s="145"/>
      <x:c r="F52" s="145"/>
      <x:c r="G52" s="145"/>
      <x:c r="H52" s="145"/>
    </x:row>
    <x:row r="53">
      <x:c r="A53" s="145"/>
      <x:c r="B53" s="145"/>
      <x:c r="C53" s="145"/>
      <x:c r="D53" s="145"/>
      <x:c r="E53" s="145"/>
      <x:c r="F53" s="145"/>
      <x:c r="G53" s="145"/>
      <x:c r="H53" s="145"/>
    </x:row>
    <x:row r="54">
      <x:c r="A54" s="145"/>
      <x:c r="B54" s="145"/>
      <x:c r="C54" s="145"/>
      <x:c r="D54" s="145"/>
      <x:c r="E54" s="145"/>
      <x:c r="F54" s="145"/>
      <x:c r="G54" s="145"/>
      <x:c r="H54" s="145"/>
    </x:row>
    <x:row r="55">
      <x:c r="A55" s="145"/>
      <x:c r="B55" s="145"/>
      <x:c r="C55" s="145"/>
      <x:c r="D55" s="145"/>
      <x:c r="E55" s="145"/>
      <x:c r="F55" s="145"/>
      <x:c r="G55" s="145"/>
      <x:c r="H55" s="145"/>
    </x:row>
  </x:sheetData>
  <x:mergeCells>
    <x:mergeCell ref="A10:D10"/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10" defaultColWidth="11.42578125" defaultRowHeight="15"/>
  <x:cols>
    <x:col min="1" max="1" width="67.140625" customWidth="1"/>
    <x:col min="2" max="15" width="11.7109375" customWidth="1"/>
  </x:cols>
  <x:sheetData>
    <x:row r="1" ht="26.100000381469727" customHeight="1">
      <x:c r="A1" s="181" t="s">
        <x:v>533</x:v>
      </x:c>
      <x:c r="B1" s="179"/>
      <x:c r="C1" s="179"/>
      <x:c r="D1" s="179"/>
      <x:c r="E1" s="179"/>
      <x:c r="F1" s="179"/>
      <x:c r="G1" s="179"/>
      <x:c r="H1" s="179"/>
      <x:c r="I1" s="179"/>
      <x:c r="J1" s="179"/>
      <x:c r="K1" s="179"/>
      <x:c r="L1" s="179"/>
      <x:c r="M1" s="179"/>
      <x:c r="N1" s="179"/>
      <x:c r="O1" s="179"/>
    </x:row>
    <x:row r="3">
      <x:c r="A3" s="1" t="s">
        <x:v>289</x:v>
      </x:c>
      <x:c r="B3" s="42" t="s">
        <x:v>453</x:v>
      </x:c>
      <x:c r="C3" s="42" t="s">
        <x:v>455</x:v>
      </x:c>
      <x:c r="D3" s="42" t="s">
        <x:v>456</x:v>
      </x:c>
      <x:c r="E3" s="42" t="s">
        <x:v>457</x:v>
      </x:c>
      <x:c r="F3" s="42" t="s">
        <x:v>458</x:v>
      </x:c>
      <x:c r="G3" s="42" t="s">
        <x:v>460</x:v>
      </x:c>
      <x:c r="H3" s="42" t="s">
        <x:v>461</x:v>
      </x:c>
      <x:c r="I3" s="42" t="s">
        <x:v>462</x:v>
      </x:c>
      <x:c r="J3" s="42" t="s">
        <x:v>463</x:v>
      </x:c>
      <x:c r="K3" s="42" t="s">
        <x:v>465</x:v>
      </x:c>
      <x:c r="L3" s="42" t="s">
        <x:v>466</x:v>
      </x:c>
      <x:c r="M3" s="42" t="s">
        <x:v>467</x:v>
      </x:c>
      <x:c r="N3" s="1"/>
      <x:c r="O3" s="1" t="s">
        <x:v>468</x:v>
      </x:c>
    </x:row>
    <x:row r="5">
      <x:c r="A5" t="s">
        <x:v>534</x:v>
      </x:c>
    </x:row>
    <x:row r="6">
      <x:c r="A6" t="s">
        <x:v>535</x:v>
      </x:c>
      <x:c r="B6" s="71" t="n">
        <x:f>'PROYECCION DE VENTAS'!B6</x:f>
        <x:v>8</x:v>
      </x:c>
      <x:c r="C6" s="71" t="n">
        <x:f>'PROYECCION DE VENTAS'!B7</x:f>
        <x:v>8</x:v>
      </x:c>
      <x:c r="D6" s="71" t="n">
        <x:f>'PROYECCION DE VENTAS'!B8</x:f>
        <x:v>7</x:v>
      </x:c>
      <x:c r="E6" s="71" t="n">
        <x:f>'PROYECCION DE VENTAS'!B9</x:f>
        <x:v>8</x:v>
      </x:c>
      <x:c r="F6" s="71" t="n">
        <x:f>'PROYECCION DE VENTAS'!B10</x:f>
        <x:v>11</x:v>
      </x:c>
      <x:c r="G6" s="71" t="n">
        <x:f>'PROYECCION DE VENTAS'!B11</x:f>
        <x:v>12</x:v>
      </x:c>
      <x:c r="H6" s="71" t="n">
        <x:f>'PROYECCION DE VENTAS'!B12</x:f>
        <x:v>15</x:v>
      </x:c>
      <x:c r="I6" s="71" t="n">
        <x:f>'PROYECCION DE VENTAS'!B13</x:f>
        <x:v>14</x:v>
      </x:c>
      <x:c r="J6" s="71" t="n">
        <x:f>'PROYECCION DE VENTAS'!B14</x:f>
        <x:v>16</x:v>
      </x:c>
      <x:c r="K6" s="71" t="n">
        <x:f>'PROYECCION DE VENTAS'!B15</x:f>
        <x:v>13</x:v>
      </x:c>
      <x:c r="L6" s="71" t="n">
        <x:f>'PROYECCION DE VENTAS'!B16</x:f>
        <x:v>15</x:v>
      </x:c>
      <x:c r="M6" s="71" t="n">
        <x:f>'PROYECCION DE VENTAS'!B17</x:f>
        <x:v>16</x:v>
      </x:c>
      <x:c r="N6" s="71"/>
      <x:c r="O6" s="71"/>
    </x:row>
    <x:row r="7">
      <x:c r="A7" t="s">
        <x:v>536</x:v>
      </x:c>
      <x:c r="B7" s="71" t="n">
        <x:f>'PROYECCION DE VENTAS'!D6</x:f>
        <x:v>9820</x:v>
      </x:c>
      <x:c r="C7" s="71" t="n">
        <x:f>'PROYECCION DE VENTAS'!D7</x:f>
        <x:v>9820</x:v>
      </x:c>
      <x:c r="D7" s="71" t="n">
        <x:f>'PROYECCION DE VENTAS'!D8</x:f>
        <x:v>8592.5</x:v>
      </x:c>
      <x:c r="E7" s="71" t="n">
        <x:f>'PROYECCION DE VENTAS'!D9</x:f>
        <x:v>9820</x:v>
      </x:c>
      <x:c r="F7" s="71" t="n">
        <x:f>'PROYECCION DE VENTAS'!D10</x:f>
        <x:v>14657.5</x:v>
      </x:c>
      <x:c r="G7" s="71" t="n">
        <x:f>'PROYECCION DE VENTAS'!D11</x:f>
        <x:v>15990</x:v>
      </x:c>
      <x:c r="H7" s="71" t="n">
        <x:f>'PROYECCION DE VENTAS'!D12</x:f>
        <x:v>19987.5</x:v>
      </x:c>
      <x:c r="I7" s="71" t="n">
        <x:f>'PROYECCION DE VENTAS'!D13</x:f>
        <x:v>18655</x:v>
      </x:c>
      <x:c r="J7" s="71" t="n">
        <x:f>'PROYECCION DE VENTAS'!D14</x:f>
        <x:v>24640</x:v>
      </x:c>
      <x:c r="K7" s="71" t="n">
        <x:f>'PROYECCION DE VENTAS'!D15</x:f>
        <x:v>20020</x:v>
      </x:c>
      <x:c r="L7" s="71" t="n">
        <x:f>'PROYECCION DE VENTAS'!D16</x:f>
        <x:v>23100</x:v>
      </x:c>
      <x:c r="M7" s="71" t="n">
        <x:f>'PROYECCION DE VENTAS'!D17</x:f>
        <x:v>24640</x:v>
      </x:c>
      <x:c r="N7" s="71"/>
      <x:c r="O7" s="71" t="n">
        <x:f>SUM(B7:M7)</x:f>
        <x:v>199742.5</x:v>
      </x:c>
    </x:row>
    <x:row r="8">
      <x:c r="B8" s="71"/>
      <x:c r="C8" s="71"/>
      <x:c r="D8" s="71"/>
      <x:c r="E8" s="71"/>
      <x:c r="F8" s="71"/>
      <x:c r="G8" s="71"/>
      <x:c r="H8" s="71"/>
      <x:c r="I8" s="71"/>
      <x:c r="J8" s="71"/>
      <x:c r="K8" s="71"/>
      <x:c r="L8" s="71"/>
      <x:c r="M8" s="71"/>
      <x:c r="N8" s="71"/>
      <x:c r="O8" s="71"/>
    </x:row>
    <x:row r="9">
      <x:c r="A9" t="s">
        <x:v>537</x:v>
      </x:c>
      <x:c r="B9" s="71"/>
      <x:c r="C9" s="71"/>
      <x:c r="D9" s="71"/>
      <x:c r="E9" s="71"/>
      <x:c r="F9" s="71"/>
      <x:c r="G9" s="71"/>
      <x:c r="H9" s="71"/>
      <x:c r="I9" s="71"/>
      <x:c r="J9" s="71"/>
      <x:c r="K9" s="71"/>
      <x:c r="L9" s="71"/>
      <x:c r="M9" s="71"/>
      <x:c r="N9" s="71"/>
      <x:c r="O9" s="71"/>
    </x:row>
    <x:row r="10">
      <x:c r="A10" t="s">
        <x:v>538</x:v>
      </x:c>
      <x:c r="B10" s="71" t="n">
        <x:f>B6*'PROYECCION DE VENTAS'!$D$34</x:f>
        <x:v>2288</x:v>
      </x:c>
      <x:c r="C10" s="71" t="n">
        <x:f>C6*'PROYECCION DE VENTAS'!$D$34</x:f>
        <x:v>2288</x:v>
      </x:c>
      <x:c r="D10" s="71" t="n">
        <x:f>D6*'PROYECCION DE VENTAS'!$D$34</x:f>
        <x:v>2002</x:v>
      </x:c>
      <x:c r="E10" s="71" t="n">
        <x:f>E6*'PROYECCION DE VENTAS'!$D$34</x:f>
        <x:v>2288</x:v>
      </x:c>
      <x:c r="F10" s="71" t="n">
        <x:f>F6*'PROYECCION DE VENTAS'!$E$34</x:f>
        <x:v>3234</x:v>
      </x:c>
      <x:c r="G10" s="71" t="n">
        <x:f>G6*'PROYECCION DE VENTAS'!$E$34</x:f>
        <x:v>3528</x:v>
      </x:c>
      <x:c r="H10" s="71" t="n">
        <x:f>H6*'PROYECCION DE VENTAS'!$E$34</x:f>
        <x:v>4410</x:v>
      </x:c>
      <x:c r="I10" s="71" t="n">
        <x:f>I6*'PROYECCION DE VENTAS'!$E$34</x:f>
        <x:v>4116</x:v>
      </x:c>
      <x:c r="J10" s="71" t="n">
        <x:f>J6*'PROYECCION DE VENTAS'!$F$34</x:f>
        <x:v>4960</x:v>
      </x:c>
      <x:c r="K10" s="71" t="n">
        <x:f>K6*'PROYECCION DE VENTAS'!$F$34</x:f>
        <x:v>4030</x:v>
      </x:c>
      <x:c r="L10" s="71" t="n">
        <x:f>L6*'PROYECCION DE VENTAS'!$F$34</x:f>
        <x:v>4650</x:v>
      </x:c>
      <x:c r="M10" s="71" t="n">
        <x:f>M6*'PROYECCION DE VENTAS'!$F$34</x:f>
        <x:v>4960</x:v>
      </x:c>
      <x:c r="N10" s="71"/>
      <x:c r="O10" s="71" t="n">
        <x:f>SUM(B10:M10)</x:f>
        <x:v>42754</x:v>
      </x:c>
    </x:row>
    <x:row r="11">
      <x:c r="A11" t="s">
        <x:v>539</x:v>
      </x:c>
      <x:c r="B11" s="71" t="n">
        <x:f>'GASTOS ADMINISTRATIVOS'!$G$22+'GASTOS ADMINISTRATIVOS'!$B$5+'GASTOS ADMINISTRATIVOS'!$B$6+'GASTOS ADMINISTRATIVOS'!$B$7</x:f>
        <x:v>6498.35</x:v>
      </x:c>
      <x:c r="C11" s="71" t="n">
        <x:f>'GASTOS ADMINISTRATIVOS'!$G$22+'GASTOS ADMINISTRATIVOS'!$B$5+'GASTOS ADMINISTRATIVOS'!$B$6+'GASTOS ADMINISTRATIVOS'!$B$7</x:f>
        <x:v>6498.35</x:v>
      </x:c>
      <x:c r="D11" s="71" t="n">
        <x:f>'GASTOS ADMINISTRATIVOS'!$G$22+'GASTOS ADMINISTRATIVOS'!$B$5+'GASTOS ADMINISTRATIVOS'!$B$6+'GASTOS ADMINISTRATIVOS'!$B$7</x:f>
        <x:v>6498.35</x:v>
      </x:c>
      <x:c r="E11" s="71" t="n">
        <x:f>'GASTOS ADMINISTRATIVOS'!$G$22+'GASTOS ADMINISTRATIVOS'!$B$5+'GASTOS ADMINISTRATIVOS'!$B$6+'GASTOS ADMINISTRATIVOS'!$B$7</x:f>
        <x:v>6498.35</x:v>
      </x:c>
      <x:c r="F11" s="71" t="n">
        <x:f>'GASTOS ADMINISTRATIVOS'!$G$31+'GASTOS ADMINISTRATIVOS'!$B$5+'GASTOS ADMINISTRATIVOS'!$B$6+'GASTOS ADMINISTRATIVOS'!$B$7</x:f>
        <x:v>7847</x:v>
      </x:c>
      <x:c r="G11" s="71" t="n">
        <x:f>'GASTOS ADMINISTRATIVOS'!$G$31+'GASTOS ADMINISTRATIVOS'!$B$5+'GASTOS ADMINISTRATIVOS'!$B$6+'GASTOS ADMINISTRATIVOS'!$B$7</x:f>
        <x:v>7847</x:v>
      </x:c>
      <x:c r="H11" s="71" t="n">
        <x:f>'GASTOS ADMINISTRATIVOS'!$G$31+'GASTOS ADMINISTRATIVOS'!$B$5+'GASTOS ADMINISTRATIVOS'!$B$6+'GASTOS ADMINISTRATIVOS'!$B$7</x:f>
        <x:v>7847</x:v>
      </x:c>
      <x:c r="I11" s="71" t="n">
        <x:f>'GASTOS ADMINISTRATIVOS'!$G$31+'GASTOS ADMINISTRATIVOS'!$B$5+'GASTOS ADMINISTRATIVOS'!$B$6+'GASTOS ADMINISTRATIVOS'!$B$7</x:f>
        <x:v>7847</x:v>
      </x:c>
      <x:c r="J11" s="71" t="n">
        <x:f>'GASTOS ADMINISTRATIVOS'!$G$41+'GASTOS ADMINISTRATIVOS'!$B$5+'GASTOS ADMINISTRATIVOS'!$B$6+'GASTOS ADMINISTRATIVOS'!$B$7</x:f>
        <x:v>9305</x:v>
      </x:c>
      <x:c r="K11" s="71" t="n">
        <x:f>'GASTOS ADMINISTRATIVOS'!$G$41+'GASTOS ADMINISTRATIVOS'!$B$5+'GASTOS ADMINISTRATIVOS'!$B$6+'GASTOS ADMINISTRATIVOS'!$B$7</x:f>
        <x:v>9305</x:v>
      </x:c>
      <x:c r="L11" s="71" t="n">
        <x:f>'GASTOS ADMINISTRATIVOS'!$G$41+'GASTOS ADMINISTRATIVOS'!$B$5+'GASTOS ADMINISTRATIVOS'!$B$6+'GASTOS ADMINISTRATIVOS'!$B$7</x:f>
        <x:v>9305</x:v>
      </x:c>
      <x:c r="M11" s="71" t="n">
        <x:f>'GASTOS ADMINISTRATIVOS'!$G$41+'GASTOS ADMINISTRATIVOS'!$B$5+'GASTOS ADMINISTRATIVOS'!$B$6+'GASTOS ADMINISTRATIVOS'!$B$7</x:f>
        <x:v>9305</x:v>
      </x:c>
      <x:c r="N11" s="71"/>
      <x:c r="O11" s="71" t="n">
        <x:f>SUM(B11:M11)</x:f>
        <x:v>94601.4</x:v>
      </x:c>
    </x:row>
    <x:row r="12">
      <x:c r="A12" t="s">
        <x:v>540</x:v>
      </x:c>
      <x:c r="B12" s="71" t="n">
        <x:f>'G. VENTAS'!$B$8</x:f>
        <x:v>800</x:v>
      </x:c>
      <x:c r="C12" s="71" t="n">
        <x:f>'G. VENTAS'!$B$8</x:f>
        <x:v>800</x:v>
      </x:c>
      <x:c r="D12" s="71" t="n">
        <x:f>'G. VENTAS'!$B$8</x:f>
        <x:v>800</x:v>
      </x:c>
      <x:c r="E12" s="71" t="n">
        <x:f>'G. VENTAS'!$B$8</x:f>
        <x:v>800</x:v>
      </x:c>
      <x:c r="F12" s="71" t="n">
        <x:f>'G. VENTAS'!$B$8</x:f>
        <x:v>800</x:v>
      </x:c>
      <x:c r="G12" s="71" t="n">
        <x:f>'G. VENTAS'!$B$8</x:f>
        <x:v>800</x:v>
      </x:c>
      <x:c r="H12" s="71" t="n">
        <x:f>'G. VENTAS'!$B$8</x:f>
        <x:v>800</x:v>
      </x:c>
      <x:c r="I12" s="71" t="n">
        <x:f>'G. VENTAS'!$B$8</x:f>
        <x:v>800</x:v>
      </x:c>
      <x:c r="J12" s="71" t="n">
        <x:f>'G. VENTAS'!$B$8</x:f>
        <x:v>800</x:v>
      </x:c>
      <x:c r="K12" s="71" t="n">
        <x:f>'G. VENTAS'!$B$8</x:f>
        <x:v>800</x:v>
      </x:c>
      <x:c r="L12" s="71" t="n">
        <x:f>'G. VENTAS'!$B$8</x:f>
        <x:v>800</x:v>
      </x:c>
      <x:c r="M12" s="71" t="n">
        <x:f>'G. VENTAS'!$B$8</x:f>
        <x:v>800</x:v>
      </x:c>
      <x:c r="N12" s="71"/>
      <x:c r="O12" s="71" t="n">
        <x:f>SUM(B12:M12)</x:f>
        <x:v>9600</x:v>
      </x:c>
    </x:row>
    <x:row r="13">
      <x:c r="A13" t="s">
        <x:v>541</x:v>
      </x:c>
      <x:c r="B13" s="71" t="n">
        <x:f>INVERSION!$D$51</x:f>
        <x:v>1715.9422827857143</x:v>
      </x:c>
      <x:c r="C13" s="71" t="n">
        <x:f>INVERSION!$D$51</x:f>
        <x:v>1715.9422827857143</x:v>
      </x:c>
      <x:c r="D13" s="71" t="n">
        <x:f>INVERSION!$D$51</x:f>
        <x:v>1715.9422827857143</x:v>
      </x:c>
      <x:c r="E13" s="71" t="n">
        <x:f>INVERSION!$D$51</x:f>
        <x:v>1715.9422827857143</x:v>
      </x:c>
      <x:c r="F13" s="71" t="n">
        <x:f>INVERSION!$D$51</x:f>
        <x:v>1715.9422827857143</x:v>
      </x:c>
      <x:c r="G13" s="71" t="n">
        <x:f>INVERSION!$D$51</x:f>
        <x:v>1715.9422827857143</x:v>
      </x:c>
      <x:c r="H13" s="71" t="n">
        <x:f>INVERSION!$D$51</x:f>
        <x:v>1715.9422827857143</x:v>
      </x:c>
      <x:c r="I13" s="71" t="n">
        <x:f>INVERSION!$D$51</x:f>
        <x:v>1715.9422827857143</x:v>
      </x:c>
      <x:c r="J13" s="71" t="n">
        <x:f>INVERSION!$D$51</x:f>
        <x:v>1715.9422827857143</x:v>
      </x:c>
      <x:c r="K13" s="71" t="n">
        <x:f>INVERSION!$D$51</x:f>
        <x:v>1715.9422827857143</x:v>
      </x:c>
      <x:c r="L13" s="71" t="n">
        <x:f>INVERSION!$D$51</x:f>
        <x:v>1715.9422827857143</x:v>
      </x:c>
      <x:c r="M13" s="71" t="n">
        <x:f>INVERSION!$D$51</x:f>
        <x:v>1715.9422827857143</x:v>
      </x:c>
      <x:c r="N13" s="71"/>
      <x:c r="O13" s="71" t="n">
        <x:f>SUM(B13:M13)</x:f>
        <x:v>20591.30739342857</x:v>
      </x:c>
    </x:row>
    <x:row r="14">
      <x:c r="A14" t="s">
        <x:v>542</x:v>
      </x:c>
      <x:c r="B14" s="71" t="n">
        <x:f t="shared" ref="B14:M14" si="0">SUM(B10:B13)</x:f>
        <x:v>11302.292282785715</x:v>
      </x:c>
      <x:c r="C14" s="71" t="n">
        <x:f t="shared" si="0">SUM(C10:C13)</x:f>
        <x:v>11302.292282785715</x:v>
      </x:c>
      <x:c r="D14" s="71" t="n">
        <x:f t="shared" si="0">SUM(D10:D13)</x:f>
        <x:v>11016.292282785715</x:v>
      </x:c>
      <x:c r="E14" s="71" t="n">
        <x:f t="shared" si="0">SUM(E10:E13)</x:f>
        <x:v>11302.292282785715</x:v>
      </x:c>
      <x:c r="F14" s="71" t="n">
        <x:f t="shared" si="0">SUM(F10:F13)</x:f>
        <x:v>13596.942282785714</x:v>
      </x:c>
      <x:c r="G14" s="71" t="n">
        <x:f t="shared" si="0">SUM(G10:G13)</x:f>
        <x:v>13890.942282785714</x:v>
      </x:c>
      <x:c r="H14" s="71" t="n">
        <x:f t="shared" si="0">SUM(H10:H13)</x:f>
        <x:v>14772.942282785714</x:v>
      </x:c>
      <x:c r="I14" s="71" t="n">
        <x:f t="shared" si="0">SUM(I10:I13)</x:f>
        <x:v>14478.942282785714</x:v>
      </x:c>
      <x:c r="J14" s="71" t="n">
        <x:f t="shared" si="0">SUM(J10:J13)</x:f>
        <x:v>16780.942282785712</x:v>
      </x:c>
      <x:c r="K14" s="71" t="n">
        <x:f t="shared" si="0">SUM(K10:K13)</x:f>
        <x:v>15850.942282785714</x:v>
      </x:c>
      <x:c r="L14" s="71" t="n">
        <x:f t="shared" si="0">SUM(L10:L13)</x:f>
        <x:v>16470.942282785712</x:v>
      </x:c>
      <x:c r="M14" s="71" t="n">
        <x:f t="shared" si="0">SUM(M10:M13)</x:f>
        <x:v>16780.942282785712</x:v>
      </x:c>
      <x:c r="N14" s="71"/>
      <x:c r="O14" s="71" t="n">
        <x:f>SUM(B14:M14)</x:f>
        <x:v>167546.7073934286</x:v>
      </x:c>
    </x:row>
    <x:row r="15">
      <x:c r="B15" s="71"/>
      <x:c r="C15" s="71"/>
      <x:c r="D15" s="71"/>
      <x:c r="E15" s="71"/>
      <x:c r="F15" s="71"/>
      <x:c r="G15" s="71"/>
      <x:c r="H15" s="71"/>
      <x:c r="I15" s="71"/>
      <x:c r="J15" s="71"/>
      <x:c r="K15" s="71"/>
      <x:c r="L15" s="71"/>
      <x:c r="M15" s="71"/>
      <x:c r="N15" s="71"/>
      <x:c r="O15" s="71" t="n">
        <x:f>SUM(B15:M15)</x:f>
        <x:v>0</x:v>
      </x:c>
    </x:row>
    <x:row r="16">
      <x:c r="A16" t="s">
        <x:v>543</x:v>
      </x:c>
      <x:c r="B16" s="71" t="n">
        <x:f t="shared" ref="B16:M16" si="1">B7-B14</x:f>
        <x:v>-1482.2922827857146</x:v>
      </x:c>
      <x:c r="C16" s="71" t="n">
        <x:f t="shared" si="1">C7-C14</x:f>
        <x:v>-1482.2922827857146</x:v>
      </x:c>
      <x:c r="D16" s="71" t="n">
        <x:f t="shared" si="1">D7-D14</x:f>
        <x:v>-2423.7922827857146</x:v>
      </x:c>
      <x:c r="E16" s="71" t="n">
        <x:f t="shared" si="1">E7-E14</x:f>
        <x:v>-1482.2922827857146</x:v>
      </x:c>
      <x:c r="F16" s="71" t="n">
        <x:f t="shared" si="1">F7-F14</x:f>
        <x:v>1060.5577172142857</x:v>
      </x:c>
      <x:c r="G16" s="71" t="n">
        <x:f t="shared" si="1">G7-G14</x:f>
        <x:v>2099.0577172142857</x:v>
      </x:c>
      <x:c r="H16" s="71" t="n">
        <x:f t="shared" si="1">H7-H14</x:f>
        <x:v>5214.557717214286</x:v>
      </x:c>
      <x:c r="I16" s="71" t="n">
        <x:f t="shared" si="1">I7-I14</x:f>
        <x:v>4176.057717214286</x:v>
      </x:c>
      <x:c r="J16" s="71" t="n">
        <x:f t="shared" si="1">J7-J14</x:f>
        <x:v>7859.057717214288</x:v>
      </x:c>
      <x:c r="K16" s="71" t="n">
        <x:f t="shared" si="1">K7-K14</x:f>
        <x:v>4169.057717214286</x:v>
      </x:c>
      <x:c r="L16" s="71" t="n">
        <x:f t="shared" si="1">L7-L14</x:f>
        <x:v>6629.057717214288</x:v>
      </x:c>
      <x:c r="M16" s="71" t="n">
        <x:f t="shared" si="1">M7-M14</x:f>
        <x:v>7859.057717214288</x:v>
      </x:c>
      <x:c r="N16" s="71"/>
      <x:c r="O16" s="71" t="n">
        <x:f>SUM(B16:M16)</x:f>
        <x:v>32195.792606571435</x:v>
      </x:c>
    </x:row>
    <x:row r="17">
      <x:c r="B17" s="71"/>
      <x:c r="C17" s="71"/>
      <x:c r="D17" s="71"/>
      <x:c r="E17" s="71"/>
      <x:c r="F17" s="71"/>
      <x:c r="G17" s="71"/>
      <x:c r="H17" s="71"/>
      <x:c r="I17" s="71"/>
      <x:c r="J17" s="71"/>
      <x:c r="K17" s="71"/>
      <x:c r="L17" s="71"/>
      <x:c r="M17" s="71"/>
      <x:c r="N17" s="71"/>
      <x:c r="O17" s="71"/>
    </x:row>
    <x:row r="18">
      <x:c r="A18" t="s">
        <x:v>544</x:v>
      </x:c>
      <x:c r="B18" s="71" t="n">
        <x:f>B16</x:f>
        <x:v>-1482.2922827857146</x:v>
      </x:c>
      <x:c r="C18" s="71" t="n">
        <x:f t="shared" ref="C18:M18" si="2">B18+C16</x:f>
        <x:v>-2964.5845655714293</x:v>
      </x:c>
      <x:c r="D18" s="71" t="n">
        <x:f t="shared" si="2">C18+D16</x:f>
        <x:v>-5388.376848357144</x:v>
      </x:c>
      <x:c r="E18" s="71" t="n">
        <x:f t="shared" si="2">D18+E16</x:f>
        <x:v>-6870.6691311428585</x:v>
      </x:c>
      <x:c r="F18" s="71" t="n">
        <x:f t="shared" si="2">E18+F16</x:f>
        <x:v>-5810.111413928573</x:v>
      </x:c>
      <x:c r="G18" s="71" t="n">
        <x:f t="shared" si="2">F18+G16</x:f>
        <x:v>-3711.053696714287</x:v>
      </x:c>
      <x:c r="H18" s="71" t="n">
        <x:f t="shared" si="2">G18+H16</x:f>
        <x:v>1503.5040204999987</x:v>
      </x:c>
      <x:c r="I18" s="71" t="n">
        <x:f t="shared" si="2">H18+I16</x:f>
        <x:v>5679.561737714284</x:v>
      </x:c>
      <x:c r="J18" s="71" t="n">
        <x:f t="shared" si="2">I18+J16</x:f>
        <x:v>13538.619454928572</x:v>
      </x:c>
      <x:c r="K18" s="71" t="n">
        <x:f t="shared" si="2">J18+K16</x:f>
        <x:v>17707.67717214286</x:v>
      </x:c>
      <x:c r="L18" s="71" t="n">
        <x:f t="shared" si="2">K18+L16</x:f>
        <x:v>24336.734889357147</x:v>
      </x:c>
      <x:c r="M18" s="71" t="n">
        <x:f t="shared" si="2">L18+M16</x:f>
        <x:v>32195.792606571435</x:v>
      </x:c>
      <x:c r="N18" s="71"/>
      <x:c r="O18" s="71"/>
    </x:row>
    <x:row r="19">
      <x:c r="B19" s="71"/>
      <x:c r="C19" s="71"/>
      <x:c r="D19" s="71"/>
      <x:c r="E19" s="71"/>
      <x:c r="F19" s="71"/>
      <x:c r="G19" s="71"/>
      <x:c r="H19" s="71"/>
      <x:c r="I19" s="71"/>
      <x:c r="J19" s="71"/>
      <x:c r="K19" s="71"/>
      <x:c r="L19" s="71"/>
      <x:c r="M19" s="71"/>
      <x:c r="N19" s="71"/>
      <x:c r="O19" s="71"/>
    </x:row>
    <x:row r="20">
      <x:c r="A20" s="182" t="s">
        <x:v>545</x:v>
      </x:c>
      <x:c r="B20" s="179"/>
      <x:c r="C20" s="179"/>
      <x:c r="D20" s="179"/>
      <x:c r="E20" s="179"/>
      <x:c r="F20" s="179"/>
      <x:c r="G20" s="179"/>
      <x:c r="H20" s="179"/>
      <x:c r="I20" s="179"/>
      <x:c r="J20" s="179"/>
      <x:c r="K20" s="179"/>
      <x:c r="L20" s="179"/>
      <x:c r="M20" s="179"/>
      <x:c r="N20" s="179"/>
      <x:c r="O20" s="179"/>
    </x:row>
    <x:row r="21">
      <x:c r="A21" t="s">
        <x:v>546</x:v>
      </x:c>
      <x:c r="B21" s="71" t="n">
        <x:f t="shared" ref="B21:M21" si="3">B16</x:f>
        <x:v>-1482.2922827857146</x:v>
      </x:c>
      <x:c r="C21" s="71" t="n">
        <x:f t="shared" si="3">C16</x:f>
        <x:v>-1482.2922827857146</x:v>
      </x:c>
      <x:c r="D21" s="71" t="n">
        <x:f t="shared" si="3">D16</x:f>
        <x:v>-2423.7922827857146</x:v>
      </x:c>
      <x:c r="E21" s="71" t="n">
        <x:f t="shared" si="3">E16</x:f>
        <x:v>-1482.2922827857146</x:v>
      </x:c>
      <x:c r="F21" s="71" t="n">
        <x:f t="shared" si="3">F16</x:f>
        <x:v>1060.5577172142857</x:v>
      </x:c>
      <x:c r="G21" s="71" t="n">
        <x:f t="shared" si="3">G16</x:f>
        <x:v>2099.0577172142857</x:v>
      </x:c>
      <x:c r="H21" s="71" t="n">
        <x:f t="shared" si="3">H16</x:f>
        <x:v>5214.557717214286</x:v>
      </x:c>
      <x:c r="I21" s="71" t="n">
        <x:f t="shared" si="3">I16</x:f>
        <x:v>4176.057717214286</x:v>
      </x:c>
      <x:c r="J21" s="71" t="n">
        <x:f t="shared" si="3">J16</x:f>
        <x:v>7859.057717214288</x:v>
      </x:c>
      <x:c r="K21" s="71" t="n">
        <x:f t="shared" si="3">K16</x:f>
        <x:v>4169.057717214286</x:v>
      </x:c>
      <x:c r="L21" s="71" t="n">
        <x:f t="shared" si="3">L16</x:f>
        <x:v>6629.057717214288</x:v>
      </x:c>
      <x:c r="M21" s="71" t="n">
        <x:f t="shared" si="3">M16</x:f>
        <x:v>7859.057717214288</x:v>
      </x:c>
      <x:c r="N21" s="71"/>
      <x:c r="O21" s="71" t="n">
        <x:f>SUM(B21:M21)</x:f>
        <x:v>32195.792606571435</x:v>
      </x:c>
    </x:row>
    <x:row r="22">
      <x:c r="A22" t="s">
        <x:v>547</x:v>
      </x:c>
      <x:c r="B22" s="71" t="n">
        <x:f t="shared" ref="B22:M22" si="4">B13</x:f>
        <x:v>1715.9422827857143</x:v>
      </x:c>
      <x:c r="C22" s="71" t="n">
        <x:f t="shared" si="4">C13</x:f>
        <x:v>1715.9422827857143</x:v>
      </x:c>
      <x:c r="D22" s="71" t="n">
        <x:f t="shared" si="4">D13</x:f>
        <x:v>1715.9422827857143</x:v>
      </x:c>
      <x:c r="E22" s="71" t="n">
        <x:f t="shared" si="4">E13</x:f>
        <x:v>1715.9422827857143</x:v>
      </x:c>
      <x:c r="F22" s="71" t="n">
        <x:f t="shared" si="4">F13</x:f>
        <x:v>1715.9422827857143</x:v>
      </x:c>
      <x:c r="G22" s="71" t="n">
        <x:f t="shared" si="4">G13</x:f>
        <x:v>1715.9422827857143</x:v>
      </x:c>
      <x:c r="H22" s="71" t="n">
        <x:f t="shared" si="4">H13</x:f>
        <x:v>1715.9422827857143</x:v>
      </x:c>
      <x:c r="I22" s="71" t="n">
        <x:f t="shared" si="4">I13</x:f>
        <x:v>1715.9422827857143</x:v>
      </x:c>
      <x:c r="J22" s="71" t="n">
        <x:f t="shared" si="4">J13</x:f>
        <x:v>1715.9422827857143</x:v>
      </x:c>
      <x:c r="K22" s="71" t="n">
        <x:f t="shared" si="4">K13</x:f>
        <x:v>1715.9422827857143</x:v>
      </x:c>
      <x:c r="L22" s="71" t="n">
        <x:f t="shared" si="4">L13</x:f>
        <x:v>1715.9422827857143</x:v>
      </x:c>
      <x:c r="M22" s="71" t="n">
        <x:f t="shared" si="4">M13</x:f>
        <x:v>1715.9422827857143</x:v>
      </x:c>
      <x:c r="N22" s="71"/>
      <x:c r="O22" s="71" t="n">
        <x:f>SUM(B22:M22)</x:f>
        <x:v>20591.30739342857</x:v>
      </x:c>
    </x:row>
    <x:row r="23">
      <x:c r="A23" t="s">
        <x:v>548</x:v>
      </x:c>
      <x:c r="B23" s="71" t="n">
        <x:f>-'CAPITAL DE TRABAJO'!$E$29/12</x:f>
        <x:v>-1784.020688716483</x:v>
      </x:c>
      <x:c r="C23" s="71" t="n">
        <x:f>-'CAPITAL DE TRABAJO'!$E$29/12</x:f>
        <x:v>-1784.020688716483</x:v>
      </x:c>
      <x:c r="D23" s="71" t="n">
        <x:f>-'CAPITAL DE TRABAJO'!$E$29/12</x:f>
        <x:v>-1784.020688716483</x:v>
      </x:c>
      <x:c r="E23" s="71" t="n">
        <x:f>-'CAPITAL DE TRABAJO'!$E$29/12</x:f>
        <x:v>-1784.020688716483</x:v>
      </x:c>
      <x:c r="F23" s="71" t="n">
        <x:f>-'CAPITAL DE TRABAJO'!$E$29/12</x:f>
        <x:v>-1784.020688716483</x:v>
      </x:c>
      <x:c r="G23" s="71" t="n">
        <x:f>-'CAPITAL DE TRABAJO'!$E$29/12</x:f>
        <x:v>-1784.020688716483</x:v>
      </x:c>
      <x:c r="H23" s="71" t="n">
        <x:f>-'CAPITAL DE TRABAJO'!$E$29/12</x:f>
        <x:v>-1784.020688716483</x:v>
      </x:c>
      <x:c r="I23" s="71" t="n">
        <x:f>-'CAPITAL DE TRABAJO'!$E$29/12</x:f>
        <x:v>-1784.020688716483</x:v>
      </x:c>
      <x:c r="J23" s="71" t="n">
        <x:f>-'CAPITAL DE TRABAJO'!$E$29/12</x:f>
        <x:v>-1784.020688716483</x:v>
      </x:c>
      <x:c r="K23" s="71" t="n">
        <x:f>-'CAPITAL DE TRABAJO'!$E$29/12</x:f>
        <x:v>-1784.020688716483</x:v>
      </x:c>
      <x:c r="L23" s="71" t="n">
        <x:f>-'CAPITAL DE TRABAJO'!$E$29/12</x:f>
        <x:v>-1784.020688716483</x:v>
      </x:c>
      <x:c r="M23" s="71" t="n">
        <x:f>-'CAPITAL DE TRABAJO'!$E$29/12</x:f>
        <x:v>-1784.020688716483</x:v>
      </x:c>
      <x:c r="N23" s="71"/>
      <x:c r="O23" s="71" t="n">
        <x:f>SUM(B23:M23)</x:f>
        <x:v>-21408.24826459779</x:v>
      </x:c>
    </x:row>
    <x:row r="24">
      <x:c r="A24" t="s">
        <x:v>549</x:v>
      </x:c>
      <x:c r="B24" s="71" t="n">
        <x:f>-'RESUMEN ECONOMICO'!$B$15/12</x:f>
        <x:v>-174.96493838809522</x:v>
      </x:c>
      <x:c r="C24" s="71" t="n">
        <x:f>-'RESUMEN ECONOMICO'!$B$15/12</x:f>
        <x:v>-174.96493838809522</x:v>
      </x:c>
      <x:c r="D24" s="71" t="n">
        <x:f>-'RESUMEN ECONOMICO'!$B$15/12</x:f>
        <x:v>-174.96493838809522</x:v>
      </x:c>
      <x:c r="E24" s="71" t="n">
        <x:f>-'RESUMEN ECONOMICO'!$B$15/12</x:f>
        <x:v>-174.96493838809522</x:v>
      </x:c>
      <x:c r="F24" s="71" t="n">
        <x:f>-'RESUMEN ECONOMICO'!$B$15/12</x:f>
        <x:v>-174.96493838809522</x:v>
      </x:c>
      <x:c r="G24" s="71" t="n">
        <x:f>-'RESUMEN ECONOMICO'!$B$15/12</x:f>
        <x:v>-174.96493838809522</x:v>
      </x:c>
      <x:c r="H24" s="71" t="n">
        <x:f>-'RESUMEN ECONOMICO'!$B$15/12</x:f>
        <x:v>-174.96493838809522</x:v>
      </x:c>
      <x:c r="I24" s="71" t="n">
        <x:f>-'RESUMEN ECONOMICO'!$B$15/12</x:f>
        <x:v>-174.96493838809522</x:v>
      </x:c>
      <x:c r="J24" s="71" t="n">
        <x:f>-'RESUMEN ECONOMICO'!$B$15/12</x:f>
        <x:v>-174.96493838809522</x:v>
      </x:c>
      <x:c r="K24" s="71" t="n">
        <x:f>-'RESUMEN ECONOMICO'!$B$15/12</x:f>
        <x:v>-174.96493838809522</x:v>
      </x:c>
      <x:c r="L24" s="71" t="n">
        <x:f>-'RESUMEN ECONOMICO'!$B$15/12</x:f>
        <x:v>-174.96493838809522</x:v>
      </x:c>
      <x:c r="M24" s="71" t="n">
        <x:f>-'RESUMEN ECONOMICO'!$B$15/12</x:f>
        <x:v>-174.96493838809522</x:v>
      </x:c>
      <x:c r="N24" s="71"/>
      <x:c r="O24" s="71" t="n">
        <x:f>SUM(B24:M24)</x:f>
        <x:v>-2099.579260657142</x:v>
      </x:c>
    </x:row>
    <x:row r="25">
      <x:c r="A25" s="139" t="s">
        <x:v>550</x:v>
      </x:c>
      <x:c r="B25" s="79" t="n">
        <x:f t="shared" ref="B25:M25" si="5">B21+B22+B23+B24</x:f>
        <x:v>-1725.3356271045786</x:v>
      </x:c>
      <x:c r="C25" s="79" t="n">
        <x:f t="shared" si="5">C21+C22+C23+C24</x:f>
        <x:v>-1725.3356271045786</x:v>
      </x:c>
      <x:c r="D25" s="79" t="n">
        <x:f t="shared" si="5">D21+D22+D23+D24</x:f>
        <x:v>-2666.8356271045786</x:v>
      </x:c>
      <x:c r="E25" s="79" t="n">
        <x:f t="shared" si="5">E21+E22+E23+E24</x:f>
        <x:v>-1725.3356271045786</x:v>
      </x:c>
      <x:c r="F25" s="79" t="n">
        <x:f t="shared" si="5">F21+F22+F23+F24</x:f>
        <x:v>817.5143728954218</x:v>
      </x:c>
      <x:c r="G25" s="79" t="n">
        <x:f t="shared" si="5">G21+G22+G23+G24</x:f>
        <x:v>1856.0143728954217</x:v>
      </x:c>
      <x:c r="H25" s="79" t="n">
        <x:f t="shared" si="5">H21+H22+H23+H24</x:f>
        <x:v>4971.514372895422</x:v>
      </x:c>
      <x:c r="I25" s="79" t="n">
        <x:f t="shared" si="5">I21+I22+I23+I24</x:f>
        <x:v>3933.0143728954217</x:v>
      </x:c>
      <x:c r="J25" s="79" t="n">
        <x:f t="shared" si="5">J21+J22+J23+J24</x:f>
        <x:v>7616.014372895424</x:v>
      </x:c>
      <x:c r="K25" s="79" t="n">
        <x:f t="shared" si="5">K21+K22+K23+K24</x:f>
        <x:v>3926.0143728954217</x:v>
      </x:c>
      <x:c r="L25" s="79" t="n">
        <x:f t="shared" si="5">L21+L22+L23+L24</x:f>
        <x:v>6386.014372895424</x:v>
      </x:c>
      <x:c r="M25" s="79" t="n">
        <x:f t="shared" si="5">M21+M22+M23+M24</x:f>
        <x:v>7616.014372895424</x:v>
      </x:c>
      <x:c r="N25" s="79"/>
      <x:c r="O25" s="79" t="n">
        <x:f>SUM(B25:M25)</x:f>
        <x:v>29279.272474745067</x:v>
      </x:c>
    </x:row>
    <x:row r="26">
      <x:c r="A26" s="67" t="s">
        <x:v>551</x:v>
      </x:c>
      <x:c r="B26" s="93" t="n">
        <x:f>0</x:f>
        <x:v>0</x:v>
      </x:c>
      <x:c r="C26" s="93" t="n">
        <x:f>0</x:f>
        <x:v>0</x:v>
      </x:c>
      <x:c r="D26" s="93" t="n">
        <x:f>0</x:f>
        <x:v>0</x:v>
      </x:c>
      <x:c r="E26" s="93" t="n">
        <x:f>0</x:f>
        <x:v>0</x:v>
      </x:c>
      <x:c r="F26" s="93" t="n">
        <x:f>-INVERSION!$D$56</x:f>
        <x:v>-34147.215722448986</x:v>
      </x:c>
      <x:c r="G26" s="93" t="n">
        <x:f>0</x:f>
        <x:v>0</x:v>
      </x:c>
      <x:c r="H26" s="93" t="n">
        <x:f>0</x:f>
        <x:v>0</x:v>
      </x:c>
      <x:c r="I26" s="93" t="n">
        <x:f>0</x:f>
        <x:v>0</x:v>
      </x:c>
      <x:c r="J26" s="93" t="n">
        <x:f>0</x:f>
        <x:v>0</x:v>
      </x:c>
      <x:c r="K26" s="93" t="n">
        <x:f>0</x:f>
        <x:v>0</x:v>
      </x:c>
      <x:c r="L26" s="93" t="n">
        <x:f>0</x:f>
        <x:v>0</x:v>
      </x:c>
      <x:c r="M26" s="93" t="n">
        <x:f>0</x:f>
        <x:v>0</x:v>
      </x:c>
      <x:c r="N26" s="93"/>
      <x:c r="O26" s="93" t="n">
        <x:f>SUM(B26:M26)</x:f>
        <x:v>-34147.215722448986</x:v>
      </x:c>
    </x:row>
    <x:row r="27">
      <x:c r="A27" s="1" t="s">
        <x:v>552</x:v>
      </x:c>
      <x:c r="B27" s="72" t="n">
        <x:f>B36</x:f>
        <x:v>72572.668865492</x:v>
      </x:c>
      <x:c r="C27" s="71"/>
      <x:c r="D27" s="71"/>
      <x:c r="E27" s="71"/>
      <x:c r="F27" s="71"/>
      <x:c r="G27" s="71"/>
      <x:c r="H27" s="71"/>
      <x:c r="I27" s="71"/>
      <x:c r="J27" s="71"/>
      <x:c r="K27" s="71"/>
      <x:c r="L27" s="71"/>
      <x:c r="M27" s="71"/>
      <x:c r="N27" s="71"/>
      <x:c r="O27" s="71"/>
    </x:row>
    <x:row r="28">
      <x:c r="A28" s="139" t="s">
        <x:v>553</x:v>
      </x:c>
      <x:c r="B28" s="79" t="n">
        <x:f>B27+B25+B26</x:f>
        <x:v>70847.33323838742</x:v>
      </x:c>
      <x:c r="C28" s="79" t="n">
        <x:f t="shared" ref="C28:M28" si="6">B28+C25+C26</x:f>
        <x:v>69121.99761128284</x:v>
      </x:c>
      <x:c r="D28" s="79">
        <x:f t="shared" si="6"/>
        <x:v>70040.006799342547</x:v>
      </x:c>
      <x:c r="E28" s="79">
        <x:f t="shared" si="6"/>
        <x:v>67587.486110626065</x:v>
      </x:c>
      <x:c r="F28" s="79">
        <x:f t="shared" si="6"/>
        <x:v>32259.749699460597</x:v>
      </x:c>
      <x:c r="G28" s="79">
        <x:f t="shared" si="6"/>
        <x:v>32062.729010744115</x:v>
      </x:c>
      <x:c r="H28" s="79">
        <x:f t="shared" si="6"/>
        <x:v>33832.708322027633</x:v>
      </x:c>
      <x:c r="I28" s="79">
        <x:f t="shared" si="6"/>
        <x:v>34619.18763331115</x:v>
      </x:c>
      <x:c r="J28" s="79">
        <x:f t="shared" si="6"/>
        <x:v>37865.916944594668</x:v>
      </x:c>
      <x:c r="K28" s="79">
        <x:f t="shared" si="6"/>
        <x:v>39942.646255878186</x:v>
      </x:c>
      <x:c r="L28" s="79">
        <x:f t="shared" si="6"/>
        <x:v>43189.375567161704</x:v>
      </x:c>
      <x:c r="M28" s="79">
        <x:f t="shared" si="6"/>
        <x:v>46436.104878445221</x:v>
      </x:c>
      <x:c r="N28" s="79"/>
      <x:c r="O28" s="79"/>
    </x:row>
    <x:row r="29"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  <x:c r="L29" s="71"/>
      <x:c r="M29" s="71"/>
      <x:c r="N29" s="71"/>
      <x:c r="O29" s="71"/>
    </x:row>
    <x:row r="30">
      <x:c r="A30" s="182" t="s">
        <x:v>554</x:v>
      </x:c>
      <x:c r="B30" s="179"/>
      <x:c r="C30" s="179"/>
      <x:c r="D30" s="179"/>
      <x:c r="E30" s="179"/>
      <x:c r="F30" s="71"/>
      <x:c r="G30" s="71"/>
      <x:c r="H30" s="71"/>
      <x:c r="I30" s="71"/>
      <x:c r="J30" s="71"/>
      <x:c r="K30" s="71"/>
      <x:c r="L30" s="71"/>
      <x:c r="M30" s="71"/>
      <x:c r="N30" s="71"/>
      <x:c r="O30" s="71"/>
    </x:row>
    <x:row r="31">
      <x:c r="A31" t="s">
        <x:v>555</x:v>
      </x:c>
      <x:c r="B31" s="71" t="n">
        <x:f>'CAPITAL DE TRABAJO'!B20</x:f>
        <x:v>102005.561705492</x:v>
      </x:c>
      <x:c r="C31" s="71"/>
      <x:c r="D31" s="71"/>
      <x:c r="E31" s="71"/>
      <x:c r="F31" s="71"/>
      <x:c r="G31" s="71"/>
      <x:c r="H31" s="71"/>
      <x:c r="I31" s="71"/>
      <x:c r="J31" s="71"/>
      <x:c r="K31" s="71"/>
      <x:c r="L31" s="71"/>
      <x:c r="M31" s="71"/>
      <x:c r="N31" s="71"/>
      <x:c r="O31" s="71"/>
    </x:row>
    <x:row r="32">
      <x:c r="A32" t="s">
        <x:v>556</x:v>
      </x:c>
      <x:c r="B32" s="71" t="n">
        <x:f>'CAPITAL DE TRABAJO'!B21</x:f>
        <x:v>40000</x:v>
      </x:c>
      <x:c r="C32" s="71"/>
      <x:c r="D32" s="71"/>
      <x:c r="E32" s="71"/>
      <x:c r="F32" s="71"/>
      <x:c r="G32" s="71"/>
      <x:c r="H32" s="71"/>
      <x:c r="I32" s="71"/>
      <x:c r="J32" s="71"/>
      <x:c r="K32" s="71"/>
      <x:c r="L32" s="71"/>
      <x:c r="M32" s="71"/>
      <x:c r="N32" s="71"/>
      <x:c r="O32" s="71"/>
    </x:row>
    <x:row r="33">
      <x:c r="A33" t="s">
        <x:v>557</x:v>
      </x:c>
      <x:c r="B33" s="71" t="n">
        <x:f>-(INVERSION!D18+INVERSION!D36)</x:f>
        <x:v>-63832.89284</x:v>
      </x:c>
      <x:c r="C33" s="71"/>
      <x:c r="D33" s="71"/>
      <x:c r="E33" s="71"/>
      <x:c r="F33" s="71"/>
      <x:c r="G33" s="71"/>
      <x:c r="H33" s="71"/>
      <x:c r="I33" s="71"/>
      <x:c r="J33" s="71"/>
      <x:c r="K33" s="71"/>
      <x:c r="L33" s="71"/>
      <x:c r="M33" s="71"/>
      <x:c r="N33" s="71"/>
      <x:c r="O33" s="71"/>
    </x:row>
    <x:row r="34">
      <x:c r="A34" t="s">
        <x:v>558</x:v>
      </x:c>
      <x:c r="B34" s="71" t="n">
        <x:f>-'CAPITAL DE TRABAJO'!B9</x:f>
        <x:v>-800</x:v>
      </x:c>
      <x:c r="C34" s="71"/>
      <x:c r="D34" s="71"/>
      <x:c r="E34" s="71"/>
      <x:c r="F34" s="71"/>
      <x:c r="G34" s="71"/>
      <x:c r="H34" s="71"/>
      <x:c r="I34" s="71"/>
      <x:c r="J34" s="71"/>
      <x:c r="K34" s="71"/>
      <x:c r="L34" s="71"/>
      <x:c r="M34" s="71"/>
      <x:c r="N34" s="71"/>
      <x:c r="O34" s="71"/>
    </x:row>
    <x:row r="35">
      <x:c r="A35" t="s">
        <x:v>559</x:v>
      </x:c>
      <x:c r="B35" s="71" t="n">
        <x:f>-'CAPITAL DE TRABAJO'!B7</x:f>
        <x:v>-4800</x:v>
      </x:c>
      <x:c r="C35" s="71"/>
      <x:c r="D35" s="71"/>
      <x:c r="E35" s="71"/>
      <x:c r="F35" s="71"/>
      <x:c r="G35" s="71"/>
      <x:c r="H35" s="71"/>
      <x:c r="I35" s="71"/>
      <x:c r="J35" s="71"/>
      <x:c r="K35" s="71"/>
      <x:c r="L35" s="71"/>
      <x:c r="M35" s="71"/>
      <x:c r="N35" s="71"/>
      <x:c r="O35" s="71"/>
    </x:row>
    <x:row r="36">
      <x:c r="A36" s="40" t="s">
        <x:v>560</x:v>
      </x:c>
      <x:c r="B36" s="94" t="n">
        <x:f>SUM(B31:B35)</x:f>
        <x:v>72572.668865492</x:v>
      </x:c>
      <x:c r="C36" s="71"/>
      <x:c r="D36" s="71"/>
      <x:c r="E36" s="71"/>
      <x:c r="F36" s="71"/>
      <x:c r="G36" s="71"/>
      <x:c r="H36" s="71"/>
      <x:c r="I36" s="71"/>
      <x:c r="J36" s="71"/>
      <x:c r="K36" s="71"/>
      <x:c r="L36" s="71"/>
      <x:c r="M36" s="71"/>
      <x:c r="N36" s="71"/>
      <x:c r="O36" s="71"/>
    </x:row>
    <x:row r="37"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  <x:c r="L37" s="71"/>
      <x:c r="M37" s="71"/>
      <x:c r="N37" s="71"/>
      <x:c r="O37" s="71"/>
    </x:row>
    <x:row r="38">
      <x:c r="A38" s="187" t="str">
        <x:v>Lectura ajustada: el modelo limita ventas por capacidad/demanda, mantiene técnicos escalonados y aplica una escala salarial de socios compatible con RMV. La viabilidad depende de sostener el mix y las tarifas revisadas.</x:v>
      </x:c>
      <x:c r="B38" s="179"/>
      <x:c r="C38" s="179"/>
      <x:c r="D38" s="179"/>
      <x:c r="E38" s="179"/>
      <x:c r="F38" s="179"/>
      <x:c r="G38" s="179"/>
      <x:c r="H38" s="179"/>
      <x:c r="I38" s="179"/>
      <x:c r="J38" s="179"/>
      <x:c r="K38" s="179"/>
      <x:c r="L38" s="179"/>
      <x:c r="M38" s="179"/>
      <x:c r="N38" s="179"/>
      <x:c r="O38" s="179"/>
    </x:row>
    <x:row r="39">
      <x:c r="A39" s="179"/>
      <x:c r="B39" s="179"/>
      <x:c r="C39" s="179"/>
      <x:c r="D39" s="179"/>
      <x:c r="E39" s="179"/>
      <x:c r="F39" s="179"/>
      <x:c r="G39" s="179"/>
      <x:c r="H39" s="179"/>
      <x:c r="I39" s="179"/>
      <x:c r="J39" s="179"/>
      <x:c r="K39" s="179"/>
      <x:c r="L39" s="179"/>
      <x:c r="M39" s="179"/>
      <x:c r="N39" s="179"/>
      <x:c r="O39" s="179"/>
    </x:row>
    <x:row r="40"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  <x:c r="L40" s="71"/>
      <x:c r="M40" s="71"/>
      <x:c r="N40" s="71"/>
      <x:c r="O40" s="71"/>
    </x:row>
    <x:row r="41">
      <x:c r="A41" s="182" t="s">
        <x:v>561</x:v>
      </x:c>
      <x:c r="B41" s="179"/>
      <x:c r="C41" s="179"/>
      <x:c r="D41" s="179"/>
      <x:c r="E41" s="179"/>
      <x:c r="F41" s="179"/>
      <x:c r="G41" s="71"/>
      <x:c r="H41" s="71"/>
      <x:c r="I41" s="71"/>
      <x:c r="J41" s="71"/>
      <x:c r="K41" s="71"/>
      <x:c r="L41" s="71"/>
      <x:c r="M41" s="71"/>
      <x:c r="N41" s="71"/>
      <x:c r="O41" s="71"/>
    </x:row>
    <x:row r="42">
      <x:c r="B42" s="71"/>
      <x:c r="C42" s="71"/>
      <x:c r="D42" s="71"/>
      <x:c r="E42" s="71"/>
      <x:c r="F42" s="71"/>
      <x:c r="G42" s="71"/>
      <x:c r="H42" s="71"/>
      <x:c r="I42" s="71"/>
      <x:c r="J42" s="71"/>
      <x:c r="K42" s="71"/>
      <x:c r="L42" s="71"/>
      <x:c r="M42" s="71"/>
      <x:c r="N42" s="71"/>
      <x:c r="O42" s="71"/>
    </x:row>
    <x:row r="43">
      <x:c r="A43" s="1" t="s">
        <x:v>562</x:v>
      </x:c>
      <x:c r="B43" s="90">
        <x:v>0.14000000000000001</x:v>
      </x:c>
      <x:c r="C43" s="71" t="s">
        <x:v>563</x:v>
      </x:c>
      <x:c r="D43" s="71"/>
      <x:c r="E43" s="71"/>
      <x:c r="F43" s="71"/>
      <x:c r="G43" s="71"/>
      <x:c r="H43" s="71"/>
      <x:c r="I43" s="71"/>
      <x:c r="J43" s="71"/>
      <x:c r="K43" s="71"/>
      <x:c r="L43" s="71"/>
      <x:c r="M43" s="71"/>
      <x:c r="N43" s="71"/>
      <x:c r="O43" s="71"/>
    </x:row>
    <x:row r="44">
      <x:c r="A44" t="s">
        <x:v>564</x:v>
      </x:c>
      <x:c r="B44" s="65">
        <x:v>2.5000000000000001E-2</x:v>
      </x:c>
      <x:c r="C44" s="71" t="s">
        <x:v>565</x:v>
      </x:c>
      <x:c r="D44" s="71"/>
      <x:c r="E44" s="71"/>
      <x:c r="F44" s="71"/>
      <x:c r="G44" s="71"/>
      <x:c r="H44" s="71"/>
      <x:c r="I44" s="71"/>
      <x:c r="J44" s="71"/>
      <x:c r="K44" s="71"/>
      <x:c r="L44" s="71"/>
      <x:c r="M44" s="71"/>
      <x:c r="N44" s="71"/>
      <x:c r="O44" s="71"/>
    </x:row>
    <x:row r="45">
      <x:c r="A45" t="s">
        <x:v>566</x:v>
      </x:c>
      <x:c r="B45" s="65">
        <x:v>0.1</x:v>
      </x:c>
      <x:c r="C45" s="71" t="s">
        <x:v>567</x:v>
      </x:c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  <x:c r="O45" s="71"/>
    </x:row>
    <x:row r="46">
      <x:c r="A46" s="142" t="s">
        <x:v>568</x:v>
      </x:c>
      <x:c r="B46" s="133" t="s">
        <x:v>569</x:v>
      </x:c>
      <x:c r="C46" s="133" t="s">
        <x:v>570</x:v>
      </x:c>
      <x:c r="D46" s="133" t="s">
        <x:v>571</x:v>
      </x:c>
      <x:c r="E46" s="133" t="s">
        <x:v>572</x:v>
      </x:c>
      <x:c r="F46" s="71"/>
      <x:c r="G46" s="71"/>
      <x:c r="H46" s="71"/>
      <x:c r="I46" s="71"/>
      <x:c r="J46" s="71"/>
      <x:c r="K46" s="71"/>
      <x:c r="L46" s="71"/>
      <x:c r="M46" s="71"/>
      <x:c r="N46" s="71"/>
      <x:c r="O46" s="71"/>
    </x:row>
    <x:row r="47">
      <x:c r="A47" t="s">
        <x:v>573</x:v>
      </x:c>
      <x:c r="B47" s="71"/>
      <x:c r="C47" s="71" t="n">
        <x:f>'PROYECCION DE VENTAS'!B19</x:f>
        <x:v>143</x:v>
      </x:c>
      <x:c r="D47" s="73">
        <x:v>180</x:v>
      </x:c>
      <x:c r="E47" s="73">
        <x:v>192</x:v>
      </x:c>
      <x:c r="F47" s="71"/>
      <x:c r="G47" s="71"/>
      <x:c r="H47" s="71"/>
      <x:c r="I47" s="71"/>
      <x:c r="J47" s="71"/>
      <x:c r="K47" s="71"/>
      <x:c r="L47" s="71"/>
      <x:c r="M47" s="71"/>
      <x:c r="N47" s="71"/>
      <x:c r="O47" s="71"/>
    </x:row>
    <x:row r="48">
      <x:c r="A48" t="s">
        <x:v>574</x:v>
      </x:c>
      <x:c r="B48" s="71"/>
      <x:c r="C48" s="71" t="n">
        <x:f>O7</x:f>
        <x:v>199742.5</x:v>
      </x:c>
      <x:c r="D48" s="71" t="n">
        <x:f>D47*'PROYECCION DE VENTAS'!$B$3</x:f>
        <x:v>251424.12587412586</x:v>
      </x:c>
      <x:c r="E48" s="71" t="n">
        <x:f>E47*'PROYECCION DE VENTAS'!$B$3</x:f>
        <x:v>268185.73426573427</x:v>
      </x:c>
      <x:c r="F48" s="71"/>
      <x:c r="G48" s="71"/>
      <x:c r="H48" s="71"/>
      <x:c r="I48" s="71"/>
      <x:c r="J48" s="71"/>
      <x:c r="K48" s="71"/>
      <x:c r="L48" s="71"/>
      <x:c r="M48" s="71"/>
      <x:c r="N48" s="71"/>
      <x:c r="O48" s="71"/>
    </x:row>
    <x:row r="49">
      <x:c r="A49" t="s">
        <x:v>575</x:v>
      </x:c>
      <x:c r="B49" s="71"/>
      <x:c r="C49" s="71" t="n">
        <x:f>-'FLUJO DE CAJA'!O10</x:f>
        <x:v>-42754</x:v>
      </x:c>
      <x:c r="D49" s="71" t="n">
        <x:f>-D47*'C. PRODUCCION'!$E$32</x:f>
        <x:v>-53816.22377622377</x:v>
      </x:c>
      <x:c r="E49" s="71" t="n">
        <x:f>-E47*'C. PRODUCCION'!$E$32</x:f>
        <x:v>-57403.97202797202</x:v>
      </x:c>
      <x:c r="F49" s="71"/>
      <x:c r="G49" s="71"/>
      <x:c r="H49" s="71"/>
      <x:c r="I49" s="71"/>
      <x:c r="J49" s="71"/>
      <x:c r="K49" s="71"/>
      <x:c r="L49" s="71"/>
      <x:c r="M49" s="71"/>
      <x:c r="N49" s="71"/>
      <x:c r="O49" s="71"/>
    </x:row>
    <x:row r="50">
      <x:c r="A50" t="s">
        <x:v>576</x:v>
      </x:c>
      <x:c r="B50" s="71"/>
      <x:c r="C50" s="71" t="n">
        <x:f>-('GASTOS ADMINISTRATIVOS'!$C$8+'G. VENTAS'!$C$8)</x:f>
        <x:v>-104201.4</x:v>
      </x:c>
      <x:c r="D50" s="71" t="n">
        <x:f>C50*(1+$B$44)</x:f>
        <x:v>-106806.43499999998</x:v>
      </x:c>
      <x:c r="E50" s="71" t="n">
        <x:f>D50*(1+$B$44)</x:f>
        <x:v>-109476.59587499997</x:v>
      </x:c>
      <x:c r="F50" s="71"/>
      <x:c r="G50" s="71"/>
      <x:c r="H50" s="71"/>
      <x:c r="I50" s="71"/>
      <x:c r="J50" s="71"/>
      <x:c r="K50" s="71"/>
      <x:c r="L50" s="71"/>
      <x:c r="M50" s="71"/>
      <x:c r="N50" s="71"/>
      <x:c r="O50" s="71"/>
    </x:row>
    <x:row r="51">
      <x:c r="A51" t="s">
        <x:v>577</x:v>
      </x:c>
      <x:c r="B51" s="71"/>
      <x:c r="C51" s="71" t="n">
        <x:f>-INVERSION!$D$51*12</x:f>
        <x:v>-20591.30739342857</x:v>
      </x:c>
      <x:c r="D51" s="71" t="n">
        <x:f>-INVERSION!$D$51*12</x:f>
        <x:v>-20591.30739342857</x:v>
      </x:c>
      <x:c r="E51" s="71" t="n">
        <x:f>-INVERSION!$D$51*12</x:f>
        <x:v>-20591.30739342857</x:v>
      </x:c>
      <x:c r="F51" s="71"/>
      <x:c r="G51" s="71"/>
      <x:c r="H51" s="71"/>
      <x:c r="I51" s="71"/>
      <x:c r="J51" s="71"/>
      <x:c r="K51" s="71"/>
      <x:c r="L51" s="71"/>
      <x:c r="M51" s="71"/>
      <x:c r="N51" s="71"/>
      <x:c r="O51" s="71"/>
    </x:row>
    <x:row r="52">
      <x:c r="A52" s="134" t="s">
        <x:v>578</x:v>
      </x:c>
      <x:c r="B52" s="135"/>
      <x:c r="C52" s="135" t="n">
        <x:f>SUM(C48:C51)</x:f>
        <x:v>32195.792606571435</x:v>
      </x:c>
      <x:c r="D52" s="135" t="n">
        <x:f>SUM(D48:D51)</x:f>
        <x:v>70210.15970447354</x:v>
      </x:c>
      <x:c r="E52" s="135" t="n">
        <x:f>SUM(E48:E51)</x:f>
        <x:v>80713.8589693337</x:v>
      </x:c>
      <x:c r="F52" s="71"/>
      <x:c r="G52" s="71"/>
      <x:c r="H52" s="71"/>
      <x:c r="I52" s="71"/>
      <x:c r="J52" s="71"/>
      <x:c r="K52" s="71"/>
      <x:c r="L52" s="71"/>
      <x:c r="M52" s="71"/>
      <x:c r="N52" s="71"/>
      <x:c r="O52" s="71"/>
    </x:row>
    <x:row r="53">
      <x:c r="A53" t="s">
        <x:v>579</x:v>
      </x:c>
      <x:c r="B53" s="71"/>
      <x:c r="C53" s="71" t="n">
        <x:f>-MAX(0,C52)*$B$45</x:f>
        <x:v>-3219.5792606571435</x:v>
      </x:c>
      <x:c r="D53" s="71" t="n">
        <x:f>-MAX(0,D52)*$B$45</x:f>
        <x:v>-7021.015970447354</x:v>
      </x:c>
      <x:c r="E53" s="71" t="n">
        <x:f>-MAX(0,E52)*$B$45</x:f>
        <x:v>-8071.3858969333705</x:v>
      </x:c>
      <x:c r="F53" s="71"/>
      <x:c r="G53" s="71"/>
      <x:c r="H53" s="71"/>
      <x:c r="I53" s="71"/>
      <x:c r="J53" s="71"/>
      <x:c r="K53" s="71"/>
      <x:c r="L53" s="71"/>
      <x:c r="M53" s="71"/>
      <x:c r="N53" s="71"/>
      <x:c r="O53" s="71"/>
    </x:row>
    <x:row r="54">
      <x:c r="A54" t="s">
        <x:v>580</x:v>
      </x:c>
      <x:c r="B54" s="71"/>
      <x:c r="C54" s="71" t="n">
        <x:f>C52+C53</x:f>
        <x:v>28976.21334591429</x:v>
      </x:c>
      <x:c r="D54" s="71" t="n">
        <x:f>D52+D53</x:f>
        <x:v>63189.143734026184</x:v>
      </x:c>
      <x:c r="E54" s="71" t="n">
        <x:f>E52+E53</x:f>
        <x:v>72642.47307240033</x:v>
      </x:c>
      <x:c r="F54" s="71"/>
      <x:c r="G54" s="71"/>
      <x:c r="H54" s="71"/>
      <x:c r="I54" s="71"/>
      <x:c r="J54" s="71"/>
      <x:c r="K54" s="71"/>
      <x:c r="L54" s="71"/>
      <x:c r="M54" s="71"/>
      <x:c r="N54" s="71"/>
      <x:c r="O54" s="71"/>
    </x:row>
    <x:row r="55">
      <x:c r="A55" t="s">
        <x:v>581</x:v>
      </x:c>
      <x:c r="B55" s="71"/>
      <x:c r="C55" s="71" t="n">
        <x:f>INVERSION!$D$51*12</x:f>
        <x:v>20591.30739342857</x:v>
      </x:c>
      <x:c r="D55" s="71" t="n">
        <x:f>INVERSION!$D$51*12</x:f>
        <x:v>20591.30739342857</x:v>
      </x:c>
      <x:c r="E55" s="71" t="n">
        <x:f>INVERSION!$D$51*12</x:f>
        <x:v>20591.30739342857</x:v>
      </x:c>
      <x:c r="F55" s="71"/>
      <x:c r="G55" s="71"/>
      <x:c r="H55" s="71"/>
      <x:c r="I55" s="71"/>
      <x:c r="J55" s="71"/>
      <x:c r="K55" s="71"/>
      <x:c r="L55" s="71"/>
      <x:c r="M55" s="71"/>
      <x:c r="N55" s="71"/>
      <x:c r="O55" s="71"/>
    </x:row>
    <x:row r="56">
      <x:c r="A56" t="s">
        <x:v>582</x:v>
      </x:c>
      <x:c r="B56" s="71" t="n">
        <x:f>-INVERSION!D46</x:f>
        <x:v>-142005.561705492</x:v>
      </x:c>
      <x:c r="C56" s="71" t="n">
        <x:f>-INVERSION!D56</x:f>
        <x:v>-34147.215722448986</x:v>
      </x:c>
      <x:c r="D56" s="71" t="n">
        <x:f>0</x:f>
        <x:v>0</x:v>
      </x:c>
      <x:c r="E56" s="71" t="n">
        <x:f>0</x:f>
        <x:v>0</x:v>
      </x:c>
      <x:c r="F56" s="71"/>
      <x:c r="G56" s="71"/>
      <x:c r="H56" s="71"/>
      <x:c r="I56" s="71"/>
      <x:c r="J56" s="71"/>
      <x:c r="K56" s="71"/>
      <x:c r="L56" s="71"/>
      <x:c r="M56" s="71"/>
      <x:c r="N56" s="71"/>
      <x:c r="O56" s="71"/>
    </x:row>
    <x:row r="57">
      <x:c r="A57" t="s">
        <x:v>583</x:v>
      </x:c>
      <x:c r="B57" s="71"/>
      <x:c r="C57" s="71"/>
      <x:c r="D57" s="71"/>
      <x:c r="E57" s="71" t="n">
        <x:f>'CAPITAL DE TRABAJO'!B11</x:f>
        <x:v>78172.668865492</x:v>
      </x:c>
      <x:c r="F57" s="71"/>
      <x:c r="G57" s="71"/>
      <x:c r="H57" s="71"/>
      <x:c r="I57" s="71"/>
      <x:c r="J57" s="71"/>
      <x:c r="K57" s="71"/>
      <x:c r="L57" s="71"/>
      <x:c r="M57" s="71"/>
      <x:c r="N57" s="71"/>
      <x:c r="O57" s="71"/>
    </x:row>
    <x:row r="58">
      <x:c r="A58" s="91" t="s">
        <x:v>584</x:v>
      </x:c>
      <x:c r="B58" s="95" t="n">
        <x:f>B56</x:f>
        <x:v>-142005.561705492</x:v>
      </x:c>
      <x:c r="C58" s="95" t="n">
        <x:f>SUM(C54:C57)</x:f>
        <x:v>15420.305016893872</x:v>
      </x:c>
      <x:c r="D58" s="95" t="n">
        <x:f>SUM(D54:D57)</x:f>
        <x:v>83780.45112745475</x:v>
      </x:c>
      <x:c r="E58" s="95" t="n">
        <x:f>SUM(E54:E57)</x:f>
        <x:v>171406.44933132088</x:v>
      </x:c>
      <x:c r="F58" s="71"/>
      <x:c r="G58" s="71"/>
      <x:c r="H58" s="71"/>
      <x:c r="I58" s="71"/>
      <x:c r="J58" s="71"/>
      <x:c r="K58" s="71"/>
      <x:c r="L58" s="71"/>
      <x:c r="M58" s="71"/>
      <x:c r="N58" s="71"/>
      <x:c r="O58" s="71"/>
    </x:row>
    <x:row r="59">
      <x:c r="A59" t="s">
        <x:v>585</x:v>
      </x:c>
      <x:c r="B59" s="71" t="n">
        <x:f>B58</x:f>
        <x:v>-142005.561705492</x:v>
      </x:c>
      <x:c r="C59" s="71" t="n">
        <x:f>C58/(1+$B$43)^1</x:f>
        <x:v>13526.583348152517</x:v>
      </x:c>
      <x:c r="D59" s="71" t="n">
        <x:f>D58/(1+$B$43)^2</x:f>
        <x:v>64466.33666316923</x:v>
      </x:c>
      <x:c r="E59" s="71" t="n">
        <x:f>E58/(1+$B$43)^3</x:f>
        <x:v>115694.4709919657</x:v>
      </x:c>
      <x:c r="F59" s="71"/>
      <x:c r="G59" s="71"/>
      <x:c r="H59" s="71"/>
      <x:c r="I59" s="71"/>
      <x:c r="J59" s="71"/>
      <x:c r="K59" s="71"/>
      <x:c r="L59" s="71"/>
      <x:c r="M59" s="71"/>
      <x:c r="N59" s="71"/>
      <x:c r="O59" s="71"/>
    </x:row>
    <x:row r="60">
      <x:c r="B60" s="71"/>
      <x:c r="C60" s="71"/>
      <x:c r="D60" s="71"/>
      <x:c r="E60" s="71"/>
      <x:c r="F60" s="71"/>
      <x:c r="G60" s="71"/>
      <x:c r="H60" s="71"/>
      <x:c r="I60" s="71"/>
      <x:c r="J60" s="71"/>
      <x:c r="K60" s="71"/>
      <x:c r="L60" s="71"/>
      <x:c r="M60" s="71"/>
      <x:c r="N60" s="71"/>
      <x:c r="O60" s="71"/>
    </x:row>
    <x:row r="61">
      <x:c r="A61" s="139" t="s">
        <x:v>586</x:v>
      </x:c>
      <x:c r="B61" s="79" t="n">
        <x:f>SUM(B59:E59)</x:f>
        <x:v>51681.829297795455</x:v>
      </x:c>
      <x:c r="C61" s="71"/>
      <x:c r="D61" s="71"/>
      <x:c r="E61" s="71"/>
      <x:c r="F61" s="71"/>
      <x:c r="G61" s="71"/>
      <x:c r="H61" s="71"/>
      <x:c r="I61" s="71"/>
      <x:c r="J61" s="71"/>
      <x:c r="K61" s="71"/>
      <x:c r="L61" s="71"/>
      <x:c r="M61" s="71"/>
      <x:c r="N61" s="71"/>
      <x:c r="O61" s="71"/>
    </x:row>
    <x:row r="62">
      <x:c r="A62" s="139" t="s">
        <x:v>587</x:v>
      </x:c>
      <x:c r="B62" s="92" t="n">
        <x:f>IRR(B58:E58,0.2)</x:f>
        <x:v>0.29051632541521966</x:v>
      </x:c>
    </x:row>
    <x:row r="63">
      <x:c r="A63" s="139" t="s">
        <x:v>588</x:v>
      </x:c>
      <x:c r="B63" s="199" t="str">
        <x:f>IF(AND(B61&gt;0,B62&gt;B43),"PROYECTO VIABLE (VAN&gt;0 y TIR&gt;COK)","REVISAR VIABILIDAD")</x:f>
        <x:v>PROYECTO VIABLE (VAN&gt;0 y TIR&gt;COK)</x:v>
      </x:c>
      <x:c r="C63" s="179"/>
      <x:c r="D63" s="179"/>
      <x:c r="E63" s="179"/>
    </x:row>
    <x:row r="65">
      <x:c r="A65" s="198" t="s">
        <x:v>589</x:v>
      </x:c>
      <x:c r="B65" s="179"/>
      <x:c r="C65" s="179"/>
      <x:c r="D65" s="179"/>
      <x:c r="E65" s="179"/>
      <x:c r="F65" s="179"/>
    </x:row>
    <x:row r="66">
      <x:c r="A66" s="179"/>
      <x:c r="B66" s="179"/>
      <x:c r="C66" s="179"/>
      <x:c r="D66" s="179"/>
      <x:c r="E66" s="179"/>
      <x:c r="F66" s="179"/>
    </x:row>
  </x:sheetData>
  <x:mergeCells>
    <x:mergeCell ref="A20:O20"/>
    <x:mergeCell ref="A1:O1"/>
    <x:mergeCell ref="A65:F66"/>
    <x:mergeCell ref="A38:O39"/>
    <x:mergeCell ref="A30:E30"/>
    <x:mergeCell ref="B63:E63"/>
    <x:mergeCell ref="A41:F4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10" defaultColWidth="11.42578125" defaultRowHeight="15"/>
  <x:cols>
    <x:col min="1" max="1" width="55.7109375" customWidth="1"/>
    <x:col min="2" max="2" width="16.7109375" customWidth="1"/>
    <x:col min="3" max="3" width="2" customWidth="1"/>
  </x:cols>
  <x:sheetData>
    <x:row r="1" ht="26.100000381469727" customHeight="1">
      <x:c r="A1" s="181" t="s">
        <x:v>590</x:v>
      </x:c>
      <x:c r="B1" s="179"/>
    </x:row>
    <x:row r="3">
      <x:c r="A3" s="142" t="s">
        <x:v>289</x:v>
      </x:c>
      <x:c r="B3" s="142" t="s">
        <x:v>591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98" t="s">
        <x:v>592</x:v>
      </x:c>
      <x:c r="B4" s="130" t="n">
        <x:f>'PROYECCION DE VENTAS'!B19</x:f>
        <x:v>143</x:v>
      </x:c>
    </x:row>
    <x:row r="5">
      <x:c r="A5" t="s">
        <x:v>593</x:v>
      </x:c>
      <x:c r="B5" s="3" t="n">
        <x:f>'PROYECCION DE VENTAS'!D19</x:f>
        <x:v>199742.5</x:v>
      </x:c>
    </x:row>
    <x:row r="6">
      <x:c r="A6" s="98" t="s">
        <x:v>594</x:v>
      </x:c>
      <x:c r="B6" s="130" t="n">
        <x:f>'FLUJO DE CAJA'!O10</x:f>
        <x:v>42754</x:v>
      </x:c>
      <x:c r="C6" t="s">
        <x:v>595</x:v>
      </x:c>
    </x:row>
    <x:row r="7">
      <x:c r="A7" s="1" t="s">
        <x:v>596</x:v>
      </x:c>
      <x:c r="B7" s="23" t="n">
        <x:f>B5-B6</x:f>
        <x:v>156988.5</x:v>
      </x:c>
    </x:row>
    <x:row r="8">
      <x:c r="A8" s="98" t="s">
        <x:v>597</x:v>
      </x:c>
      <x:c r="B8" s="130" t="n">
        <x:f>'GASTOS ADMINISTRATIVOS'!C8</x:f>
        <x:v>94601.4</x:v>
      </x:c>
      <x:c r="C8" t="s">
        <x:v>595</x:v>
      </x:c>
    </x:row>
    <x:row r="9">
      <x:c r="A9" t="s">
        <x:v>598</x:v>
      </x:c>
      <x:c r="B9" s="3" t="n">
        <x:f>'G. VENTAS'!C8</x:f>
        <x:v>9600</x:v>
      </x:c>
      <x:c r="C9" t="s">
        <x:v>595</x:v>
      </x:c>
    </x:row>
    <x:row r="10">
      <x:c r="A10" s="98" t="s">
        <x:v>599</x:v>
      </x:c>
      <x:c r="B10" s="130" t="n">
        <x:f>'FLUJO DE CAJA'!O13</x:f>
        <x:v>20591.30739342857</x:v>
      </x:c>
      <x:c r="C10" t="s">
        <x:v>595</x:v>
      </x:c>
    </x:row>
    <x:row r="11">
      <x:c r="A11" s="33" t="s">
        <x:v>542</x:v>
      </x:c>
      <x:c r="B11" s="34" t="n">
        <x:f>SUM(B6,B8:B10)</x:f>
        <x:v>167546.70739342857</x:v>
      </x:c>
      <x:c r="C11" t="s">
        <x:v>595</x:v>
      </x:c>
      <x:c r="D11" s="3"/>
    </x:row>
    <x:row r="12">
      <x:c r="A12" s="98" t="s">
        <x:v>578</x:v>
      </x:c>
      <x:c r="B12" s="130" t="n">
        <x:f>B5-B11</x:f>
        <x:v>32195.792606571427</x:v>
      </x:c>
      <x:c r="D12" s="3"/>
      <x:c r="E12" s="3"/>
    </x:row>
    <x:row r="13">
      <x:c r="A13" t="s">
        <x:v>600</x:v>
      </x:c>
      <x:c r="B13" s="3" t="n">
        <x:f>'CAPITAL DE TRABAJO'!C29</x:f>
        <x:v>11200.000000000002</x:v>
      </x:c>
    </x:row>
    <x:row r="14">
      <x:c r="A14" s="98" t="s">
        <x:v>601</x:v>
      </x:c>
      <x:c r="B14" s="130" t="n">
        <x:f>B12-B13</x:f>
        <x:v>20995.792606571427</x:v>
      </x:c>
    </x:row>
    <x:row r="15" ht="15" customHeight="1">
      <x:c r="A15" t="s">
        <x:v>602</x:v>
      </x:c>
      <x:c r="B15" s="3" t="n">
        <x:f>MAX(0,B14)*10%</x:f>
        <x:v>2099.5792606571426</x:v>
      </x:c>
    </x:row>
    <x:row r="16">
      <x:c r="A16" s="38" t="s">
        <x:v>603</x:v>
      </x:c>
      <x:c r="B16" s="39" t="n">
        <x:f>B14-B15</x:f>
        <x:v>18896.213345914286</x:v>
      </x:c>
    </x:row>
    <x:row r="17">
      <x:c r="B17"/>
    </x:row>
    <x:row r="18">
      <x:c r="A18" s="40" t="s">
        <x:v>604</x:v>
      </x:c>
      <x:c r="B18" s="43" t="n">
        <x:f>B12+B10</x:f>
        <x:v>52787.1</x:v>
      </x:c>
    </x:row>
    <x:row r="19" ht="60" customHeight="1">
      <x:c r="A19" s="198" t="s">
        <x:v>605</x:v>
      </x:c>
      <x:c r="B19" s="179"/>
    </x:row>
  </x:sheetData>
  <x:mergeCells>
    <x:mergeCell ref="A19:B19"/>
    <x:mergeCell ref="A1:B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10" defaultColWidth="11.42578125" defaultRowHeight="15"/>
  <x:cols>
    <x:col min="1" max="1" width="56.42578125" customWidth="1"/>
    <x:col min="2" max="4" width="16.7109375" customWidth="1"/>
  </x:cols>
  <x:sheetData>
    <x:row r="1" ht="26.100000381469727" customHeight="1">
      <x:c r="A1" s="181" t="s">
        <x:v>606</x:v>
      </x:c>
      <x:c r="B1" s="179"/>
    </x:row>
    <x:row r="3">
      <x:c r="A3" s="142" t="s">
        <x:v>607</x:v>
      </x:c>
      <x:c r="B3" s="142" t="s">
        <x:v>608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98" t="s">
        <x:v>609</x:v>
      </x:c>
      <x:c r="B4" s="100" t="n">
        <x:f>INVERSION!D46+INVERSION!D56</x:f>
        <x:v>176152.77742794098</x:v>
      </x:c>
    </x:row>
    <x:row r="5">
      <x:c r="A5" t="s">
        <x:v>610</x:v>
      </x:c>
      <x:c r="B5" s="71" t="n">
        <x:f>'RESUMEN ECONOMICO'!B5</x:f>
        <x:v>199742.5</x:v>
      </x:c>
    </x:row>
    <x:row r="6">
      <x:c r="A6" s="98" t="s">
        <x:v>611</x:v>
      </x:c>
      <x:c r="B6" s="100" t="n">
        <x:f>'RESUMEN ECONOMICO'!B16</x:f>
        <x:v>18896.213345914286</x:v>
      </x:c>
    </x:row>
    <x:row r="7">
      <x:c r="A7" t="s">
        <x:v>612</x:v>
      </x:c>
      <x:c r="B7" s="4" t="n">
        <x:f>B6/B5</x:f>
        <x:v>0.09460286792202104</x:v>
      </x:c>
    </x:row>
    <x:row r="8">
      <x:c r="A8" s="38" t="s">
        <x:v>613</x:v>
      </x:c>
      <x:c r="B8" s="44" t="n">
        <x:f>B6/B4</x:f>
        <x:v>0.10727173094755309</x:v>
      </x:c>
    </x:row>
    <x:row r="9">
      <x:c r="A9" t="s">
        <x:v>614</x:v>
      </x:c>
      <x:c r="B9" s="71" t="n">
        <x:f>'PROYECCION DE VENTAS'!B3</x:f>
        <x:v>1396.8006993006993</x:v>
      </x:c>
    </x:row>
    <x:row r="10">
      <x:c r="A10" s="98" t="s">
        <x:v>615</x:v>
      </x:c>
      <x:c r="B10" s="100" t="n">
        <x:f>'C. PRODUCCION'!E32</x:f>
        <x:v>298.97902097902096</x:v>
      </x:c>
    </x:row>
    <x:row r="11">
      <x:c r="A11" t="s">
        <x:v>616</x:v>
      </x:c>
      <x:c r="B11" s="71" t="n">
        <x:f>B9-B10</x:f>
        <x:v>1097.8216783216783</x:v>
      </x:c>
    </x:row>
    <x:row r="12">
      <x:c r="A12" s="98" t="s">
        <x:v>617</x:v>
      </x:c>
      <x:c r="B12" s="100" t="n">
        <x:f>'GASTOS ADMINISTRATIVOS'!B8+'G. VENTAS'!B8+INVERSION!D51</x:f>
        <x:v>10399.392282785715</x:v>
      </x:c>
    </x:row>
    <x:row r="13">
      <x:c r="A13" s="38" t="s">
        <x:v>618</x:v>
      </x:c>
      <x:c r="B13" s="96" t="n">
        <x:f>B12/B11</x:f>
        <x:v>9.472751803083394</x:v>
      </x:c>
    </x:row>
    <x:row r="14">
      <x:c r="A14" s="40" t="s">
        <x:v>619</x:v>
      </x:c>
      <x:c r="B14" s="94" t="n">
        <x:f>'FLUJO DE CAJA'!M28</x:f>
        <x:v>46436.10487844522</x:v>
      </x:c>
    </x:row>
    <x:row r="15">
      <x:c r="A15" t="s">
        <x:v>620</x:v>
      </x:c>
      <x:c r="B15" s="71" t="n">
        <x:f>MIN('FLUJO DE CAJA'!B28:M28)</x:f>
        <x:v>32062.729010744115</x:v>
      </x:c>
    </x:row>
    <x:row r="16">
      <x:c r="A16" s="98" t="s">
        <x:v>621</x:v>
      </x:c>
      <x:c r="B16" s="100" t="n">
        <x:f>'CAPITAL DE TRABAJO'!E29</x:f>
        <x:v>21408.248264597794</x:v>
      </x:c>
    </x:row>
    <x:row r="17">
      <x:c r="A17" s="1" t="s">
        <x:v>622</x:v>
      </x:c>
      <x:c r="B17" s="72" t="n">
        <x:f>'RESUMEN ECONOMICO'!B7-'RESUMEN ECONOMICO'!B8-'RESUMEN ECONOMICO'!B9</x:f>
        <x:v>52787.100000000006</x:v>
      </x:c>
    </x:row>
    <x:row r="18">
      <x:c r="A18" t="s">
        <x:v>623</x:v>
      </x:c>
      <x:c r="B18" s="71" t="n">
        <x:f>('CAPITAL DE TRABAJO'!B4+'CAPITAL DE TRABAJO'!E29/12)/B11</x:f>
        <x:v>9.534764065434455</x:v>
      </x:c>
    </x:row>
    <x:row r="19">
      <x:c r="A19" s="40" t="s">
        <x:v>624</x:v>
      </x:c>
      <x:c r="B19" s="94" t="n">
        <x:f>'FLUJO DE CAJA'!B61</x:f>
        <x:v>51681.829297795455</x:v>
      </x:c>
    </x:row>
    <x:row r="20">
      <x:c r="A20" s="40" t="s">
        <x:v>625</x:v>
      </x:c>
      <x:c r="B20" s="46" t="n">
        <x:f>'FLUJO DE CAJA'!B62</x:f>
        <x:v>0.29051632541521966</x:v>
      </x:c>
    </x:row>
    <x:row r="22">
      <x:c r="A22" s="182" t="str">
        <x:v>ANÁLISIS DE ESCENARIOS — AÑO 1 (volumen conservador, realista y capacidad plena)</x:v>
      </x:c>
      <x:c r="B22" s="179"/>
      <x:c r="C22" s="179"/>
      <x:c r="D22" s="179"/>
    </x:row>
    <x:row r="23">
      <x:c r="A23" s="142" t="s">
        <x:v>289</x:v>
      </x:c>
      <x:c r="B23" s="142" t="s">
        <x:v>626</x:v>
      </x:c>
      <x:c r="C23" s="142" t="s">
        <x:v>627</x:v>
      </x:c>
      <x:c r="D23" s="142" t="s">
        <x:v>628</x:v>
      </x:c>
    </x:row>
    <x:row r="24">
      <x:c r="A24" t="s">
        <x:v>629</x:v>
      </x:c>
      <x:c r="B24" s="3" t="n">
        <x:v>130</x:v>
      </x:c>
      <x:c r="C24" s="3" t="n">
        <x:f>'PROYECCION DE VENTAS'!B19</x:f>
        <x:v>143</x:v>
      </x:c>
      <x:c r="D24" s="3" t="n">
        <x:v>160</x:v>
      </x:c>
    </x:row>
    <x:row r="25">
      <x:c r="A25" t="s">
        <x:v>574</x:v>
      </x:c>
      <x:c r="B25" s="3" t="n">
        <x:f>B24*'PROYECCION DE VENTAS'!$B$3</x:f>
        <x:v>181584.0909090909</x:v>
      </x:c>
      <x:c r="C25" s="3" t="n">
        <x:f>C24*'PROYECCION DE VENTAS'!$B$3</x:f>
        <x:v>199742.5</x:v>
      </x:c>
      <x:c r="D25" s="3" t="n">
        <x:f>D24*'PROYECCION DE VENTAS'!$B$3</x:f>
        <x:v>223488.1118881119</x:v>
      </x:c>
    </x:row>
    <x:row r="26">
      <x:c r="A26" s="98" t="s">
        <x:v>630</x:v>
      </x:c>
      <x:c r="B26" s="130" t="n">
        <x:f>B24*('PROYECCION DE VENTAS'!$B$3-'C. PRODUCCION'!$E$32)</x:f>
        <x:v>142716.81818181818</x:v>
      </x:c>
      <x:c r="C26" s="130" t="n">
        <x:f>C24*('PROYECCION DE VENTAS'!$B$3-'C. PRODUCCION'!$E$32)</x:f>
        <x:v>156988.5</x:v>
      </x:c>
      <x:c r="D26" s="130" t="n">
        <x:f>D24*('PROYECCION DE VENTAS'!$B$3-'C. PRODUCCION'!$E$32)</x:f>
        <x:v>175651.46853146853</x:v>
      </x:c>
    </x:row>
    <x:row r="27">
      <x:c r="A27" t="s">
        <x:v>631</x:v>
      </x:c>
      <x:c r="B27" s="3" t="n">
        <x:f>-('CAPITAL DE TRABAJO'!$B$4*12+INVERSION!$D$51*12+'CAPITAL DE TRABAJO'!$C$29)</x:f>
        <x:v>-135992.70739342857</x:v>
      </x:c>
      <x:c r="C27" s="3" t="n">
        <x:f>B27</x:f>
        <x:v>-135992.70739342857</x:v>
      </x:c>
      <x:c r="D27" s="3" t="n">
        <x:f>B27</x:f>
        <x:v>-135992.70739342857</x:v>
      </x:c>
    </x:row>
    <x:row r="28">
      <x:c r="A28" s="98" t="s">
        <x:v>632</x:v>
      </x:c>
      <x:c r="B28" s="130" t="n">
        <x:f>B26+B27</x:f>
        <x:v>6724.110788389604</x:v>
      </x:c>
      <x:c r="C28" s="130" t="n">
        <x:f>C26+C27</x:f>
        <x:v>20995.792606571427</x:v>
      </x:c>
      <x:c r="D28" s="130" t="n">
        <x:f>D26+D27</x:f>
        <x:v>39658.76113803996</x:v>
      </x:c>
    </x:row>
    <x:row r="29">
      <x:c r="A29" t="s">
        <x:v>579</x:v>
      </x:c>
      <x:c r="B29" s="3" t="n">
        <x:f>-MAX(0,B28)*0.1</x:f>
        <x:v>-672.4110788389604</x:v>
      </x:c>
      <x:c r="C29" s="3" t="n">
        <x:f>-MAX(0,C28)*0.1</x:f>
        <x:v>-2099.5792606571426</x:v>
      </x:c>
      <x:c r="D29" s="3" t="n">
        <x:f>-MAX(0,D28)*0.1</x:f>
        <x:v>-3965.8761138039963</x:v>
      </x:c>
    </x:row>
    <x:row r="30">
      <x:c r="A30" s="38" t="s">
        <x:v>633</x:v>
      </x:c>
      <x:c r="B30" s="39" t="n">
        <x:f>B28+B29</x:f>
        <x:v>6051.699709550643</x:v>
      </x:c>
      <x:c r="C30" s="39" t="n">
        <x:f>C28+C29</x:f>
        <x:v>18896.213345914286</x:v>
      </x:c>
      <x:c r="D30" s="39" t="n">
        <x:f>D28+D29</x:f>
        <x:v>35692.88502423596</x:v>
      </x:c>
    </x:row>
    <x:row r="31">
      <x:c r="A31" t="s">
        <x:v>634</x:v>
      </x:c>
      <x:c r="B31" t="str">
        <x:f>IF(B30&gt;0,"Viable","Pérdida")</x:f>
        <x:v>Viable</x:v>
      </x:c>
      <x:c r="C31" t="str">
        <x:f>IF(C30&gt;0,"Viable","Pérdida")</x:f>
        <x:v>Viable</x:v>
      </x:c>
      <x:c r="D31" t="str">
        <x:f>IF(D30&gt;0,"Viable","Pérdida")</x:f>
        <x:v>Viable</x:v>
      </x:c>
    </x:row>
  </x:sheetData>
  <x:mergeCells>
    <x:mergeCell ref="A22:D22"/>
    <x:mergeCell ref="A1:B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10" defaultColWidth="11.42578125" defaultRowHeight="15"/>
  <x:cols>
    <x:col min="1" max="1" width="30.7109375" customWidth="1"/>
    <x:col min="2" max="2" width="40.7109375" customWidth="1"/>
    <x:col min="3" max="3" width="123.7109375" customWidth="1"/>
  </x:cols>
  <x:sheetData>
    <x:row r="1" ht="26.100000381469727" customHeight="1">
      <x:c r="A1" s="200" t="s">
        <x:v>635</x:v>
      </x:c>
      <x:c r="B1" s="179"/>
      <x:c r="C1" s="179"/>
    </x:row>
    <x:row r="3">
      <x:c r="A3" s="182" t="s">
        <x:v>636</x:v>
      </x:c>
      <x:c r="B3" s="179"/>
      <x:c r="C3" s="179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42" t="s">
        <x:v>637</x:v>
      </x:c>
      <x:c r="B4" s="142" t="s">
        <x:v>638</x:v>
      </x:c>
      <x:c r="C4" s="142" t="s">
        <x:v>639</x:v>
      </x:c>
    </x:row>
    <x:row r="5">
      <x:c r="A5" t="s">
        <x:v>640</x:v>
      </x:c>
      <x:c r="B5" t="s">
        <x:v>641</x:v>
      </x:c>
      <x:c r="C5" t="s">
        <x:v>642</x:v>
      </x:c>
    </x:row>
    <x:row r="6">
      <x:c r="A6" s="98" t="s">
        <x:v>643</x:v>
      </x:c>
      <x:c r="B6" s="98" t="s">
        <x:v>644</x:v>
      </x:c>
      <x:c r="C6" s="98" t="s">
        <x:v>645</x:v>
      </x:c>
    </x:row>
    <x:row r="7">
      <x:c r="A7" t="s">
        <x:v>646</x:v>
      </x:c>
      <x:c r="B7" t="s">
        <x:v>647</x:v>
      </x:c>
      <x:c r="C7" t="s">
        <x:v>648</x:v>
      </x:c>
    </x:row>
    <x:row r="8">
      <x:c r="A8" s="40" t="s">
        <x:v>649</x:v>
      </x:c>
      <x:c r="B8" s="40" t="s">
        <x:v>650</x:v>
      </x:c>
      <x:c r="C8" s="40" t="s">
        <x:v>651</x:v>
      </x:c>
    </x:row>
    <x:row r="9">
      <x:c r="C9" s="140"/>
    </x:row>
    <x:row r="10">
      <x:c r="A10" s="182" t="s">
        <x:v>652</x:v>
      </x:c>
      <x:c r="B10" s="179"/>
      <x:c r="C10" s="179"/>
    </x:row>
    <x:row r="11">
      <x:c r="A11" s="142" t="s">
        <x:v>653</x:v>
      </x:c>
      <x:c r="B11" s="142" t="s">
        <x:v>608</x:v>
      </x:c>
      <x:c r="C11" s="143" t="s">
        <x:v>105</x:v>
      </x:c>
    </x:row>
    <x:row r="12">
      <x:c r="A12" s="40" t="s">
        <x:v>270</x:v>
      </x:c>
      <x:c r="B12" s="47">
        <x:v>3.3860000000000001</x:v>
      </x:c>
      <x:c r="C12" s="40" t="s">
        <x:v>654</x:v>
      </x:c>
    </x:row>
    <x:row r="13">
      <x:c r="A13" t="s">
        <x:v>655</x:v>
      </x:c>
      <x:c r="B13" s="4">
        <x:v>2.5000000000000001E-2</x:v>
      </x:c>
      <x:c r="C13" t="s">
        <x:v>656</x:v>
      </x:c>
    </x:row>
    <x:row r="14">
      <x:c r="A14" s="98" t="s">
        <x:v>657</x:v>
      </x:c>
      <x:c r="B14" s="101">
        <x:v>0.18</x:v>
      </x:c>
      <x:c r="C14" s="98" t="s">
        <x:v>658</x:v>
      </x:c>
    </x:row>
    <x:row r="15">
      <x:c r="A15" t="s">
        <x:v>659</x:v>
      </x:c>
      <x:c r="B15" t="s">
        <x:v>660</x:v>
      </x:c>
      <x:c r="C15" t="s">
        <x:v>661</x:v>
      </x:c>
    </x:row>
    <x:row r="17">
      <x:c r="A17" s="182" t="s">
        <x:v>662</x:v>
      </x:c>
      <x:c r="B17" s="179"/>
      <x:c r="C17" s="179"/>
    </x:row>
    <x:row r="18">
      <x:c r="A18" s="142" t="s">
        <x:v>663</x:v>
      </x:c>
      <x:c r="B18" s="204" t="s">
        <x:v>664</x:v>
      </x:c>
      <x:c r="C18" s="179"/>
    </x:row>
    <x:row r="19">
      <x:c r="A19" t="s">
        <x:v>665</x:v>
      </x:c>
      <x:c r="B19" s="201" t="s">
        <x:v>666</x:v>
      </x:c>
      <x:c r="C19" s="179"/>
    </x:row>
    <x:row r="20">
      <x:c r="A20" s="98" t="s">
        <x:v>667</x:v>
      </x:c>
      <x:c r="B20" s="202" t="s">
        <x:v>668</x:v>
      </x:c>
      <x:c r="C20" s="179"/>
    </x:row>
    <x:row r="21">
      <x:c r="A21" t="s">
        <x:v>669</x:v>
      </x:c>
      <x:c r="B21" s="201" t="s">
        <x:v>670</x:v>
      </x:c>
      <x:c r="C21" s="179"/>
    </x:row>
    <x:row r="22">
      <x:c r="A22" s="98" t="s">
        <x:v>671</x:v>
      </x:c>
      <x:c r="B22" s="202" t="s">
        <x:v>672</x:v>
      </x:c>
      <x:c r="C22" s="179"/>
    </x:row>
    <x:row r="23">
      <x:c r="A23" s="40" t="s">
        <x:v>673</x:v>
      </x:c>
      <x:c r="B23" s="203" t="s">
        <x:v>674</x:v>
      </x:c>
      <x:c r="C23" s="179"/>
    </x:row>
  </x:sheetData>
  <x:mergeCells>
    <x:mergeCell ref="A1:C1"/>
    <x:mergeCell ref="B19:C19"/>
    <x:mergeCell ref="B20:C20"/>
    <x:mergeCell ref="B23:C23"/>
    <x:mergeCell ref="A17:C17"/>
    <x:mergeCell ref="B22:C22"/>
    <x:mergeCell ref="A3:C3"/>
    <x:mergeCell ref="B18:C18"/>
    <x:mergeCell ref="A10:C10"/>
    <x:mergeCell ref="B21:C2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10" defaultColWidth="11.42578125" defaultRowHeight="15"/>
  <x:cols>
    <x:col min="1" max="1" width="26.7109375" customWidth="1"/>
    <x:col min="2" max="2" width="48.5703125" customWidth="1"/>
    <x:col min="3" max="3" width="16.7109375" customWidth="1"/>
    <x:col min="4" max="4" width="20.7109375" customWidth="1"/>
  </x:cols>
  <x:sheetData>
    <x:row r="1" ht="24" customHeight="1">
      <x:c r="A1" s="200" t="s">
        <x:v>675</x:v>
      </x:c>
      <x:c r="B1" s="179"/>
      <x:c r="C1" s="179"/>
      <x:c r="D1" s="179"/>
    </x:row>
    <x:row r="3">
      <x:c r="A3" s="142" t="s">
        <x:v>676</x:v>
      </x:c>
      <x:c r="B3" s="142" t="s">
        <x:v>677</x:v>
      </x:c>
      <x:c r="C3" s="142" t="s">
        <x:v>678</x:v>
      </x:c>
      <x:c r="D3" s="142" t="s">
        <x:v>679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t="s">
        <x:v>680</x:v>
      </x:c>
      <x:c r="B4" s="140" t="s">
        <x:v>681</x:v>
      </x:c>
      <x:c r="C4" s="3">
        <x:v>1200</x:v>
      </x:c>
      <x:c r="D4" t="s">
        <x:v>682</x:v>
      </x:c>
    </x:row>
    <x:row r="5">
      <x:c r="A5" s="98" t="s">
        <x:v>683</x:v>
      </x:c>
      <x:c r="B5" s="141" t="s">
        <x:v>684</x:v>
      </x:c>
      <x:c r="C5" s="130">
        <x:v>1500</x:v>
      </x:c>
      <x:c r="D5" s="98" t="s">
        <x:v>682</x:v>
      </x:c>
    </x:row>
    <x:row r="6">
      <x:c r="A6" t="s">
        <x:v>685</x:v>
      </x:c>
      <x:c r="B6" s="140" t="s">
        <x:v>686</x:v>
      </x:c>
      <x:c r="C6" s="3">
        <x:v>1800</x:v>
      </x:c>
      <x:c r="D6" t="s">
        <x:v>687</x:v>
      </x:c>
    </x:row>
    <x:row r="7">
      <x:c r="A7" s="98" t="s">
        <x:v>286</x:v>
      </x:c>
      <x:c r="B7" s="141" t="s">
        <x:v>688</x:v>
      </x:c>
      <x:c r="C7" s="130">
        <x:v>400</x:v>
      </x:c>
      <x:c r="D7" s="98" t="s">
        <x:v>689</x:v>
      </x:c>
    </x:row>
    <x:row r="8">
      <x:c r="A8" t="s">
        <x:v>690</x:v>
      </x:c>
      <x:c r="B8" s="140" t="s">
        <x:v>691</x:v>
      </x:c>
      <x:c r="C8" s="3">
        <x:v>210</x:v>
      </x:c>
      <x:c r="D8" t="s">
        <x:v>682</x:v>
      </x:c>
    </x:row>
    <x:row r="9">
      <x:c r="A9" s="98" t="s">
        <x:v>692</x:v>
      </x:c>
      <x:c r="B9" s="141" t="s">
        <x:v>693</x:v>
      </x:c>
      <x:c r="C9" s="130">
        <x:v>1300</x:v>
      </x:c>
      <x:c r="D9" s="98" t="s">
        <x:v>682</x:v>
      </x:c>
    </x:row>
    <x:row r="11">
      <x:c r="A11" s="187" t="s">
        <x:v>694</x:v>
      </x:c>
      <x:c r="B11" s="179"/>
      <x:c r="C11" s="179"/>
      <x:c r="D11" s="179"/>
    </x:row>
    <x:row r="12">
      <x:c r="A12" s="179"/>
      <x:c r="B12" s="179"/>
      <x:c r="C12" s="179"/>
      <x:c r="D12" s="179"/>
    </x:row>
  </x:sheetData>
  <x:mergeCells>
    <x:mergeCell ref="A1:D1"/>
    <x:mergeCell ref="A11:D1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10" defaultColWidth="11.42578125" defaultRowHeight="15"/>
  <x:cols>
    <x:col min="1" max="1" width="28.7109375" customWidth="1"/>
    <x:col min="2" max="4" width="16.7109375" customWidth="1"/>
  </x:cols>
  <x:sheetData>
    <x:row r="1" ht="24" customHeight="1">
      <x:c r="A1" s="200" t="s">
        <x:v>695</x:v>
      </x:c>
      <x:c r="B1" s="179"/>
      <x:c r="C1" s="179"/>
      <x:c r="D1" s="179"/>
    </x:row>
    <x:row r="3">
      <x:c r="A3" s="142" t="s">
        <x:v>676</x:v>
      </x:c>
      <x:c r="B3" s="142" t="s">
        <x:v>280</x:v>
      </x:c>
      <x:c r="C3" s="142" t="s">
        <x:v>696</x:v>
      </x:c>
      <x:c r="D3" s="142" t="s">
        <x:v>697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t="s">
        <x:v>698</x:v>
      </x:c>
      <x:c r="B4" s="3" t="n">
        <x:f>ANEXOS!C4</x:f>
        <x:v>1200</x:v>
      </x:c>
      <x:c r="C4" s="26" t="n">
        <x:f>COFACE!$B$12</x:f>
        <x:v>3.386</x:v>
      </x:c>
      <x:c r="D4" s="3" t="n">
        <x:f>B4*C4</x:f>
        <x:v>4063.2000000000003</x:v>
      </x:c>
    </x:row>
    <x:row r="5">
      <x:c r="A5" s="98" t="s">
        <x:v>683</x:v>
      </x:c>
      <x:c r="B5" s="130" t="n">
        <x:f>ANEXOS!C5</x:f>
        <x:v>1500</x:v>
      </x:c>
      <x:c r="C5" s="136" t="n">
        <x:f>COFACE!$B$12</x:f>
        <x:v>3.386</x:v>
      </x:c>
      <x:c r="D5" s="130" t="n">
        <x:f>B5*C5</x:f>
        <x:v>5079</x:v>
      </x:c>
    </x:row>
    <x:row r="6">
      <x:c r="A6" t="s">
        <x:v>699</x:v>
      </x:c>
      <x:c r="B6" s="3" t="n">
        <x:f>ANEXOS!C6</x:f>
        <x:v>1800</x:v>
      </x:c>
      <x:c r="C6" s="26" t="n">
        <x:f>COFACE!$B$12</x:f>
        <x:v>3.386</x:v>
      </x:c>
      <x:c r="D6" s="3" t="n">
        <x:f>B6*C6</x:f>
        <x:v>6094.8</x:v>
      </x:c>
    </x:row>
    <x:row r="7">
      <x:c r="A7" s="98" t="s">
        <x:v>286</x:v>
      </x:c>
      <x:c r="B7" s="130" t="n">
        <x:f>ANEXOS!C7</x:f>
        <x:v>400</x:v>
      </x:c>
      <x:c r="C7" s="136" t="n">
        <x:f>COFACE!$B$12</x:f>
        <x:v>3.386</x:v>
      </x:c>
      <x:c r="D7" s="130" t="n">
        <x:f>B7*C7</x:f>
        <x:v>1354.4</x:v>
      </x:c>
    </x:row>
    <x:row r="8">
      <x:c r="A8" s="38" t="s">
        <x:v>700</x:v>
      </x:c>
      <x:c r="B8" s="39" t="n">
        <x:f>SUM(B4:B7)</x:f>
        <x:v>4900</x:v>
      </x:c>
      <x:c r="C8" s="38"/>
      <x:c r="D8" s="39" t="n">
        <x:f>SUM(D4:D7)</x:f>
        <x:v>16591.4</x:v>
      </x:c>
    </x:row>
    <x:row r="10">
      <x:c r="A10" s="198" t="s">
        <x:v>701</x:v>
      </x:c>
      <x:c r="B10" s="179"/>
      <x:c r="C10" s="179"/>
      <x:c r="D10" s="179"/>
    </x:row>
    <x:row r="11">
      <x:c r="A11" s="179"/>
      <x:c r="B11" s="179"/>
      <x:c r="C11" s="179"/>
      <x:c r="D11" s="179"/>
    </x:row>
  </x:sheetData>
  <x:mergeCells>
    <x:mergeCell ref="A1:D1"/>
    <x:mergeCell ref="A10:D1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10" defaultColWidth="9.140625" defaultRowHeight="15"/>
  <x:cols>
    <x:col min="1" max="2" width="55.85546875" customWidth="1"/>
    <x:col min="3" max="3" width="56.7109375" customWidth="1"/>
    <x:col min="4" max="4" width="63.42578125" customWidth="1"/>
    <x:col min="5" max="5" width="55.85546875" customWidth="1"/>
    <x:col min="6" max="6" width="151.7109375" customWidth="1"/>
  </x:cols>
  <x:sheetData>
    <x:row r="1">
      <x:c r="A1" s="205" t="s">
        <x:v>702</x:v>
      </x:c>
      <x:c r="B1" s="179"/>
      <x:c r="C1" s="179"/>
      <x:c r="D1" s="179"/>
      <x:c r="E1" s="179"/>
      <x:c r="F1" s="179"/>
    </x:row>
    <x:row r="3">
      <x:c r="A3" s="97" t="s">
        <x:v>703</x:v>
      </x:c>
      <x:c r="B3" s="97" t="s">
        <x:v>704</x:v>
      </x:c>
      <x:c r="C3" s="97" t="s">
        <x:v>705</x:v>
      </x:c>
      <x:c r="D3" s="97" t="s">
        <x:v>706</x:v>
      </x:c>
      <x:c r="E3" s="97" t="s">
        <x:v>707</x:v>
      </x:c>
      <x:c r="F3" s="97" t="s">
        <x:v>708</x:v>
      </x:c>
    </x:row>
    <x:row r="4">
      <x:c r="A4" s="98" t="s">
        <x:v>709</x:v>
      </x:c>
      <x:c r="B4" s="98" t="s">
        <x:v>710</x:v>
      </x:c>
      <x:c r="C4" s="98" t="s">
        <x:v>711</x:v>
      </x:c>
      <x:c r="D4" s="98" t="s">
        <x:v>712</x:v>
      </x:c>
      <x:c r="E4" s="98" t="s">
        <x:v>713</x:v>
      </x:c>
      <x:c r="F4" s="98" t="s">
        <x:v>714</x:v>
      </x:c>
    </x:row>
    <x:row r="5">
      <x:c r="A5" s="98" t="s">
        <x:v>709</x:v>
      </x:c>
      <x:c r="B5" s="98" t="s">
        <x:v>715</x:v>
      </x:c>
      <x:c r="C5" s="98" t="s">
        <x:v>716</x:v>
      </x:c>
      <x:c r="D5" s="98" t="s">
        <x:v>717</x:v>
      </x:c>
      <x:c r="E5" s="98" t="s">
        <x:v>718</x:v>
      </x:c>
      <x:c r="F5" s="98" t="s">
        <x:v>719</x:v>
      </x:c>
    </x:row>
    <x:row r="6">
      <x:c r="A6" s="98" t="s">
        <x:v>709</x:v>
      </x:c>
      <x:c r="B6" s="98" t="s">
        <x:v>720</x:v>
      </x:c>
      <x:c r="C6" s="98" t="s">
        <x:v>721</x:v>
      </x:c>
      <x:c r="D6" s="98" t="s">
        <x:v>722</x:v>
      </x:c>
      <x:c r="E6" s="98" t="s">
        <x:v>723</x:v>
      </x:c>
      <x:c r="F6" s="98" t="s">
        <x:v>724</x:v>
      </x:c>
    </x:row>
    <x:row r="7">
      <x:c r="A7" s="98" t="s">
        <x:v>725</x:v>
      </x:c>
      <x:c r="B7" s="98" t="s">
        <x:v>726</x:v>
      </x:c>
      <x:c r="C7" s="98" t="s">
        <x:v>727</x:v>
      </x:c>
      <x:c r="D7" s="98" t="s">
        <x:v>728</x:v>
      </x:c>
      <x:c r="E7" s="98" t="s">
        <x:v>729</x:v>
      </x:c>
      <x:c r="F7" s="98" t="s">
        <x:v>730</x:v>
      </x:c>
    </x:row>
    <x:row r="8">
      <x:c r="A8" s="98" t="s">
        <x:v>731</x:v>
      </x:c>
      <x:c r="B8" s="98" t="s">
        <x:v>732</x:v>
      </x:c>
      <x:c r="C8" s="98" t="s">
        <x:v>733</x:v>
      </x:c>
      <x:c r="D8" s="98" t="s">
        <x:v>734</x:v>
      </x:c>
      <x:c r="E8" s="98" t="s">
        <x:v>735</x:v>
      </x:c>
      <x:c r="F8" s="98" t="s">
        <x:v>736</x:v>
      </x:c>
    </x:row>
    <x:row r="9">
      <x:c r="A9" s="98" t="s">
        <x:v>737</x:v>
      </x:c>
      <x:c r="B9" s="98" t="s">
        <x:v>738</x:v>
      </x:c>
      <x:c r="C9" s="98" t="s">
        <x:v>739</x:v>
      </x:c>
      <x:c r="D9" s="98" t="s">
        <x:v>740</x:v>
      </x:c>
      <x:c r="E9" s="98" t="s">
        <x:v>741</x:v>
      </x:c>
      <x:c r="F9" s="98" t="s">
        <x:v>742</x:v>
      </x:c>
    </x:row>
    <x:row r="10">
      <x:c r="A10" s="98" t="s">
        <x:v>737</x:v>
      </x:c>
      <x:c r="B10" s="98" t="s">
        <x:v>743</x:v>
      </x:c>
      <x:c r="C10" s="98" t="s">
        <x:v>744</x:v>
      </x:c>
      <x:c r="D10" s="98" t="s">
        <x:v>745</x:v>
      </x:c>
      <x:c r="E10" s="98" t="s">
        <x:v>746</x:v>
      </x:c>
      <x:c r="F10" s="98" t="s">
        <x:v>747</x:v>
      </x:c>
    </x:row>
    <x:row r="11">
      <x:c r="A11" s="98" t="s">
        <x:v>748</x:v>
      </x:c>
      <x:c r="B11" s="98" t="s">
        <x:v>749</x:v>
      </x:c>
      <x:c r="C11" s="98" t="s">
        <x:v>750</x:v>
      </x:c>
      <x:c r="D11" s="98" t="s">
        <x:v>751</x:v>
      </x:c>
      <x:c r="E11" s="98" t="s">
        <x:v>752</x:v>
      </x:c>
      <x:c r="F11" s="98" t="s">
        <x:v>724</x:v>
      </x:c>
    </x:row>
    <x:row r="12">
      <x:c r="A12" s="98" t="s">
        <x:v>748</x:v>
      </x:c>
      <x:c r="B12" s="98" t="s">
        <x:v>753</x:v>
      </x:c>
      <x:c r="C12" s="98" t="s">
        <x:v>754</x:v>
      </x:c>
      <x:c r="D12" s="98" t="s">
        <x:v>755</x:v>
      </x:c>
      <x:c r="E12" s="98" t="s">
        <x:v>756</x:v>
      </x:c>
      <x:c r="F12" s="98" t="s">
        <x:v>724</x:v>
      </x:c>
    </x:row>
    <x:row r="13">
      <x:c r="A13" s="98" t="s">
        <x:v>731</x:v>
      </x:c>
      <x:c r="B13" s="98" t="s">
        <x:v>757</x:v>
      </x:c>
      <x:c r="C13" s="98" t="s">
        <x:v>758</x:v>
      </x:c>
      <x:c r="D13" s="98" t="s">
        <x:v>759</x:v>
      </x:c>
      <x:c r="E13" s="98" t="s">
        <x:v>760</x:v>
      </x:c>
      <x:c r="F13" s="98" t="s">
        <x:v>761</x:v>
      </x:c>
    </x:row>
    <x:row r="14">
      <x:c r="A14" s="389" t="str">
        <x:v>GASTOS ADMINISTRATIVOS</x:v>
      </x:c>
      <x:c r="B14" s="389" t="str">
        <x:v>Escala salarial de socios</x:v>
      </x:c>
      <x:c r="C14" s="389" t="str">
        <x:v>Bases de S/.1,130, S/.1,300 y S/.1,500 por fase.</x:v>
      </x:c>
      <x:c r="D14" s="389" t="str">
        <x:v>Mantiene remuneración ≥ RMV y difiere la retribución adicional de socios hasta que exista utilidad.</x:v>
      </x:c>
      <x:c r="E14" s="389" t="str">
        <x:v>Planilla G17:G41; promedio ponderado en B4/C4.</x:v>
      </x:c>
      <x:c r="F14" s="389" t="str">
        <x:v>Modelo interno; RMV usada por el proyecto: S/.1,130.</x:v>
      </x:c>
    </x:row>
    <x:row r="15">
      <x:c r="A15" s="388" t="str">
        <x:v>GASTOS ADMINISTRATIVOS</x:v>
      </x:c>
      <x:c r="B15" s="388" t="str">
        <x:v>Ayudantes escalonados</x:v>
      </x:c>
      <x:c r="C15" s="388" t="str">
        <x:v>Se mantienen 2, 3 y 4 técnicos part-time por fase; mínimo S/.600.</x:v>
      </x:c>
      <x:c r="D15" s="388" t="str">
        <x:v>Preserva capacidad operativa sin incumplir el equivalente a 50% de RMV.</x:v>
      </x:c>
      <x:c r="E15" s="388" t="str">
        <x:v>Técnicos C20:C21, C28:C30 y C37:C40.</x:v>
      </x:c>
      <x:c r="F15" s="388" t="str">
        <x:v>Modelo operativo interno.</x:v>
      </x:c>
    </x:row>
    <x:row r="16">
      <x:c r="A16" s="389" t="str">
        <x:v>PROYECCION DE VENTAS</x:v>
      </x:c>
      <x:c r="B16" s="389" t="str">
        <x:v>Límite de ventas</x:v>
      </x:c>
      <x:c r="C16" s="389" t="str">
        <x:v>Eventos mensuales = menor entre capacidad y demanda.</x:v>
      </x:c>
      <x:c r="D16" s="389" t="str">
        <x:v>Elimina eventos que excedían capacidad/demanda y devuelve el escenario realista a 143 eventos.</x:v>
      </x:c>
      <x:c r="E16" s="389" t="str">
        <x:v>B6:B17 = MIN(Fila capacidad, Fila demanda).</x:v>
      </x:c>
      <x:c r="F16" s="389" t="str">
        <x:v>Modelo interno.</x:v>
      </x:c>
    </x:row>
    <x:row r="17">
      <x:c r="A17" s="388" t="str">
        <x:v>C. PRODUCCION</x:v>
      </x:c>
      <x:c r="B17" s="388" t="str">
        <x:v>Tarifas comerciales</x:v>
      </x:c>
      <x:c r="C17" s="388" t="str">
        <x:v>Paquetes ajustados a S/.750, S/.1,300, S/.1,800 y S/.2,300.</x:v>
      </x:c>
      <x:c r="D17" s="388" t="str">
        <x:v>Ajuste moderado coherente con posicionamiento premium y mayor costo laboral formal.</x:v>
      </x:c>
      <x:c r="E17" s="388" t="str">
        <x:v>C21:C24; ticket por fase en PROYECCION DE VENTAS D33:F33.</x:v>
      </x:c>
      <x:c r="F17" s="388" t="str">
        <x:v>Estrategia comercial interna; validar con cotizaciones de competidores.</x:v>
      </x:c>
    </x:row>
  </x:sheetData>
  <x:mergeCells>
    <x:mergeCell ref="A1:F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10" defaultColWidth="9.140625" defaultRowHeight="15"/>
  <x:cols>
    <x:col min="1" max="1" width="31.42578125" customWidth="1"/>
    <x:col min="2" max="6" width="26.7109375" customWidth="1"/>
    <x:col min="7" max="7" width="39.85546875" customWidth="1"/>
  </x:cols>
  <x:sheetData>
    <x:row r="1">
      <x:c r="A1" s="205" t="s">
        <x:v>762</x:v>
      </x:c>
      <x:c r="B1" s="179"/>
      <x:c r="C1" s="179"/>
      <x:c r="D1" s="179"/>
      <x:c r="E1" s="179"/>
      <x:c r="F1" s="179"/>
      <x:c r="G1" s="179"/>
    </x:row>
    <x:row r="3">
      <x:c r="A3" s="97" t="s">
        <x:v>763</x:v>
      </x:c>
      <x:c r="B3" s="97" t="s">
        <x:v>764</x:v>
      </x:c>
      <x:c r="C3" s="97" t="s">
        <x:v>765</x:v>
      </x:c>
      <x:c r="D3" s="97" t="s">
        <x:v>766</x:v>
      </x:c>
      <x:c r="E3" s="97" t="s">
        <x:v>767</x:v>
      </x:c>
      <x:c r="F3" s="97" t="s">
        <x:v>768</x:v>
      </x:c>
      <x:c r="G3" s="97" t="s">
        <x:v>769</x:v>
      </x:c>
    </x:row>
    <x:row r="4">
      <x:c r="A4" s="98" t="s">
        <x:v>770</x:v>
      </x:c>
      <x:c r="B4" s="100" t="n">
        <x:f>SEGMENTACION!C18</x:f>
        <x:v>143</x:v>
      </x:c>
      <x:c r="C4" s="100" t="n">
        <x:f>'PROYECCION DE VENTAS'!B19</x:f>
        <x:v>143</x:v>
      </x:c>
      <x:c r="D4" s="100" t="n">
        <x:f t="shared" ref="D4:D13" si="0">B4-C4</x:f>
        <x:v>0</x:v>
      </x:c>
      <x:c r="E4" s="100">
        <x:v>0.01</x:v>
      </x:c>
      <x:c r="F4" s="99" t="str">
        <x:f>IF(ABS(D4)&lt;=E4,"OK","REVISAR")</x:f>
        <x:v>OK</x:v>
      </x:c>
      <x:c r="G4" s="98" t="s">
        <x:v>771</x:v>
      </x:c>
    </x:row>
    <x:row r="5">
      <x:c r="A5" s="98" t="str">
        <x:v>Mix de paquetes por fase suma 100%</x:v>
      </x:c>
      <x:c r="B5" s="101" t="n">
        <x:f>MAX(ABS(SUM('PROYECCION DE VENTAS'!D29:D32)-1),ABS(SUM('PROYECCION DE VENTAS'!E29:E32)-1),ABS(SUM('PROYECCION DE VENTAS'!F29:F32)-1))</x:f>
        <x:v>1.1102230246251565e-16</x:v>
      </x:c>
      <x:c r="C5" s="101" t="n">
        <x:v>0</x:v>
      </x:c>
      <x:c r="D5" s="101" t="n">
        <x:f t="shared" si="0">B5-C5</x:f>
        <x:v>1.1102230246251565e-16</x:v>
      </x:c>
      <x:c r="E5" s="100" t="n">
        <x:v>0.001</x:v>
      </x:c>
      <x:c r="F5" s="99" t="str">
        <x:f>IF(ABS(D5)&lt;=E5,"OK","REVISAR")</x:f>
        <x:v>OK</x:v>
      </x:c>
      <x:c r="G5" s="98" t="str">
        <x:v>Máxima desviación de los mixes D29:F32 respecto de 100%</x:v>
      </x:c>
    </x:row>
    <x:row r="6">
      <x:c r="A6" s="98" t="s">
        <x:v>772</x:v>
      </x:c>
      <x:c r="B6" s="100" t="n">
        <x:f>INVERSION!D56</x:f>
        <x:v>34147.215722448986</x:v>
      </x:c>
      <x:c r="C6" s="100" t="n">
        <x:f>0</x:f>
        <x:v>0</x:v>
      </x:c>
      <x:c r="D6" s="100" t="n">
        <x:f t="shared" si="0">B6-C6</x:f>
        <x:v>34147.215722448986</x:v>
      </x:c>
      <x:c r="E6" s="100">
        <x:v>0</x:v>
      </x:c>
      <x:c r="F6" s="99" t="str">
        <x:f>IF(B6&gt;0,"OK","REVISAR")</x:f>
        <x:v>OK</x:v>
      </x:c>
      <x:c r="G6" s="98" t="s">
        <x:v>773</x:v>
      </x:c>
    </x:row>
    <x:row r="7">
      <x:c r="A7" s="98" t="s">
        <x:v>774</x:v>
      </x:c>
      <x:c r="B7" s="100" t="n">
        <x:f>-'FLUJO DE CAJA'!C56</x:f>
        <x:v>34147.215722448986</x:v>
      </x:c>
      <x:c r="C7" s="100" t="n">
        <x:f>INVERSION!D56</x:f>
        <x:v>34147.215722448986</x:v>
      </x:c>
      <x:c r="D7" s="100" t="n">
        <x:f t="shared" si="0">B7-C7</x:f>
        <x:v>0</x:v>
      </x:c>
      <x:c r="E7" s="100">
        <x:v>0.01</x:v>
      </x:c>
      <x:c r="F7" s="99" t="str">
        <x:f>IF(ABS(D7)&lt;=E7,"OK","REVISAR")</x:f>
        <x:v>OK</x:v>
      </x:c>
      <x:c r="G7" s="98" t="s">
        <x:v>775</x:v>
      </x:c>
    </x:row>
    <x:row r="8">
      <x:c r="A8" s="98" t="s">
        <x:v>776</x:v>
      </x:c>
      <x:c r="B8" s="100" t="n">
        <x:f>'FLUJO DE CAJA'!E57</x:f>
        <x:v>78172.668865492</x:v>
      </x:c>
      <x:c r="C8" s="100" t="n">
        <x:f>'CAPITAL DE TRABAJO'!B11</x:f>
        <x:v>78172.668865492</x:v>
      </x:c>
      <x:c r="D8" s="100" t="n">
        <x:f t="shared" si="0">B8-C8</x:f>
        <x:v>0</x:v>
      </x:c>
      <x:c r="E8" s="100">
        <x:v>0.01</x:v>
      </x:c>
      <x:c r="F8" s="99" t="str">
        <x:f>IF(ABS(D8)&lt;=E8,"OK","REVISAR")</x:f>
        <x:v>OK</x:v>
      </x:c>
      <x:c r="G8" s="98" t="s">
        <x:v>777</x:v>
      </x:c>
    </x:row>
    <x:row r="9">
      <x:c r="A9" s="98" t="s">
        <x:v>778</x:v>
      </x:c>
      <x:c r="B9" s="101" t="n">
        <x:f>'G. EXPORT'!D46</x:f>
        <x:v>1.6808040816326533</x:v>
      </x:c>
      <x:c r="C9" s="101" t="n">
        <x:f>('G. EXPORT'!D44-'G. EXPORT'!D48)/'G. EXPORT'!D17</x:f>
        <x:v>1.6808040816326533</x:v>
      </x:c>
      <x:c r="D9" s="101" t="n">
        <x:f t="shared" si="0">B9-C9</x:f>
        <x:v>0</x:v>
      </x:c>
      <x:c r="E9" s="100">
        <x:v>1E-4</x:v>
      </x:c>
      <x:c r="F9" s="99" t="str">
        <x:f>IF(ABS(D9)&lt;=E9,"OK","REVISAR")</x:f>
        <x:v>OK</x:v>
      </x:c>
      <x:c r="G9" s="98" t="s">
        <x:v>779</x:v>
      </x:c>
    </x:row>
    <x:row r="10">
      <x:c r="A10" s="98" t="s">
        <x:v>780</x:v>
      </x:c>
      <x:c r="B10" s="100" t="n">
        <x:f>SUM(INVERSION!E5:E8)</x:f>
        <x:v>17</x:v>
      </x:c>
      <x:c r="C10" s="100" t="n">
        <x:f>17</x:f>
        <x:v>17</x:v>
      </x:c>
      <x:c r="D10" s="100" t="n">
        <x:f t="shared" si="0">B10-C10</x:f>
        <x:v>0</x:v>
      </x:c>
      <x:c r="E10" s="100">
        <x:v>0.01</x:v>
      </x:c>
      <x:c r="F10" s="99" t="str">
        <x:f>IF(ABS(D10)&lt;=E10,"OK","REVISAR")</x:f>
        <x:v>OK</x:v>
      </x:c>
      <x:c r="G10" s="98" t="s">
        <x:v>781</x:v>
      </x:c>
    </x:row>
    <x:row r="11">
      <x:c r="A11" s="98" t="s">
        <x:v>782</x:v>
      </x:c>
      <x:c r="B11" s="100" t="n">
        <x:f>'FLUJO DE CAJA'!B61</x:f>
        <x:v>51681.829297795455</x:v>
      </x:c>
      <x:c r="C11" s="100" t="n">
        <x:f>0</x:f>
        <x:v>0</x:v>
      </x:c>
      <x:c r="D11" s="100" t="n">
        <x:f t="shared" si="0">B11-C11</x:f>
        <x:v>51681.829297795455</x:v>
      </x:c>
      <x:c r="E11" s="100">
        <x:v>0</x:v>
      </x:c>
      <x:c r="F11" s="99" t="str">
        <x:f>IF(B11&gt;0,"OK","REVISAR")</x:f>
        <x:v>OK</x:v>
      </x:c>
      <x:c r="G11" s="98" t="s">
        <x:v>783</x:v>
      </x:c>
    </x:row>
    <x:row r="12">
      <x:c r="A12" s="98" t="s">
        <x:v>784</x:v>
      </x:c>
      <x:c r="B12" s="101" t="n">
        <x:f>'FLUJO DE CAJA'!B62</x:f>
        <x:v>0.29051632541521966</x:v>
      </x:c>
      <x:c r="C12" s="101" t="n">
        <x:f>'FLUJO DE CAJA'!B43</x:f>
        <x:v>0.14</x:v>
      </x:c>
      <x:c r="D12" s="101" t="n">
        <x:f t="shared" si="0">B12-C12</x:f>
        <x:v>0.15051632541521964</x:v>
      </x:c>
      <x:c r="E12" s="100">
        <x:v>0</x:v>
      </x:c>
      <x:c r="F12" s="99" t="str">
        <x:f>IF(B12&gt;C12,"OK","REVISAR")</x:f>
        <x:v>OK</x:v>
      </x:c>
      <x:c r="G12" s="98" t="s">
        <x:v>785</x:v>
      </x:c>
    </x:row>
    <x:row r="13">
      <x:c r="A13" s="98" t="s">
        <x:v>786</x:v>
      </x:c>
      <x:c r="B13" s="100" t="n">
        <x:f>'RESUMEN FINANCIERO'!B15</x:f>
        <x:v>32062.729010744115</x:v>
      </x:c>
      <x:c r="C13" s="100" t="n">
        <x:f>0</x:f>
        <x:v>0</x:v>
      </x:c>
      <x:c r="D13" s="100" t="n">
        <x:f t="shared" si="0">B13-C13</x:f>
        <x:v>32062.729010744115</x:v>
      </x:c>
      <x:c r="E13" s="100">
        <x:v>0</x:v>
      </x:c>
      <x:c r="F13" s="99" t="str">
        <x:f>IF(B13&gt;0,"OK","REVISAR")</x:f>
        <x:v>OK</x:v>
      </x:c>
      <x:c r="G13" s="98" t="s">
        <x:v>787</x:v>
      </x:c>
    </x:row>
    <x:row r="14">
      <x:c r="A14" s="386" t="str">
        <x:v>Eventos mensuales no exceden capacidad</x:v>
      </x:c>
      <x:c r="B14" s="386" t="n">
        <x:f>MAX('PROYECCION DE VENTAS'!B6-'PROYECCION DE VENTAS'!F6,'PROYECCION DE VENTAS'!B7-'PROYECCION DE VENTAS'!F7,'PROYECCION DE VENTAS'!B8-'PROYECCION DE VENTAS'!F8,'PROYECCION DE VENTAS'!B9-'PROYECCION DE VENTAS'!F9,'PROYECCION DE VENTAS'!B10-'PROYECCION DE VENTAS'!F10,'PROYECCION DE VENTAS'!B11-'PROYECCION DE VENTAS'!F11,'PROYECCION DE VENTAS'!B12-'PROYECCION DE VENTAS'!F12,'PROYECCION DE VENTAS'!B13-'PROYECCION DE VENTAS'!F13,'PROYECCION DE VENTAS'!B14-'PROYECCION DE VENTAS'!F14,'PROYECCION DE VENTAS'!B15-'PROYECCION DE VENTAS'!F15,'PROYECCION DE VENTAS'!B16-'PROYECCION DE VENTAS'!F16,'PROYECCION DE VENTAS'!B17-'PROYECCION DE VENTAS'!F17)</x:f>
        <x:v>0</x:v>
      </x:c>
      <x:c r="C14" s="386" t="n">
        <x:v>0</x:v>
      </x:c>
      <x:c r="D14" s="386" t="n">
        <x:f>B14-C14</x:f>
        <x:v>0</x:v>
      </x:c>
      <x:c r="E14" s="386" t="n">
        <x:v>0</x:v>
      </x:c>
      <x:c r="F14" s="387" t="str">
        <x:f>IF(B14&lt;=C14,"OK","REVISAR")</x:f>
        <x:v>OK</x:v>
      </x:c>
      <x:c r="G14" s="386" t="str">
        <x:v>PROYECCION DE VENTAS B6:B17 vs F6:F17</x:v>
      </x:c>
    </x:row>
    <x:row r="15">
      <x:c r="A15" s="384" t="str">
        <x:v>Eventos mensuales no exceden demanda</x:v>
      </x:c>
      <x:c r="B15" s="384" t="n">
        <x:f>MAX('PROYECCION DE VENTAS'!B6-'PROYECCION DE VENTAS'!G6,'PROYECCION DE VENTAS'!B7-'PROYECCION DE VENTAS'!G7,'PROYECCION DE VENTAS'!B8-'PROYECCION DE VENTAS'!G8,'PROYECCION DE VENTAS'!B9-'PROYECCION DE VENTAS'!G9,'PROYECCION DE VENTAS'!B10-'PROYECCION DE VENTAS'!G10,'PROYECCION DE VENTAS'!B11-'PROYECCION DE VENTAS'!G11,'PROYECCION DE VENTAS'!B12-'PROYECCION DE VENTAS'!G12,'PROYECCION DE VENTAS'!B13-'PROYECCION DE VENTAS'!G13,'PROYECCION DE VENTAS'!B14-'PROYECCION DE VENTAS'!G14,'PROYECCION DE VENTAS'!B15-'PROYECCION DE VENTAS'!G15,'PROYECCION DE VENTAS'!B16-'PROYECCION DE VENTAS'!G16,'PROYECCION DE VENTAS'!B17-'PROYECCION DE VENTAS'!G17)</x:f>
        <x:v>0</x:v>
      </x:c>
      <x:c r="C15" s="384" t="n">
        <x:v>0</x:v>
      </x:c>
      <x:c r="D15" s="384" t="n">
        <x:f>B15-C15</x:f>
        <x:v>0</x:v>
      </x:c>
      <x:c r="E15" s="384" t="n">
        <x:v>0</x:v>
      </x:c>
      <x:c r="F15" s="385" t="str">
        <x:f>IF(B15&lt;=C15,"OK","REVISAR")</x:f>
        <x:v>OK</x:v>
      </x:c>
      <x:c r="G15" s="384" t="str">
        <x:v>PROYECCION DE VENTAS B6:B17 vs G6:G17</x:v>
      </x:c>
    </x:row>
    <x:row r="16">
      <x:c r="A16" s="386" t="str">
        <x:v>Sueldo base socios no menor a RMV</x:v>
      </x:c>
      <x:c r="B16" s="386" t="n">
        <x:f>MIN('GASTOS ADMINISTRATIVOS'!C17:C19,'GASTOS ADMINISTRATIVOS'!C25:C27,'GASTOS ADMINISTRATIVOS'!C34:C36)</x:f>
        <x:v>1130</x:v>
      </x:c>
      <x:c r="C16" s="386" t="n">
        <x:v>1130</x:v>
      </x:c>
      <x:c r="D16" s="386" t="n">
        <x:f>B16-C16</x:f>
        <x:v>0</x:v>
      </x:c>
      <x:c r="E16" s="386" t="n">
        <x:v>0</x:v>
      </x:c>
      <x:c r="F16" s="387" t="str">
        <x:f>IF(B16&gt;=C16,"OK","REVISAR")</x:f>
        <x:v>OK</x:v>
      </x:c>
      <x:c r="G16" s="386" t="str">
        <x:v>GASTOS ADMINISTRATIVOS C17:C19, C25:C27 y C34:C36</x:v>
      </x:c>
    </x:row>
    <x:row r="17">
      <x:c r="A17" s="384" t="str">
        <x:v>Técnicos part-time no menores a 50% RMV</x:v>
      </x:c>
      <x:c r="B17" s="384" t="n">
        <x:f>MIN('GASTOS ADMINISTRATIVOS'!C20:C21,'GASTOS ADMINISTRATIVOS'!C28:C30,'GASTOS ADMINISTRATIVOS'!C37:C40)</x:f>
        <x:v>600</x:v>
      </x:c>
      <x:c r="C17" s="384" t="n">
        <x:v>565</x:v>
      </x:c>
      <x:c r="D17" s="384" t="n">
        <x:f>B17-C17</x:f>
        <x:v>35</x:v>
      </x:c>
      <x:c r="E17" s="384" t="n">
        <x:v>0</x:v>
      </x:c>
      <x:c r="F17" s="385" t="str">
        <x:f>IF(B17&gt;=C17,"OK","REVISAR")</x:f>
        <x:v>OK</x:v>
      </x:c>
      <x:c r="G17" s="384" t="str">
        <x:v>GASTOS ADMINISTRATIVOS C20:C21, C28:C30 y C37:C40</x:v>
      </x:c>
    </x:row>
  </x:sheetData>
  <x:mergeCells>
    <x:mergeCell ref="A1:G1"/>
  </x:mergeCells>
  <x:pageMargins left="0.7" right="0.7" top="0.75" bottom="0.75" header="0.3" footer="0.3"/>
</x:worksheet>
</file>