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chu\Projects\repo_hob\Project_Urenregistratie\"/>
    </mc:Choice>
  </mc:AlternateContent>
  <xr:revisionPtr revIDLastSave="0" documentId="8_{0D1981C4-C6BB-4028-9A5D-EF17CEB4D135}" xr6:coauthVersionLast="47" xr6:coauthVersionMax="47" xr10:uidLastSave="{00000000-0000-0000-0000-000000000000}"/>
  <bookViews>
    <workbookView xWindow="-110" yWindow="-110" windowWidth="22780" windowHeight="14540" activeTab="1" xr2:uid="{E46B02AB-2611-4B92-875E-0769277ACA7F}"/>
  </bookViews>
  <sheets>
    <sheet name="Hybride Principal" sheetId="1" r:id="rId1"/>
    <sheet name="Hybride P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2" l="1"/>
  <c r="J1" i="2" s="1"/>
  <c r="I1" i="1"/>
  <c r="I3" i="2"/>
  <c r="I4" i="1"/>
  <c r="J13" i="1" l="1"/>
  <c r="K13" i="1" s="1"/>
  <c r="I6" i="1" l="1"/>
  <c r="I3" i="1"/>
  <c r="I2" i="2" l="1"/>
  <c r="I4" i="2" s="1"/>
  <c r="I2" i="1"/>
  <c r="I5" i="1" l="1"/>
  <c r="I5" i="2"/>
  <c r="C13" i="2"/>
  <c r="D13" i="2" s="1"/>
  <c r="E13" i="2"/>
  <c r="B25" i="2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E14" i="2" l="1"/>
  <c r="E22" i="2"/>
  <c r="E18" i="2"/>
  <c r="E23" i="2"/>
  <c r="E19" i="2"/>
  <c r="E16" i="2"/>
  <c r="F20" i="2"/>
  <c r="E21" i="2"/>
  <c r="E17" i="2"/>
  <c r="E24" i="2"/>
  <c r="E20" i="2"/>
  <c r="E15" i="2"/>
  <c r="F13" i="2"/>
  <c r="G13" i="2" s="1"/>
  <c r="F15" i="2"/>
  <c r="I19" i="2"/>
  <c r="J19" i="2" s="1"/>
  <c r="I13" i="2"/>
  <c r="J13" i="2" s="1"/>
  <c r="F22" i="2"/>
  <c r="F16" i="2"/>
  <c r="F21" i="2"/>
  <c r="I16" i="2"/>
  <c r="J16" i="2" s="1"/>
  <c r="F18" i="2"/>
  <c r="F19" i="2"/>
  <c r="I22" i="2"/>
  <c r="J22" i="2" s="1"/>
  <c r="F24" i="2"/>
  <c r="I24" i="2"/>
  <c r="J24" i="2" s="1"/>
  <c r="I14" i="2"/>
  <c r="J14" i="2" s="1"/>
  <c r="I15" i="2"/>
  <c r="J15" i="2" s="1"/>
  <c r="F17" i="2"/>
  <c r="I20" i="2"/>
  <c r="J20" i="2" s="1"/>
  <c r="I21" i="2"/>
  <c r="J21" i="2" s="1"/>
  <c r="F23" i="2"/>
  <c r="F14" i="2"/>
  <c r="I17" i="2"/>
  <c r="J17" i="2" s="1"/>
  <c r="I18" i="2"/>
  <c r="J18" i="2" s="1"/>
  <c r="I23" i="2"/>
  <c r="J23" i="2" s="1"/>
  <c r="G16" i="2" l="1"/>
  <c r="G20" i="2"/>
  <c r="G22" i="2"/>
  <c r="G24" i="2"/>
  <c r="G17" i="2"/>
  <c r="G18" i="2"/>
  <c r="G14" i="2"/>
  <c r="J25" i="2"/>
  <c r="I25" i="2"/>
  <c r="G21" i="2"/>
  <c r="G19" i="2"/>
  <c r="G15" i="2"/>
  <c r="G23" i="2"/>
  <c r="C13" i="1"/>
  <c r="D13" i="1" s="1"/>
  <c r="H24" i="2" l="1"/>
  <c r="H21" i="2"/>
  <c r="H15" i="2"/>
  <c r="H18" i="2"/>
  <c r="F13" i="1"/>
  <c r="E16" i="1" l="1"/>
  <c r="E13" i="1"/>
  <c r="E19" i="1"/>
  <c r="E22" i="1"/>
  <c r="E21" i="1"/>
  <c r="E24" i="1"/>
  <c r="E18" i="1"/>
  <c r="E17" i="1"/>
  <c r="E15" i="1"/>
  <c r="E20" i="1"/>
  <c r="E14" i="1"/>
  <c r="E23" i="1"/>
  <c r="H25" i="2"/>
  <c r="K25" i="2" s="1"/>
  <c r="C14" i="1" l="1"/>
  <c r="C15" i="1"/>
  <c r="C16" i="1"/>
  <c r="C17" i="1"/>
  <c r="C18" i="1"/>
  <c r="C19" i="1"/>
  <c r="C20" i="1"/>
  <c r="C21" i="1"/>
  <c r="C22" i="1"/>
  <c r="C23" i="1"/>
  <c r="C24" i="1"/>
  <c r="I24" i="1" l="1"/>
  <c r="I25" i="1" l="1"/>
  <c r="G13" i="1" l="1"/>
  <c r="D14" i="1"/>
  <c r="D15" i="1"/>
  <c r="D16" i="1"/>
  <c r="D17" i="1"/>
  <c r="D18" i="1"/>
  <c r="D19" i="1"/>
  <c r="D20" i="1"/>
  <c r="D21" i="1"/>
  <c r="D22" i="1"/>
  <c r="D23" i="1"/>
  <c r="D24" i="1"/>
  <c r="B25" i="1"/>
  <c r="J14" i="1" l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H15" i="1" l="1"/>
  <c r="J25" i="1"/>
  <c r="K25" i="1"/>
  <c r="H24" i="1"/>
  <c r="H21" i="1"/>
  <c r="H18" i="1"/>
  <c r="H25" i="1" l="1"/>
  <c r="L25" i="1" s="1"/>
  <c r="K1" i="1"/>
</calcChain>
</file>

<file path=xl/sharedStrings.xml><?xml version="1.0" encoding="utf-8"?>
<sst xmlns="http://schemas.openxmlformats.org/spreadsheetml/2006/main" count="88" uniqueCount="47">
  <si>
    <t>Parttime percentage</t>
  </si>
  <si>
    <t>Huidig tarief</t>
  </si>
  <si>
    <t>Normtarief</t>
  </si>
  <si>
    <t>Hybride vastloon parttime</t>
  </si>
  <si>
    <t>Maandomzettarget</t>
  </si>
  <si>
    <t>Kwartaalomzettarget</t>
  </si>
  <si>
    <t>Tarief</t>
  </si>
  <si>
    <t>Omzet</t>
  </si>
  <si>
    <t>Target</t>
  </si>
  <si>
    <t>Bonus</t>
  </si>
  <si>
    <t>Opleidingskosten</t>
  </si>
  <si>
    <t>Maand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</si>
  <si>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</si>
  <si>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</si>
  <si>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</si>
  <si>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</si>
  <si>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</si>
  <si>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</si>
  <si>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</si>
  <si>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</si>
  <si>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</si>
  <si>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</si>
  <si>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</si>
  <si>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</si>
  <si>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Vast. Salaris</t>
  </si>
  <si>
    <t>Bonus Q.</t>
  </si>
  <si>
    <t>Max. tarief hybride</t>
  </si>
  <si>
    <t>Max aantal uren</t>
  </si>
  <si>
    <t>Principal</t>
  </si>
  <si>
    <t>KPI</t>
  </si>
  <si>
    <t>Max. Omzet</t>
  </si>
  <si>
    <t>KPI Bonus gehaald</t>
  </si>
  <si>
    <t>Ja</t>
  </si>
  <si>
    <t>Nee</t>
  </si>
  <si>
    <t>Voorbeeld hybride principal</t>
  </si>
  <si>
    <t>Vak. geld</t>
  </si>
  <si>
    <t>Opleidingskosten hybride</t>
  </si>
  <si>
    <t>Vaste kosten</t>
  </si>
  <si>
    <t>Bonus %</t>
  </si>
  <si>
    <t>Declarabele uren</t>
  </si>
  <si>
    <t>Hybride model</t>
  </si>
  <si>
    <t>Uren</t>
  </si>
  <si>
    <t>Pro</t>
  </si>
  <si>
    <t>Voorbeeld hybride pro</t>
  </si>
  <si>
    <t>De groen gekleurde cellen kunnen worden aangepast: als je een ander aantal declarabele uren of een ander tarief invult, wordt de bonus herberekend.</t>
  </si>
  <si>
    <t>HoB Pro</t>
  </si>
  <si>
    <t>HoB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</si>
</sst>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44" fontId="0" fillId="0" borderId="0" xfId="2" applyFont="1"/>
    <xf numFmtId="0" fontId="0" fillId="0" borderId="1" xfId="0" applyBorder="1"/>
    <xf numFmtId="44" fontId="0" fillId="0" borderId="6" xfId="2" applyFont="1" applyBorder="1"/>
    <xf numFmtId="0" fontId="0" fillId="0" borderId="8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" xfId="0" applyNumberFormat="1" applyBorder="1"/>
    <xf numFmtId="44" fontId="0" fillId="0" borderId="1" xfId="2" applyFont="1" applyBorder="1"/>
    <xf numFmtId="0" fontId="0" fillId="0" borderId="0" xfId="0" applyAlignment="1">
      <alignment horizontal="left"/>
    </xf>
    <xf numFmtId="44" fontId="2" fillId="0" borderId="12" xfId="0" applyNumberFormat="1" applyFont="1" applyBorder="1"/>
    <xf numFmtId="44" fontId="0" fillId="0" borderId="11" xfId="0" applyNumberFormat="1" applyBorder="1"/>
    <xf numFmtId="0" fontId="2" fillId="0" borderId="15" xfId="0" applyFont="1" applyBorder="1"/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4" fontId="1" fillId="0" borderId="10" xfId="2" applyBorder="1"/>
    <xf numFmtId="44" fontId="1" fillId="0" borderId="11" xfId="2" applyBorder="1"/>
    <xf numFmtId="0" fontId="0" fillId="0" borderId="15" xfId="0" applyBorder="1"/>
    <xf numFmtId="0" fontId="0" fillId="0" borderId="10" xfId="0" applyBorder="1"/>
    <xf numFmtId="44" fontId="0" fillId="0" borderId="10" xfId="2" applyFont="1" applyBorder="1"/>
    <xf numFmtId="44" fontId="0" fillId="0" borderId="11" xfId="2" applyFont="1" applyBorder="1"/>
    <xf numFmtId="0" fontId="2" fillId="0" borderId="0" xfId="0" applyFont="1"/>
    <xf numFmtId="0" fontId="0" fillId="4" borderId="0" xfId="0" applyFill="1"/>
    <xf numFmtId="0" fontId="0" fillId="0" borderId="0" xfId="0" applyAlignment="1">
      <alignment horizontal="left" vertical="top"/>
    </xf>
    <xf numFmtId="43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44" fontId="2" fillId="2" borderId="16" xfId="0" applyNumberFormat="1" applyFont="1" applyFill="1" applyBorder="1"/>
    <xf numFmtId="43" fontId="0" fillId="0" borderId="9" xfId="1" applyFont="1" applyBorder="1"/>
    <xf numFmtId="0" fontId="0" fillId="0" borderId="0" xfId="0" applyProtection="1">
      <protection hidden="1"/>
    </xf>
    <xf numFmtId="9" fontId="0" fillId="0" borderId="0" xfId="0" applyNumberFormat="1" applyProtection="1">
      <protection hidden="1"/>
    </xf>
    <xf numFmtId="43" fontId="2" fillId="0" borderId="11" xfId="0" applyNumberFormat="1" applyFont="1" applyBorder="1"/>
    <xf numFmtId="0" fontId="0" fillId="0" borderId="17" xfId="0" applyBorder="1"/>
    <xf numFmtId="44" fontId="0" fillId="0" borderId="17" xfId="0" applyNumberFormat="1" applyBorder="1"/>
    <xf numFmtId="44" fontId="0" fillId="0" borderId="17" xfId="2" applyFont="1" applyBorder="1"/>
    <xf numFmtId="44" fontId="1" fillId="0" borderId="15" xfId="2" applyBorder="1"/>
    <xf numFmtId="43" fontId="2" fillId="0" borderId="11" xfId="0" applyNumberFormat="1" applyFont="1" applyBorder="1" applyProtection="1">
      <protection hidden="1"/>
    </xf>
    <xf numFmtId="43" fontId="2" fillId="0" borderId="0" xfId="0" applyNumberFormat="1" applyFont="1" applyProtection="1">
      <protection hidden="1"/>
    </xf>
    <xf numFmtId="44" fontId="2" fillId="0" borderId="12" xfId="0" applyNumberFormat="1" applyFont="1" applyBorder="1" applyProtection="1">
      <protection hidden="1"/>
    </xf>
    <xf numFmtId="44" fontId="2" fillId="2" borderId="16" xfId="0" applyNumberFormat="1" applyFont="1" applyFill="1" applyBorder="1" applyProtection="1">
      <protection hidden="1"/>
    </xf>
    <xf numFmtId="44" fontId="0" fillId="0" borderId="0" xfId="2" applyFont="1" applyProtection="1">
      <protection hidden="1"/>
    </xf>
    <xf numFmtId="0" fontId="0" fillId="0" borderId="0" xfId="0" applyAlignment="1" applyProtection="1">
      <alignment horizontal="left"/>
      <protection hidden="1"/>
    </xf>
    <xf numFmtId="0" fontId="0" fillId="4" borderId="0" xfId="0" applyFill="1" applyProtection="1">
      <protection hidden="1"/>
    </xf>
    <xf numFmtId="44" fontId="0" fillId="0" borderId="17" xfId="0" applyNumberFormat="1" applyBorder="1" applyProtection="1">
      <protection hidden="1"/>
    </xf>
    <xf numFmtId="44" fontId="0" fillId="0" borderId="17" xfId="2" applyFont="1" applyBorder="1" applyProtection="1">
      <protection hidden="1"/>
    </xf>
    <xf numFmtId="44" fontId="0" fillId="0" borderId="19" xfId="0" applyNumberFormat="1" applyBorder="1" applyProtection="1">
      <protection hidden="1"/>
    </xf>
    <xf numFmtId="44" fontId="1" fillId="0" borderId="10" xfId="2" applyBorder="1" applyProtection="1">
      <protection hidden="1"/>
    </xf>
    <xf numFmtId="44" fontId="0" fillId="0" borderId="10" xfId="0" applyNumberFormat="1" applyBorder="1" applyProtection="1">
      <protection hidden="1"/>
    </xf>
    <xf numFmtId="44" fontId="0" fillId="0" borderId="0" xfId="0" applyNumberFormat="1" applyProtection="1">
      <protection hidden="1"/>
    </xf>
    <xf numFmtId="44" fontId="0" fillId="0" borderId="21" xfId="0" applyNumberFormat="1" applyBorder="1" applyProtection="1">
      <protection hidden="1"/>
    </xf>
    <xf numFmtId="44" fontId="0" fillId="0" borderId="1" xfId="0" applyNumberFormat="1" applyBorder="1" applyProtection="1">
      <protection hidden="1"/>
    </xf>
    <xf numFmtId="44" fontId="0" fillId="0" borderId="1" xfId="2" applyFont="1" applyBorder="1" applyProtection="1">
      <protection hidden="1"/>
    </xf>
    <xf numFmtId="44" fontId="0" fillId="0" borderId="23" xfId="0" applyNumberFormat="1" applyBorder="1" applyProtection="1">
      <protection hidden="1"/>
    </xf>
    <xf numFmtId="44" fontId="1" fillId="0" borderId="11" xfId="2" applyBorder="1" applyProtection="1">
      <protection hidden="1"/>
    </xf>
    <xf numFmtId="44" fontId="0" fillId="0" borderId="11" xfId="0" applyNumberForma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2" xfId="0" applyBorder="1" applyProtection="1">
      <protection hidden="1"/>
    </xf>
    <xf numFmtId="0" fontId="0" fillId="0" borderId="0" xfId="0" applyAlignment="1" applyProtection="1">
      <alignment horizontal="left" vertical="top"/>
      <protection hidden="1"/>
    </xf>
    <xf numFmtId="0" fontId="2" fillId="0" borderId="15" xfId="0" applyFont="1" applyBorder="1" applyProtection="1">
      <protection hidden="1"/>
    </xf>
    <xf numFmtId="0" fontId="0" fillId="0" borderId="13" xfId="0" applyBorder="1" applyAlignment="1" applyProtection="1">
      <alignment horizontal="center" vertical="top"/>
      <protection hidden="1"/>
    </xf>
    <xf numFmtId="0" fontId="0" fillId="0" borderId="14" xfId="0" applyBorder="1" applyAlignment="1" applyProtection="1">
      <alignment horizontal="center" vertical="top"/>
      <protection hidden="1"/>
    </xf>
    <xf numFmtId="0" fontId="0" fillId="0" borderId="12" xfId="0" applyBorder="1" applyAlignment="1" applyProtection="1">
      <alignment horizontal="center" vertical="top"/>
      <protection hidden="1"/>
    </xf>
    <xf numFmtId="0" fontId="2" fillId="0" borderId="12" xfId="0" applyFont="1" applyBorder="1" applyAlignment="1" applyProtection="1">
      <alignment horizontal="center" vertical="top"/>
      <protection hidden="1"/>
    </xf>
    <xf numFmtId="0" fontId="0" fillId="0" borderId="3" xfId="0" applyBorder="1" applyProtection="1">
      <protection hidden="1"/>
    </xf>
    <xf numFmtId="0" fontId="4" fillId="0" borderId="0" xfId="0" applyFont="1" applyProtection="1">
      <protection hidden="1"/>
    </xf>
    <xf numFmtId="44" fontId="0" fillId="0" borderId="6" xfId="2" applyFont="1" applyBorder="1" applyProtection="1">
      <protection hidden="1"/>
    </xf>
    <xf numFmtId="0" fontId="0" fillId="0" borderId="8" xfId="0" applyBorder="1" applyProtection="1">
      <protection hidden="1"/>
    </xf>
    <xf numFmtId="44" fontId="0" fillId="0" borderId="9" xfId="2" applyFont="1" applyBorder="1" applyProtection="1">
      <protection hidden="1"/>
    </xf>
    <xf numFmtId="43" fontId="0" fillId="3" borderId="15" xfId="1" applyFont="1" applyFill="1" applyBorder="1" applyProtection="1">
      <protection locked="0"/>
    </xf>
    <xf numFmtId="43" fontId="0" fillId="3" borderId="10" xfId="1" applyFont="1" applyFill="1" applyBorder="1" applyProtection="1">
      <protection locked="0"/>
    </xf>
    <xf numFmtId="43" fontId="0" fillId="3" borderId="11" xfId="1" applyFont="1" applyFill="1" applyBorder="1" applyProtection="1">
      <protection locked="0"/>
    </xf>
    <xf numFmtId="44" fontId="0" fillId="3" borderId="15" xfId="2" applyFont="1" applyFill="1" applyBorder="1" applyProtection="1">
      <protection locked="0"/>
    </xf>
    <xf numFmtId="9" fontId="0" fillId="3" borderId="10" xfId="3" applyFont="1" applyFill="1" applyBorder="1" applyProtection="1">
      <protection locked="0"/>
    </xf>
    <xf numFmtId="44" fontId="0" fillId="3" borderId="10" xfId="2" applyFont="1" applyFill="1" applyBorder="1" applyProtection="1">
      <protection locked="0"/>
    </xf>
    <xf numFmtId="0" fontId="0" fillId="3" borderId="24" xfId="0" applyFill="1" applyBorder="1" applyAlignment="1" applyProtection="1">
      <alignment horizontal="right"/>
      <protection locked="0"/>
    </xf>
    <xf numFmtId="44" fontId="0" fillId="3" borderId="25" xfId="2" applyFont="1" applyFill="1" applyBorder="1" applyProtection="1">
      <protection locked="0"/>
    </xf>
    <xf numFmtId="44" fontId="0" fillId="3" borderId="24" xfId="2" applyFont="1" applyFill="1" applyBorder="1" applyProtection="1">
      <protection locked="0"/>
    </xf>
    <xf numFmtId="0" fontId="0" fillId="0" borderId="0" xfId="0" quotePrefix="1"/>
    <xf numFmtId="0" fontId="0" fillId="0" borderId="26" xfId="0" applyBorder="1"/>
    <xf numFmtId="6" fontId="5" fillId="0" borderId="0" xfId="0" applyNumberFormat="1" applyFont="1"/>
    <xf numFmtId="44" fontId="0" fillId="0" borderId="6" xfId="2" applyFont="1" applyFill="1" applyBorder="1"/>
    <xf numFmtId="44" fontId="0" fillId="0" borderId="4" xfId="2" applyFont="1" applyFill="1" applyBorder="1"/>
    <xf numFmtId="44" fontId="0" fillId="0" borderId="6" xfId="2" applyFont="1" applyFill="1" applyBorder="1" applyProtection="1">
      <protection hidden="1"/>
    </xf>
    <xf numFmtId="44" fontId="0" fillId="0" borderId="4" xfId="2" applyFont="1" applyFill="1" applyBorder="1" applyProtection="1">
      <protection hidden="1"/>
    </xf>
    <xf numFmtId="0" fontId="0" fillId="0" borderId="5" xfId="0" applyBorder="1" applyProtection="1">
      <protection hidden="1"/>
    </xf>
    <xf numFmtId="0" fontId="3" fillId="0" borderId="0" xfId="0" applyFont="1" applyAlignment="1">
      <alignment horizontal="left" vertical="top"/>
    </xf>
    <xf numFmtId="0" fontId="0" fillId="3" borderId="13" xfId="0" applyFill="1" applyBorder="1" applyAlignment="1" applyProtection="1">
      <alignment horizontal="center" vertical="top"/>
      <protection hidden="1"/>
    </xf>
    <xf numFmtId="0" fontId="0" fillId="3" borderId="14" xfId="0" applyFill="1" applyBorder="1" applyAlignment="1" applyProtection="1">
      <alignment horizontal="center" vertical="top"/>
      <protection hidden="1"/>
    </xf>
    <xf numFmtId="0" fontId="0" fillId="3" borderId="16" xfId="0" applyFill="1" applyBorder="1" applyAlignment="1" applyProtection="1">
      <alignment horizontal="center" vertical="top"/>
      <protection hidden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 applyProtection="1">
      <alignment horizontal="left" vertical="top"/>
      <protection hidden="1"/>
    </xf>
    <xf numFmtId="0" fontId="0" fillId="0" borderId="3" xfId="0" applyBorder="1" applyAlignment="1" applyProtection="1">
      <alignment horizontal="left" vertical="top"/>
      <protection hidden="1"/>
    </xf>
    <xf numFmtId="0" fontId="0" fillId="0" borderId="5" xfId="0" applyBorder="1" applyAlignment="1" applyProtection="1">
      <alignment horizontal="left" vertical="top"/>
      <protection hidden="1"/>
    </xf>
    <xf numFmtId="0" fontId="0" fillId="0" borderId="0" xfId="0" applyAlignment="1" applyProtection="1">
      <alignment horizontal="left" vertical="top"/>
      <protection hidden="1"/>
    </xf>
    <xf numFmtId="0" fontId="3" fillId="0" borderId="0" xfId="0" applyFont="1" applyAlignment="1" applyProtection="1">
      <alignment horizontal="left" vertical="top"/>
      <protection hidden="1"/>
    </xf>
    <xf numFmtId="0" fontId="0" fillId="0" borderId="7" xfId="0" applyBorder="1" applyAlignment="1" applyProtection="1">
      <alignment horizontal="left" vertical="top"/>
      <protection hidden="1"/>
    </xf>
    <xf numFmtId="0" fontId="0" fillId="0" borderId="8" xfId="0" applyBorder="1" applyAlignment="1" applyProtection="1">
      <alignment horizontal="left" vertical="top"/>
      <protection hidden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2A60-45F0-47C6-9A21-2F7E58BEC2C7}">
  <dimension ref="A1:S31"/>
  <sheetViews>
    <sheetView showGridLines="0" zoomScaleNormal="100" workbookViewId="0">
      <selection activeCell="D2" sqref="D2"/>
    </sheetView>
  </sheetViews>
  <sheetFormatPr defaultRowHeight="14.5" x14ac:dyDescent="0.35"/>
  <cols>
    <col min="1" max="3" width="12.08984375" customWidth="1"/>
    <col min="4" max="4" width="13.6328125" bestFit="1" customWidth="1"/>
    <col min="5" max="12" width="12.08984375" customWidth="1"/>
    <col min="13" max="13" width="11.54296875" customWidth="1"/>
    <col min="14" max="14" width="11.453125" bestFit="1" customWidth="1"/>
    <col min="15" max="15" width="9.54296875" customWidth="1"/>
    <col min="16" max="16" width="16.36328125" customWidth="1"/>
    <col min="17" max="17" width="12" customWidth="1"/>
    <col min="18" max="18" width="9.08984375" customWidth="1"/>
    <col min="19" max="19" width="5.90625" customWidth="1"/>
    <col min="20" max="20" width="9.08984375" customWidth="1"/>
  </cols>
  <sheetData>
    <row r="1" spans="1:19" x14ac:dyDescent="0.35">
      <c r="A1" s="98" t="s">
        <v>40</v>
      </c>
      <c r="B1" s="97"/>
      <c r="C1" s="97"/>
      <c r="D1" s="75" t="s">
        <v>46</v>
      </c>
      <c r="E1" s="82"/>
      <c r="F1" s="97" t="s">
        <v>3</v>
      </c>
      <c r="G1" s="97"/>
      <c r="H1" s="97"/>
      <c r="I1" s="85">
        <f>IF(D4=0,0,IF(D1=Q1,((D4*0.75*Q4*IF(D2&gt;100%,100%,D2))-Q2)/(((108%+Q3)*120%)+35%)*0.95,0)+35+(100*D2)+(150*D2)+(100*D2))</f>
        <v>0</v>
      </c>
      <c r="J1" s="83"/>
      <c r="K1" s="28">
        <f>35+((B9*0.75*L4*B4)-L2)/(((108%+L3)*120%)+35%)*0.95</f>
        <v>35</v>
      </c>
      <c r="P1" s="31"/>
      <c r="Q1" s="31" t="s">
        <v>46</v>
      </c>
      <c r="S1" t="s">
        <v>32</v>
      </c>
    </row>
    <row r="2" spans="1:19" x14ac:dyDescent="0.35">
      <c r="A2" s="95" t="s">
        <v>0</v>
      </c>
      <c r="B2" s="96"/>
      <c r="C2" s="96"/>
      <c r="D2" s="76"/>
      <c r="F2" s="96" t="s">
        <v>36</v>
      </c>
      <c r="G2" s="96"/>
      <c r="H2" s="96"/>
      <c r="I2" s="3">
        <f>IF(D5&gt;4200,D5-4200,0)</f>
        <v>0</v>
      </c>
      <c r="K2" s="28"/>
      <c r="P2" s="31" t="s">
        <v>37</v>
      </c>
      <c r="Q2" s="31">
        <v>1100</v>
      </c>
      <c r="S2" t="s">
        <v>33</v>
      </c>
    </row>
    <row r="3" spans="1:19" x14ac:dyDescent="0.35">
      <c r="A3" s="95" t="s">
        <v>1</v>
      </c>
      <c r="B3" s="96"/>
      <c r="C3" s="96"/>
      <c r="D3" s="77"/>
      <c r="F3" s="96" t="s">
        <v>26</v>
      </c>
      <c r="G3" s="96"/>
      <c r="H3" s="96"/>
      <c r="I3" s="3">
        <f>IF(D4=0,0,D4+20)</f>
        <v>0</v>
      </c>
      <c r="P3" s="31" t="s">
        <v>38</v>
      </c>
      <c r="Q3" s="32">
        <v>0.04</v>
      </c>
    </row>
    <row r="4" spans="1:19" x14ac:dyDescent="0.35">
      <c r="A4" s="95" t="s">
        <v>2</v>
      </c>
      <c r="B4" s="96"/>
      <c r="C4" s="96"/>
      <c r="D4" s="77"/>
      <c r="F4" s="96" t="s">
        <v>4</v>
      </c>
      <c r="G4" s="96"/>
      <c r="H4" s="96"/>
      <c r="I4" s="84">
        <f>IF(D4=0,0,IF(D1=Q1,D4*Q4*IF(D2&gt;100%,100%,D2)+((I2)/12),0))+(100*D2)+(150*D2)+(100*D2)</f>
        <v>0</v>
      </c>
      <c r="J4" s="28" t="s">
        <v>33</v>
      </c>
      <c r="P4" s="31" t="s">
        <v>39</v>
      </c>
      <c r="Q4" s="31">
        <v>135.30000000000001</v>
      </c>
    </row>
    <row r="5" spans="1:19" x14ac:dyDescent="0.35">
      <c r="A5" s="95" t="s">
        <v>10</v>
      </c>
      <c r="B5" s="96"/>
      <c r="C5" s="96"/>
      <c r="D5" s="77"/>
      <c r="F5" s="96" t="s">
        <v>5</v>
      </c>
      <c r="G5" s="96"/>
      <c r="H5" s="96"/>
      <c r="I5" s="3">
        <f>I4*3</f>
        <v>0</v>
      </c>
      <c r="J5" s="5"/>
    </row>
    <row r="6" spans="1:19" ht="15" thickBot="1" x14ac:dyDescent="0.4">
      <c r="A6" s="93" t="s">
        <v>31</v>
      </c>
      <c r="B6" s="94"/>
      <c r="C6" s="94"/>
      <c r="D6" s="78" t="s">
        <v>32</v>
      </c>
      <c r="E6" s="4"/>
      <c r="F6" s="94" t="s">
        <v>27</v>
      </c>
      <c r="G6" s="94"/>
      <c r="H6" s="94"/>
      <c r="I6" s="30">
        <f>160*IF(D2&gt;100%,100%,D2)</f>
        <v>0</v>
      </c>
    </row>
    <row r="8" spans="1:19" x14ac:dyDescent="0.35">
      <c r="F8" s="25"/>
    </row>
    <row r="9" spans="1:19" x14ac:dyDescent="0.35">
      <c r="A9" s="89" t="s">
        <v>34</v>
      </c>
      <c r="B9" s="89"/>
      <c r="C9" s="89"/>
      <c r="L9" s="5"/>
      <c r="N9" s="5"/>
    </row>
    <row r="11" spans="1:19" x14ac:dyDescent="0.35">
      <c r="A11" s="12" t="s">
        <v>28</v>
      </c>
    </row>
    <row r="12" spans="1:19" x14ac:dyDescent="0.35">
      <c r="A12" s="13" t="s">
        <v>11</v>
      </c>
      <c r="B12" s="14" t="s">
        <v>41</v>
      </c>
      <c r="C12" s="14" t="s">
        <v>6</v>
      </c>
      <c r="D12" s="14" t="s">
        <v>7</v>
      </c>
      <c r="E12" s="14" t="s">
        <v>30</v>
      </c>
      <c r="F12" s="14" t="s">
        <v>8</v>
      </c>
      <c r="G12" s="16" t="s">
        <v>9</v>
      </c>
      <c r="H12" s="15" t="s">
        <v>25</v>
      </c>
      <c r="I12" s="15" t="s">
        <v>29</v>
      </c>
      <c r="J12" s="15" t="s">
        <v>24</v>
      </c>
      <c r="K12" s="15" t="s">
        <v>35</v>
      </c>
      <c r="M12" s="5"/>
      <c r="N12" s="5"/>
    </row>
    <row r="13" spans="1:19" x14ac:dyDescent="0.35">
      <c r="A13" s="34" t="s">
        <v>12</v>
      </c>
      <c r="B13" s="72"/>
      <c r="C13" s="35">
        <f>$D$3</f>
        <v>0</v>
      </c>
      <c r="D13" s="36">
        <f>B13*C13</f>
        <v>0</v>
      </c>
      <c r="E13" s="36">
        <f>$I$3*$I$6</f>
        <v>0</v>
      </c>
      <c r="F13" s="35">
        <f>$I$4</f>
        <v>0</v>
      </c>
      <c r="G13" s="37">
        <f>IF(D13&gt;E13,(E13-F13)*55%,(D13-F13)*55%)</f>
        <v>0</v>
      </c>
      <c r="H13" s="17"/>
      <c r="I13" s="19"/>
      <c r="J13" s="6">
        <f>$I$1</f>
        <v>0</v>
      </c>
      <c r="K13" s="6">
        <f>J13*8.33%</f>
        <v>0</v>
      </c>
      <c r="N13" s="5"/>
    </row>
    <row r="14" spans="1:19" x14ac:dyDescent="0.35">
      <c r="A14" t="s">
        <v>13</v>
      </c>
      <c r="B14" s="73"/>
      <c r="C14" s="5">
        <f t="shared" ref="C14:C24" si="0">$D$3</f>
        <v>0</v>
      </c>
      <c r="D14" s="1">
        <f>B14*C14</f>
        <v>0</v>
      </c>
      <c r="E14" s="1">
        <f t="shared" ref="E14:E24" si="1">$I$3*$I$6</f>
        <v>0</v>
      </c>
      <c r="F14" s="5">
        <f t="shared" ref="F14:F24" si="2">$I$4</f>
        <v>0</v>
      </c>
      <c r="G14" s="17">
        <f t="shared" ref="G14:G24" si="3">IF(D14&gt;E14,(E14-F14)*55%,(D14-F14)*55%)</f>
        <v>0</v>
      </c>
      <c r="H14" s="17"/>
      <c r="I14" s="20"/>
      <c r="J14" s="6">
        <f t="shared" ref="J14:J24" si="4">$I$1</f>
        <v>0</v>
      </c>
      <c r="K14" s="6">
        <f t="shared" ref="K14:K24" si="5">J14*8.33%</f>
        <v>0</v>
      </c>
      <c r="P14" s="5"/>
    </row>
    <row r="15" spans="1:19" x14ac:dyDescent="0.35">
      <c r="A15" t="s">
        <v>14</v>
      </c>
      <c r="B15" s="73"/>
      <c r="C15" s="5">
        <f t="shared" si="0"/>
        <v>0</v>
      </c>
      <c r="D15" s="1">
        <f t="shared" ref="D15:D24" si="6">B15*C15</f>
        <v>0</v>
      </c>
      <c r="E15" s="1">
        <f t="shared" si="1"/>
        <v>0</v>
      </c>
      <c r="F15" s="5">
        <f t="shared" si="2"/>
        <v>0</v>
      </c>
      <c r="G15" s="17">
        <f t="shared" si="3"/>
        <v>0</v>
      </c>
      <c r="H15" s="17">
        <f>IF(IF(SUM(G13:G15)&lt;0,0,SUM(G13:G15))-($I$1/4)&lt;0,0,IF(SUM(G13:G15)&lt;0,0,SUM(G13:G15))-($I$1/4))</f>
        <v>0</v>
      </c>
      <c r="I15" s="21"/>
      <c r="J15" s="6">
        <f t="shared" si="4"/>
        <v>0</v>
      </c>
      <c r="K15" s="6">
        <f t="shared" si="5"/>
        <v>0</v>
      </c>
      <c r="N15" s="81"/>
      <c r="P15" s="5"/>
    </row>
    <row r="16" spans="1:19" x14ac:dyDescent="0.35">
      <c r="A16" t="s">
        <v>15</v>
      </c>
      <c r="B16" s="73"/>
      <c r="C16" s="5">
        <f t="shared" si="0"/>
        <v>0</v>
      </c>
      <c r="D16" s="1">
        <f t="shared" si="6"/>
        <v>0</v>
      </c>
      <c r="E16" s="1">
        <f t="shared" si="1"/>
        <v>0</v>
      </c>
      <c r="F16" s="5">
        <f t="shared" si="2"/>
        <v>0</v>
      </c>
      <c r="G16" s="17">
        <f t="shared" si="3"/>
        <v>0</v>
      </c>
      <c r="H16" s="17"/>
      <c r="I16" s="20"/>
      <c r="J16" s="6">
        <f t="shared" si="4"/>
        <v>0</v>
      </c>
      <c r="K16" s="6">
        <f t="shared" si="5"/>
        <v>0</v>
      </c>
    </row>
    <row r="17" spans="1:15" x14ac:dyDescent="0.35">
      <c r="A17" t="s">
        <v>16</v>
      </c>
      <c r="B17" s="73"/>
      <c r="C17" s="5">
        <f t="shared" si="0"/>
        <v>0</v>
      </c>
      <c r="D17" s="1">
        <f t="shared" si="6"/>
        <v>0</v>
      </c>
      <c r="E17" s="1">
        <f t="shared" si="1"/>
        <v>0</v>
      </c>
      <c r="F17" s="5">
        <f t="shared" si="2"/>
        <v>0</v>
      </c>
      <c r="G17" s="17">
        <f t="shared" si="3"/>
        <v>0</v>
      </c>
      <c r="H17" s="17"/>
      <c r="I17" s="20"/>
      <c r="J17" s="6">
        <f t="shared" si="4"/>
        <v>0</v>
      </c>
      <c r="K17" s="6">
        <f t="shared" si="5"/>
        <v>0</v>
      </c>
    </row>
    <row r="18" spans="1:15" x14ac:dyDescent="0.35">
      <c r="A18" t="s">
        <v>17</v>
      </c>
      <c r="B18" s="73"/>
      <c r="C18" s="5">
        <f t="shared" si="0"/>
        <v>0</v>
      </c>
      <c r="D18" s="1">
        <f t="shared" si="6"/>
        <v>0</v>
      </c>
      <c r="E18" s="1">
        <f t="shared" si="1"/>
        <v>0</v>
      </c>
      <c r="F18" s="5">
        <f t="shared" si="2"/>
        <v>0</v>
      </c>
      <c r="G18" s="17">
        <f t="shared" si="3"/>
        <v>0</v>
      </c>
      <c r="H18" s="17">
        <f>IF(IF(SUM(G16:G18)&lt;0,0,SUM(G16:G18))-($I$1/4)&lt;0,0,IF(SUM(G16:G18)&lt;0,0,SUM(G16:G18))-($I$1/4))</f>
        <v>0</v>
      </c>
      <c r="I18" s="21"/>
      <c r="J18" s="6">
        <f t="shared" si="4"/>
        <v>0</v>
      </c>
      <c r="K18" s="6">
        <f t="shared" si="5"/>
        <v>0</v>
      </c>
    </row>
    <row r="19" spans="1:15" x14ac:dyDescent="0.35">
      <c r="A19" t="s">
        <v>18</v>
      </c>
      <c r="B19" s="73"/>
      <c r="C19" s="5">
        <f t="shared" si="0"/>
        <v>0</v>
      </c>
      <c r="D19" s="1">
        <f t="shared" si="6"/>
        <v>0</v>
      </c>
      <c r="E19" s="1">
        <f t="shared" si="1"/>
        <v>0</v>
      </c>
      <c r="F19" s="5">
        <f t="shared" si="2"/>
        <v>0</v>
      </c>
      <c r="G19" s="17">
        <f t="shared" si="3"/>
        <v>0</v>
      </c>
      <c r="H19" s="17"/>
      <c r="I19" s="20"/>
      <c r="J19" s="6">
        <f t="shared" si="4"/>
        <v>0</v>
      </c>
      <c r="K19" s="6">
        <f t="shared" si="5"/>
        <v>0</v>
      </c>
    </row>
    <row r="20" spans="1:15" x14ac:dyDescent="0.35">
      <c r="A20" t="s">
        <v>19</v>
      </c>
      <c r="B20" s="73"/>
      <c r="C20" s="5">
        <f t="shared" si="0"/>
        <v>0</v>
      </c>
      <c r="D20" s="1">
        <f t="shared" si="6"/>
        <v>0</v>
      </c>
      <c r="E20" s="1">
        <f t="shared" si="1"/>
        <v>0</v>
      </c>
      <c r="F20" s="5">
        <f t="shared" si="2"/>
        <v>0</v>
      </c>
      <c r="G20" s="17">
        <f t="shared" si="3"/>
        <v>0</v>
      </c>
      <c r="H20" s="17"/>
      <c r="I20" s="20"/>
      <c r="J20" s="6">
        <f t="shared" si="4"/>
        <v>0</v>
      </c>
      <c r="K20" s="6">
        <f t="shared" si="5"/>
        <v>0</v>
      </c>
    </row>
    <row r="21" spans="1:15" x14ac:dyDescent="0.35">
      <c r="A21" t="s">
        <v>20</v>
      </c>
      <c r="B21" s="73"/>
      <c r="C21" s="5">
        <f t="shared" si="0"/>
        <v>0</v>
      </c>
      <c r="D21" s="1">
        <f t="shared" si="6"/>
        <v>0</v>
      </c>
      <c r="E21" s="1">
        <f t="shared" si="1"/>
        <v>0</v>
      </c>
      <c r="F21" s="5">
        <f t="shared" si="2"/>
        <v>0</v>
      </c>
      <c r="G21" s="17">
        <f t="shared" si="3"/>
        <v>0</v>
      </c>
      <c r="H21" s="17">
        <f>IF(IF(SUM(G19:G21)&lt;0,0,SUM(G19:G21))-($I$1/4)&lt;0,0,IF(SUM(G19:G21)&lt;0,0,SUM(G19:G21))-($I$1/4))</f>
        <v>0</v>
      </c>
      <c r="I21" s="21"/>
      <c r="J21" s="6">
        <f t="shared" si="4"/>
        <v>0</v>
      </c>
      <c r="K21" s="6">
        <f t="shared" si="5"/>
        <v>0</v>
      </c>
    </row>
    <row r="22" spans="1:15" x14ac:dyDescent="0.35">
      <c r="A22" t="s">
        <v>21</v>
      </c>
      <c r="B22" s="73"/>
      <c r="C22" s="5">
        <f t="shared" si="0"/>
        <v>0</v>
      </c>
      <c r="D22" s="1">
        <f t="shared" si="6"/>
        <v>0</v>
      </c>
      <c r="E22" s="1">
        <f t="shared" si="1"/>
        <v>0</v>
      </c>
      <c r="F22" s="5">
        <f t="shared" si="2"/>
        <v>0</v>
      </c>
      <c r="G22" s="17">
        <f t="shared" si="3"/>
        <v>0</v>
      </c>
      <c r="H22" s="17"/>
      <c r="I22" s="20"/>
      <c r="J22" s="6">
        <f t="shared" si="4"/>
        <v>0</v>
      </c>
      <c r="K22" s="6">
        <f t="shared" si="5"/>
        <v>0</v>
      </c>
    </row>
    <row r="23" spans="1:15" x14ac:dyDescent="0.35">
      <c r="A23" t="s">
        <v>22</v>
      </c>
      <c r="B23" s="73"/>
      <c r="C23" s="5">
        <f t="shared" si="0"/>
        <v>0</v>
      </c>
      <c r="D23" s="1">
        <f t="shared" si="6"/>
        <v>0</v>
      </c>
      <c r="E23" s="1">
        <f t="shared" si="1"/>
        <v>0</v>
      </c>
      <c r="F23" s="5">
        <f t="shared" si="2"/>
        <v>0</v>
      </c>
      <c r="G23" s="17">
        <f t="shared" si="3"/>
        <v>0</v>
      </c>
      <c r="H23" s="17"/>
      <c r="I23" s="20"/>
      <c r="J23" s="6">
        <f t="shared" si="4"/>
        <v>0</v>
      </c>
      <c r="K23" s="6">
        <f t="shared" si="5"/>
        <v>0</v>
      </c>
    </row>
    <row r="24" spans="1:15" x14ac:dyDescent="0.35">
      <c r="A24" s="2" t="s">
        <v>23</v>
      </c>
      <c r="B24" s="74"/>
      <c r="C24" s="7">
        <f t="shared" si="0"/>
        <v>0</v>
      </c>
      <c r="D24" s="8">
        <f t="shared" si="6"/>
        <v>0</v>
      </c>
      <c r="E24" s="8">
        <f t="shared" si="1"/>
        <v>0</v>
      </c>
      <c r="F24" s="7">
        <f t="shared" si="2"/>
        <v>0</v>
      </c>
      <c r="G24" s="18">
        <f t="shared" si="3"/>
        <v>0</v>
      </c>
      <c r="H24" s="17">
        <f>IF(IF(SUM(G22:G24)&lt;0,0,SUM(G22:G24))-($I$1/4)&lt;0,0,IF(SUM(G22:G24)&lt;0,0,SUM(G22:G24))-($I$1/4))</f>
        <v>0</v>
      </c>
      <c r="I24" s="22">
        <f>IF($D$6="Ja",I1,0)</f>
        <v>0</v>
      </c>
      <c r="J24" s="11">
        <f t="shared" si="4"/>
        <v>0</v>
      </c>
      <c r="K24" s="6">
        <f t="shared" si="5"/>
        <v>0</v>
      </c>
      <c r="L24" s="27"/>
    </row>
    <row r="25" spans="1:15" x14ac:dyDescent="0.35">
      <c r="B25" s="33">
        <f>SUM(B13:B24)</f>
        <v>0</v>
      </c>
      <c r="C25" s="26"/>
      <c r="H25" s="10">
        <f>SUM(H13:H24)</f>
        <v>0</v>
      </c>
      <c r="I25" s="10">
        <f>SUM(I13:I24)</f>
        <v>0</v>
      </c>
      <c r="J25" s="10">
        <f>SUM(J13:J24)</f>
        <v>0</v>
      </c>
      <c r="K25" s="10">
        <f>SUM(K13:K24)</f>
        <v>0</v>
      </c>
      <c r="L25" s="29">
        <f>SUM(H25:K25)</f>
        <v>0</v>
      </c>
    </row>
    <row r="26" spans="1:15" x14ac:dyDescent="0.35">
      <c r="E26" s="1"/>
      <c r="M26" s="23"/>
    </row>
    <row r="27" spans="1:15" x14ac:dyDescent="0.35">
      <c r="B27" s="9"/>
      <c r="C27" s="9"/>
    </row>
    <row r="30" spans="1:15" x14ac:dyDescent="0.35">
      <c r="A30" s="90" t="s">
        <v>44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2"/>
    </row>
    <row r="31" spans="1:15" x14ac:dyDescent="0.3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</sheetData>
  <sheetProtection selectLockedCells="1"/>
  <mergeCells count="14">
    <mergeCell ref="A9:C9"/>
    <mergeCell ref="A30:O30"/>
    <mergeCell ref="A6:C6"/>
    <mergeCell ref="A5:C5"/>
    <mergeCell ref="F1:H1"/>
    <mergeCell ref="F2:H2"/>
    <mergeCell ref="F3:H3"/>
    <mergeCell ref="F4:H4"/>
    <mergeCell ref="F5:H5"/>
    <mergeCell ref="A1:C1"/>
    <mergeCell ref="A2:C2"/>
    <mergeCell ref="A3:C3"/>
    <mergeCell ref="A4:C4"/>
    <mergeCell ref="F6:H6"/>
  </mergeCells>
  <dataValidations count="3">
    <dataValidation type="list" allowBlank="1" showInputMessage="1" showErrorMessage="1" sqref="I8" xr:uid="{0B5621C4-9D2D-4ED0-B9DD-0F0263959188}">
      <formula1>$J$1:$J$4</formula1>
    </dataValidation>
    <dataValidation type="list" allowBlank="1" showInputMessage="1" showErrorMessage="1" sqref="D6" xr:uid="{651CBF7A-5CBC-4067-9C3F-4CF4092929CE}">
      <formula1>$S$1:$S$2</formula1>
    </dataValidation>
    <dataValidation type="list" allowBlank="1" showInputMessage="1" showErrorMessage="1" sqref="D1" xr:uid="{14AB7D02-3990-47B2-9414-5D2D15FD25E9}">
      <formula1>$Q$1:$Q$1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6EFA-C4EE-464B-A0C1-D0969AA624A9}">
  <dimension ref="A1:Q31"/>
  <sheetViews>
    <sheetView showGridLines="0" tabSelected="1" workbookViewId="0">
      <selection activeCell="D4" sqref="D4"/>
    </sheetView>
  </sheetViews>
  <sheetFormatPr defaultColWidth="9.08984375" defaultRowHeight="14.5" x14ac:dyDescent="0.35"/>
  <cols>
    <col min="1" max="11" width="12.08984375" style="31" customWidth="1"/>
    <col min="12" max="15" width="9.08984375" style="31" customWidth="1"/>
    <col min="16" max="16" width="16.36328125" style="31" customWidth="1"/>
    <col min="17" max="17" width="7.36328125" style="31" customWidth="1"/>
    <col min="18" max="18" width="9.08984375" style="31" customWidth="1"/>
    <col min="19" max="19" width="5.90625" style="31" customWidth="1"/>
    <col min="20" max="16384" width="9.08984375" style="31"/>
  </cols>
  <sheetData>
    <row r="1" spans="1:17" x14ac:dyDescent="0.35">
      <c r="A1" s="99" t="s">
        <v>40</v>
      </c>
      <c r="B1" s="100"/>
      <c r="C1" s="100"/>
      <c r="D1" s="79" t="s">
        <v>45</v>
      </c>
      <c r="E1" s="67"/>
      <c r="F1" s="100" t="s">
        <v>3</v>
      </c>
      <c r="G1" s="100"/>
      <c r="H1" s="100"/>
      <c r="I1" s="87">
        <f>IF(D4=0,0,IF(D1=Q1,((D4*0.75*Q4*IF(D2&gt;100%,100%,D2))-Q2)/(((108%+Q3)*120%)+35%)*0.95,0)+35+(100*D2)+(150*D2)+(100*D2))</f>
        <v>3523.1825560802836</v>
      </c>
      <c r="J1" s="88">
        <f>I1/D2</f>
        <v>3523.1825560802836</v>
      </c>
      <c r="K1" s="68"/>
      <c r="L1" s="68"/>
      <c r="M1" s="68"/>
      <c r="N1" s="68"/>
      <c r="O1" s="68"/>
      <c r="Q1" s="31" t="s">
        <v>45</v>
      </c>
    </row>
    <row r="2" spans="1:17" x14ac:dyDescent="0.35">
      <c r="A2" s="101" t="s">
        <v>0</v>
      </c>
      <c r="B2" s="102"/>
      <c r="C2" s="102"/>
      <c r="D2" s="76">
        <v>1</v>
      </c>
      <c r="F2" s="102" t="s">
        <v>36</v>
      </c>
      <c r="G2" s="102"/>
      <c r="H2" s="102"/>
      <c r="I2" s="69">
        <f>IF(J7&gt;4200,J7-4200,0)</f>
        <v>0</v>
      </c>
      <c r="K2" s="68"/>
      <c r="L2" s="68"/>
      <c r="M2" s="68"/>
      <c r="N2" s="68"/>
      <c r="O2" s="68"/>
      <c r="P2" s="31" t="s">
        <v>37</v>
      </c>
      <c r="Q2" s="31">
        <v>1000</v>
      </c>
    </row>
    <row r="3" spans="1:17" x14ac:dyDescent="0.35">
      <c r="A3" s="101" t="s">
        <v>1</v>
      </c>
      <c r="B3" s="102"/>
      <c r="C3" s="102"/>
      <c r="D3" s="77">
        <v>80</v>
      </c>
      <c r="F3" s="102" t="s">
        <v>26</v>
      </c>
      <c r="G3" s="102"/>
      <c r="H3" s="102"/>
      <c r="I3" s="86">
        <f>IF(D4=0,0,D4+20)</f>
        <v>85</v>
      </c>
      <c r="K3" s="50"/>
      <c r="P3" s="31" t="s">
        <v>38</v>
      </c>
      <c r="Q3" s="32">
        <v>0.04</v>
      </c>
    </row>
    <row r="4" spans="1:17" x14ac:dyDescent="0.35">
      <c r="A4" s="101" t="s">
        <v>2</v>
      </c>
      <c r="B4" s="102"/>
      <c r="C4" s="102"/>
      <c r="D4" s="77">
        <v>65</v>
      </c>
      <c r="F4" s="102" t="s">
        <v>4</v>
      </c>
      <c r="G4" s="102"/>
      <c r="H4" s="102"/>
      <c r="I4" s="86">
        <f>IF(D4=0,0,IF(D1=Q1,D4*Q4*IF(D2&gt;100%,100%,D2)+((I2)/12),0))+(100*D2)+(150*D2)+(100*D2)</f>
        <v>9144.5</v>
      </c>
      <c r="J4" s="68" t="s">
        <v>33</v>
      </c>
      <c r="K4" s="50"/>
      <c r="P4" s="31" t="s">
        <v>39</v>
      </c>
      <c r="Q4" s="31">
        <v>135.30000000000001</v>
      </c>
    </row>
    <row r="5" spans="1:17" ht="15" thickBot="1" x14ac:dyDescent="0.4">
      <c r="A5" s="104" t="s">
        <v>10</v>
      </c>
      <c r="B5" s="105"/>
      <c r="C5" s="105"/>
      <c r="E5" s="70"/>
      <c r="F5" s="105" t="s">
        <v>5</v>
      </c>
      <c r="G5" s="105"/>
      <c r="H5" s="105"/>
      <c r="I5" s="71">
        <f>I4*3</f>
        <v>27433.5</v>
      </c>
    </row>
    <row r="7" spans="1:17" ht="15" thickBot="1" x14ac:dyDescent="0.4">
      <c r="J7" s="80">
        <v>0</v>
      </c>
    </row>
    <row r="8" spans="1:17" x14ac:dyDescent="0.35">
      <c r="F8" s="61"/>
    </row>
    <row r="9" spans="1:17" x14ac:dyDescent="0.35">
      <c r="A9" s="103" t="s">
        <v>43</v>
      </c>
      <c r="B9" s="103"/>
      <c r="C9" s="103"/>
    </row>
    <row r="11" spans="1:17" x14ac:dyDescent="0.35">
      <c r="A11" s="62" t="s">
        <v>42</v>
      </c>
    </row>
    <row r="12" spans="1:17" x14ac:dyDescent="0.35">
      <c r="A12" s="63" t="s">
        <v>11</v>
      </c>
      <c r="B12" s="64" t="s">
        <v>41</v>
      </c>
      <c r="C12" s="64" t="s">
        <v>6</v>
      </c>
      <c r="D12" s="64" t="s">
        <v>7</v>
      </c>
      <c r="E12" s="64" t="s">
        <v>30</v>
      </c>
      <c r="F12" s="64" t="s">
        <v>8</v>
      </c>
      <c r="G12" s="65" t="s">
        <v>9</v>
      </c>
      <c r="H12" s="66" t="s">
        <v>25</v>
      </c>
      <c r="I12" s="66" t="s">
        <v>24</v>
      </c>
      <c r="J12" s="66" t="s">
        <v>35</v>
      </c>
    </row>
    <row r="13" spans="1:17" x14ac:dyDescent="0.35">
      <c r="A13" s="58" t="s">
        <v>12</v>
      </c>
      <c r="B13" s="73">
        <v>176</v>
      </c>
      <c r="C13" s="45">
        <f>$D$3</f>
        <v>80</v>
      </c>
      <c r="D13" s="46">
        <f>B13*C13</f>
        <v>14080</v>
      </c>
      <c r="E13" s="46">
        <f>$I$3*$B13</f>
        <v>14960</v>
      </c>
      <c r="F13" s="47">
        <f>$I$4</f>
        <v>9144.5</v>
      </c>
      <c r="G13" s="48">
        <f>IF(D13&gt;E13,(E13-F13)*55%,(D13-F13)*55%)</f>
        <v>2714.5250000000001</v>
      </c>
      <c r="H13" s="48"/>
      <c r="I13" s="49">
        <f t="shared" ref="I13:I24" si="0">$I$1</f>
        <v>3523.1825560802836</v>
      </c>
      <c r="J13" s="49">
        <f>I13*8.33%</f>
        <v>293.48110692148759</v>
      </c>
    </row>
    <row r="14" spans="1:17" x14ac:dyDescent="0.35">
      <c r="A14" s="59" t="s">
        <v>13</v>
      </c>
      <c r="B14" s="73">
        <v>160</v>
      </c>
      <c r="C14" s="50">
        <f t="shared" ref="C14:C24" si="1">$D$3</f>
        <v>80</v>
      </c>
      <c r="D14" s="42">
        <f>B14*C14</f>
        <v>12800</v>
      </c>
      <c r="E14" s="42">
        <f t="shared" ref="E14:E24" si="2">$I$3*$B14</f>
        <v>13600</v>
      </c>
      <c r="F14" s="51">
        <f t="shared" ref="F14:F24" si="3">$I$4</f>
        <v>9144.5</v>
      </c>
      <c r="G14" s="48">
        <f t="shared" ref="G14:G24" si="4">IF(D14&gt;E14,(E14-F14)*55%,(D14-F14)*55%)</f>
        <v>2010.5250000000001</v>
      </c>
      <c r="H14" s="48"/>
      <c r="I14" s="49">
        <f t="shared" si="0"/>
        <v>3523.1825560802836</v>
      </c>
      <c r="J14" s="49">
        <f t="shared" ref="J14:J24" si="5">I14*8%</f>
        <v>281.85460448642272</v>
      </c>
      <c r="P14" s="50"/>
    </row>
    <row r="15" spans="1:17" x14ac:dyDescent="0.35">
      <c r="A15" s="59" t="s">
        <v>14</v>
      </c>
      <c r="B15" s="73">
        <v>184</v>
      </c>
      <c r="C15" s="50">
        <f t="shared" si="1"/>
        <v>80</v>
      </c>
      <c r="D15" s="42">
        <f t="shared" ref="D15:D24" si="6">B15*C15</f>
        <v>14720</v>
      </c>
      <c r="E15" s="42">
        <f t="shared" si="2"/>
        <v>15640</v>
      </c>
      <c r="F15" s="51">
        <f t="shared" si="3"/>
        <v>9144.5</v>
      </c>
      <c r="G15" s="48">
        <f t="shared" si="4"/>
        <v>3066.5250000000001</v>
      </c>
      <c r="H15" s="48">
        <f>IF(SUM(G13:G15)&lt;0,0,SUM(G13:G15))</f>
        <v>7791.5750000000007</v>
      </c>
      <c r="I15" s="49">
        <f t="shared" si="0"/>
        <v>3523.1825560802836</v>
      </c>
      <c r="J15" s="49">
        <f t="shared" si="5"/>
        <v>281.85460448642272</v>
      </c>
      <c r="P15" s="50"/>
    </row>
    <row r="16" spans="1:17" x14ac:dyDescent="0.35">
      <c r="A16" s="59" t="s">
        <v>15</v>
      </c>
      <c r="B16" s="73">
        <v>144</v>
      </c>
      <c r="C16" s="50">
        <f t="shared" si="1"/>
        <v>80</v>
      </c>
      <c r="D16" s="42">
        <f t="shared" si="6"/>
        <v>11520</v>
      </c>
      <c r="E16" s="42">
        <f>$I$3*$B16</f>
        <v>12240</v>
      </c>
      <c r="F16" s="51">
        <f t="shared" si="3"/>
        <v>9144.5</v>
      </c>
      <c r="G16" s="48">
        <f t="shared" si="4"/>
        <v>1306.5250000000001</v>
      </c>
      <c r="H16" s="48"/>
      <c r="I16" s="49">
        <f t="shared" si="0"/>
        <v>3523.1825560802836</v>
      </c>
      <c r="J16" s="49">
        <f t="shared" si="5"/>
        <v>281.85460448642272</v>
      </c>
    </row>
    <row r="17" spans="1:15" x14ac:dyDescent="0.35">
      <c r="A17" s="59" t="s">
        <v>16</v>
      </c>
      <c r="B17" s="73">
        <v>168</v>
      </c>
      <c r="C17" s="50">
        <f t="shared" si="1"/>
        <v>80</v>
      </c>
      <c r="D17" s="42">
        <f t="shared" si="6"/>
        <v>13440</v>
      </c>
      <c r="E17" s="42">
        <f t="shared" si="2"/>
        <v>14280</v>
      </c>
      <c r="F17" s="51">
        <f t="shared" si="3"/>
        <v>9144.5</v>
      </c>
      <c r="G17" s="48">
        <f t="shared" si="4"/>
        <v>2362.5250000000001</v>
      </c>
      <c r="H17" s="48"/>
      <c r="I17" s="49">
        <f t="shared" si="0"/>
        <v>3523.1825560802836</v>
      </c>
      <c r="J17" s="49">
        <f t="shared" si="5"/>
        <v>281.85460448642272</v>
      </c>
    </row>
    <row r="18" spans="1:15" x14ac:dyDescent="0.35">
      <c r="A18" s="59" t="s">
        <v>17</v>
      </c>
      <c r="B18" s="73">
        <v>176</v>
      </c>
      <c r="C18" s="50">
        <f t="shared" si="1"/>
        <v>80</v>
      </c>
      <c r="D18" s="42">
        <f t="shared" si="6"/>
        <v>14080</v>
      </c>
      <c r="E18" s="42">
        <f t="shared" si="2"/>
        <v>14960</v>
      </c>
      <c r="F18" s="51">
        <f t="shared" si="3"/>
        <v>9144.5</v>
      </c>
      <c r="G18" s="48">
        <f t="shared" si="4"/>
        <v>2714.5250000000001</v>
      </c>
      <c r="H18" s="48">
        <f>IF(SUM(G16:G18)&lt;0,0,SUM(G16:G18))</f>
        <v>6383.5750000000007</v>
      </c>
      <c r="I18" s="49">
        <f t="shared" si="0"/>
        <v>3523.1825560802836</v>
      </c>
      <c r="J18" s="49">
        <f t="shared" si="5"/>
        <v>281.85460448642272</v>
      </c>
    </row>
    <row r="19" spans="1:15" x14ac:dyDescent="0.35">
      <c r="A19" s="59" t="s">
        <v>18</v>
      </c>
      <c r="B19" s="73">
        <v>168</v>
      </c>
      <c r="C19" s="50">
        <f t="shared" si="1"/>
        <v>80</v>
      </c>
      <c r="D19" s="42">
        <f t="shared" si="6"/>
        <v>13440</v>
      </c>
      <c r="E19" s="42">
        <f t="shared" si="2"/>
        <v>14280</v>
      </c>
      <c r="F19" s="51">
        <f t="shared" si="3"/>
        <v>9144.5</v>
      </c>
      <c r="G19" s="48">
        <f t="shared" si="4"/>
        <v>2362.5250000000001</v>
      </c>
      <c r="H19" s="48"/>
      <c r="I19" s="49">
        <f t="shared" si="0"/>
        <v>3523.1825560802836</v>
      </c>
      <c r="J19" s="49">
        <f t="shared" si="5"/>
        <v>281.85460448642272</v>
      </c>
    </row>
    <row r="20" spans="1:15" x14ac:dyDescent="0.35">
      <c r="A20" s="59" t="s">
        <v>19</v>
      </c>
      <c r="B20" s="73">
        <v>184</v>
      </c>
      <c r="C20" s="50">
        <f t="shared" si="1"/>
        <v>80</v>
      </c>
      <c r="D20" s="42">
        <f t="shared" si="6"/>
        <v>14720</v>
      </c>
      <c r="E20" s="42">
        <f t="shared" si="2"/>
        <v>15640</v>
      </c>
      <c r="F20" s="51">
        <f t="shared" si="3"/>
        <v>9144.5</v>
      </c>
      <c r="G20" s="48">
        <f t="shared" si="4"/>
        <v>3066.5250000000001</v>
      </c>
      <c r="H20" s="48"/>
      <c r="I20" s="49">
        <f t="shared" si="0"/>
        <v>3523.1825560802836</v>
      </c>
      <c r="J20" s="49">
        <f t="shared" si="5"/>
        <v>281.85460448642272</v>
      </c>
    </row>
    <row r="21" spans="1:15" x14ac:dyDescent="0.35">
      <c r="A21" s="59" t="s">
        <v>20</v>
      </c>
      <c r="B21" s="73">
        <v>168</v>
      </c>
      <c r="C21" s="50">
        <f t="shared" si="1"/>
        <v>80</v>
      </c>
      <c r="D21" s="42">
        <f t="shared" si="6"/>
        <v>13440</v>
      </c>
      <c r="E21" s="42">
        <f t="shared" si="2"/>
        <v>14280</v>
      </c>
      <c r="F21" s="51">
        <f t="shared" si="3"/>
        <v>9144.5</v>
      </c>
      <c r="G21" s="48">
        <f t="shared" si="4"/>
        <v>2362.5250000000001</v>
      </c>
      <c r="H21" s="48">
        <f>IF(SUM(G19:G21)&lt;0,0,SUM(G19:G21))</f>
        <v>7791.5750000000007</v>
      </c>
      <c r="I21" s="49">
        <f t="shared" si="0"/>
        <v>3523.1825560802836</v>
      </c>
      <c r="J21" s="49">
        <f t="shared" si="5"/>
        <v>281.85460448642272</v>
      </c>
    </row>
    <row r="22" spans="1:15" x14ac:dyDescent="0.35">
      <c r="A22" s="59" t="s">
        <v>21</v>
      </c>
      <c r="B22" s="73">
        <v>176</v>
      </c>
      <c r="C22" s="50">
        <f t="shared" si="1"/>
        <v>80</v>
      </c>
      <c r="D22" s="42">
        <f t="shared" si="6"/>
        <v>14080</v>
      </c>
      <c r="E22" s="42">
        <f t="shared" si="2"/>
        <v>14960</v>
      </c>
      <c r="F22" s="51">
        <f t="shared" si="3"/>
        <v>9144.5</v>
      </c>
      <c r="G22" s="48">
        <f t="shared" si="4"/>
        <v>2714.5250000000001</v>
      </c>
      <c r="H22" s="48"/>
      <c r="I22" s="49">
        <f t="shared" si="0"/>
        <v>3523.1825560802836</v>
      </c>
      <c r="J22" s="49">
        <f t="shared" si="5"/>
        <v>281.85460448642272</v>
      </c>
    </row>
    <row r="23" spans="1:15" x14ac:dyDescent="0.35">
      <c r="A23" s="59" t="s">
        <v>22</v>
      </c>
      <c r="B23" s="73">
        <v>176</v>
      </c>
      <c r="C23" s="50">
        <f t="shared" si="1"/>
        <v>80</v>
      </c>
      <c r="D23" s="42">
        <f t="shared" si="6"/>
        <v>14080</v>
      </c>
      <c r="E23" s="42">
        <f t="shared" si="2"/>
        <v>14960</v>
      </c>
      <c r="F23" s="51">
        <f t="shared" si="3"/>
        <v>9144.5</v>
      </c>
      <c r="G23" s="48">
        <f t="shared" si="4"/>
        <v>2714.5250000000001</v>
      </c>
      <c r="H23" s="48"/>
      <c r="I23" s="49">
        <f t="shared" si="0"/>
        <v>3523.1825560802836</v>
      </c>
      <c r="J23" s="49">
        <f t="shared" si="5"/>
        <v>281.85460448642272</v>
      </c>
    </row>
    <row r="24" spans="1:15" x14ac:dyDescent="0.35">
      <c r="A24" s="60" t="s">
        <v>23</v>
      </c>
      <c r="B24" s="73">
        <v>152</v>
      </c>
      <c r="C24" s="52">
        <f t="shared" si="1"/>
        <v>80</v>
      </c>
      <c r="D24" s="53">
        <f t="shared" si="6"/>
        <v>12160</v>
      </c>
      <c r="E24" s="53">
        <f t="shared" si="2"/>
        <v>12920</v>
      </c>
      <c r="F24" s="54">
        <f t="shared" si="3"/>
        <v>9144.5</v>
      </c>
      <c r="G24" s="55">
        <f t="shared" si="4"/>
        <v>1658.5250000000001</v>
      </c>
      <c r="H24" s="48">
        <f>IF(SUM(G22:G24)&lt;0,0,SUM(G22:G24))</f>
        <v>7087.5750000000007</v>
      </c>
      <c r="I24" s="56">
        <f t="shared" si="0"/>
        <v>3523.1825560802836</v>
      </c>
      <c r="J24" s="49">
        <f t="shared" si="5"/>
        <v>281.85460448642272</v>
      </c>
      <c r="K24" s="57"/>
    </row>
    <row r="25" spans="1:15" x14ac:dyDescent="0.35">
      <c r="B25" s="38">
        <f>SUM(B13:B24)</f>
        <v>2032</v>
      </c>
      <c r="C25" s="39"/>
      <c r="H25" s="40">
        <f>SUM(H13:H24)</f>
        <v>29054.300000000003</v>
      </c>
      <c r="I25" s="40">
        <f>SUM(I13:I24)</f>
        <v>42278.190672963399</v>
      </c>
      <c r="J25" s="40">
        <f>SUM(J13:J24)</f>
        <v>3393.8817562721379</v>
      </c>
      <c r="K25" s="41">
        <f>SUM(H25:J25)</f>
        <v>74726.372429235547</v>
      </c>
    </row>
    <row r="26" spans="1:15" x14ac:dyDescent="0.35">
      <c r="E26" s="42"/>
    </row>
    <row r="27" spans="1:15" x14ac:dyDescent="0.35">
      <c r="B27" s="43"/>
      <c r="C27" s="43"/>
    </row>
    <row r="30" spans="1:15" x14ac:dyDescent="0.35">
      <c r="A30" s="90" t="s">
        <v>44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2"/>
    </row>
    <row r="31" spans="1:15" x14ac:dyDescent="0.35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</sheetData>
  <sheetProtection selectLockedCells="1"/>
  <mergeCells count="12">
    <mergeCell ref="A9:C9"/>
    <mergeCell ref="A30:O30"/>
    <mergeCell ref="A4:C4"/>
    <mergeCell ref="F4:H4"/>
    <mergeCell ref="A5:C5"/>
    <mergeCell ref="F5:H5"/>
    <mergeCell ref="A1:C1"/>
    <mergeCell ref="F1:H1"/>
    <mergeCell ref="A2:C2"/>
    <mergeCell ref="F2:H2"/>
    <mergeCell ref="A3:C3"/>
    <mergeCell ref="F3:H3"/>
  </mergeCells>
  <dataValidations count="2">
    <dataValidation type="list" allowBlank="1" showInputMessage="1" showErrorMessage="1" sqref="I8" xr:uid="{E3539785-094C-4958-B021-EB36010D551F}">
      <formula1>$J$1:$J$4</formula1>
    </dataValidation>
    <dataValidation type="list" allowBlank="1" showInputMessage="1" showErrorMessage="1" sqref="D1" xr:uid="{FCC55BF9-71A8-49F4-BF8A-8648666A6E16}">
      <formula1>$Q$1:$Q$1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74267a-b780-4cae-ac61-cff65ec548f3">
      <Terms xmlns="http://schemas.microsoft.com/office/infopath/2007/PartnerControls"/>
    </lcf76f155ced4ddcb4097134ff3c332f>
    <TaxCatchAll xmlns="7df60483-2cac-4c61-ba6a-e4f31703b8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60CD8386AA49489578E165B66835C5" ma:contentTypeVersion="14" ma:contentTypeDescription="Een nieuw document maken." ma:contentTypeScope="" ma:versionID="8c92e42b9ce9791b6eb8dcf7cdd149f1">
  <xsd:schema xmlns:xsd="http://www.w3.org/2001/XMLSchema" xmlns:xs="http://www.w3.org/2001/XMLSchema" xmlns:p="http://schemas.microsoft.com/office/2006/metadata/properties" xmlns:ns2="3374267a-b780-4cae-ac61-cff65ec548f3" xmlns:ns3="7df60483-2cac-4c61-ba6a-e4f31703b81a" targetNamespace="http://schemas.microsoft.com/office/2006/metadata/properties" ma:root="true" ma:fieldsID="4f282fdebad71b9a1c712a9ca2965908" ns2:_="" ns3:_="">
    <xsd:import namespace="3374267a-b780-4cae-ac61-cff65ec548f3"/>
    <xsd:import namespace="7df60483-2cac-4c61-ba6a-e4f31703b8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74267a-b780-4cae-ac61-cff65ec548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85a12851-5607-4eb9-afb6-0159e006c8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f60483-2cac-4c61-ba6a-e4f31703b81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22f1218b-9945-4f8b-ae61-3d91ff8053cd}" ma:internalName="TaxCatchAll" ma:showField="CatchAllData" ma:web="7df60483-2cac-4c61-ba6a-e4f31703b8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98449A-F7D8-4A78-A4AA-34EC25E501D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374267a-b780-4cae-ac61-cff65ec548f3"/>
    <ds:schemaRef ds:uri="http://www.w3.org/XML/1998/namespace"/>
    <ds:schemaRef ds:uri="http://purl.org/dc/dcmitype/"/>
    <ds:schemaRef ds:uri="7df60483-2cac-4c61-ba6a-e4f31703b81a"/>
  </ds:schemaRefs>
</ds:datastoreItem>
</file>

<file path=customXml/itemProps2.xml><?xml version="1.0" encoding="utf-8"?>
<ds:datastoreItem xmlns:ds="http://schemas.openxmlformats.org/officeDocument/2006/customXml" ds:itemID="{614122D3-A3DE-42B0-8E75-01370C1C50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009A70-3DA4-4062-B1AE-9992432FDE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74267a-b780-4cae-ac61-cff65ec548f3"/>
    <ds:schemaRef ds:uri="7df60483-2cac-4c61-ba6a-e4f31703b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Hybride Principal</vt:lpstr>
      <vt:lpstr>Hybride 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Poelman | Talent&amp;Pro</dc:creator>
  <cp:lastModifiedBy>Rick Schuring</cp:lastModifiedBy>
  <cp:lastPrinted>2019-02-25T10:42:04Z</cp:lastPrinted>
  <dcterms:created xsi:type="dcterms:W3CDTF">2019-02-25T09:55:04Z</dcterms:created>
  <dcterms:modified xsi:type="dcterms:W3CDTF">2023-02-05T16:59:46Z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0x0101001B60CD8386AA49489578E165B66835C5</vt:lpwstr>
  </property>
  <property fmtid="{D5CDD505-2E9C-101B-9397-08002B2CF9AE}" pid="3" name="MediaServiceImageTags">
    <vt:lpwstr/>
  </property>
</Properties>
</file>