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26" i="1" l="1"/>
  <c r="D26" i="1"/>
  <c r="E19" i="4" l="1"/>
  <c r="F33" i="3" l="1"/>
  <c r="D10" i="1" l="1"/>
  <c r="G9" i="4" l="1"/>
  <c r="F29" i="1"/>
  <c r="D29" i="1"/>
  <c r="E18" i="4" l="1"/>
  <c r="F32" i="4"/>
  <c r="E16" i="4" l="1"/>
  <c r="E15" i="4"/>
  <c r="E14" i="4"/>
  <c r="E13" i="4"/>
  <c r="G14" i="4" l="1"/>
  <c r="G13" i="4"/>
  <c r="E12" i="4"/>
  <c r="E11" i="4"/>
  <c r="G10" i="4"/>
  <c r="E10" i="4"/>
  <c r="E9" i="4"/>
  <c r="E8" i="4"/>
  <c r="E7" i="4"/>
  <c r="E6" i="4"/>
  <c r="E5" i="4"/>
  <c r="E4" i="4"/>
  <c r="E3" i="4"/>
  <c r="G14" i="3"/>
  <c r="G13" i="3"/>
  <c r="G10" i="3"/>
  <c r="G9" i="3"/>
  <c r="E4" i="3"/>
  <c r="E5" i="3"/>
  <c r="E6" i="3"/>
  <c r="E7" i="3"/>
  <c r="E8" i="3"/>
  <c r="E9" i="3"/>
  <c r="E10" i="3"/>
  <c r="E11" i="3"/>
  <c r="E12" i="3"/>
  <c r="E3" i="3"/>
  <c r="E13" i="3" l="1"/>
  <c r="E17" i="4" s="1"/>
  <c r="G8" i="4" s="1"/>
  <c r="F32" i="3"/>
  <c r="I4" i="3"/>
  <c r="I5" i="3" s="1"/>
  <c r="G11" i="4" l="1"/>
  <c r="G12" i="4" s="1"/>
  <c r="I6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J15" i="2"/>
  <c r="I15" i="2"/>
  <c r="G16" i="2"/>
  <c r="G11" i="2"/>
  <c r="G12" i="2"/>
  <c r="J6" i="4" l="1"/>
  <c r="K6" i="4" s="1"/>
  <c r="L6" i="4" s="1"/>
  <c r="M6" i="4" s="1"/>
  <c r="J5" i="4"/>
  <c r="K5" i="4" s="1"/>
  <c r="L5" i="4" s="1"/>
  <c r="M5" i="4" s="1"/>
  <c r="J4" i="4"/>
  <c r="K4" i="4" s="1"/>
  <c r="L4" i="4" s="1"/>
  <c r="M4" i="4" s="1"/>
  <c r="J3" i="4"/>
  <c r="K3" i="4" s="1"/>
  <c r="L3" i="4" s="1"/>
  <c r="M3" i="4" s="1"/>
  <c r="J7" i="4"/>
  <c r="K7" i="4" s="1"/>
  <c r="L7" i="4" s="1"/>
  <c r="M7" i="4" s="1"/>
  <c r="I7" i="3"/>
  <c r="G4" i="2"/>
  <c r="G5" i="2"/>
  <c r="G6" i="2"/>
  <c r="G7" i="2"/>
  <c r="G8" i="2"/>
  <c r="G9" i="2"/>
  <c r="G10" i="2"/>
  <c r="G13" i="2"/>
  <c r="G15" i="2" s="1"/>
  <c r="G14" i="2"/>
  <c r="G3" i="2"/>
  <c r="J8" i="4" l="1"/>
  <c r="K8" i="4" s="1"/>
  <c r="L8" i="4" s="1"/>
  <c r="M8" i="4" s="1"/>
  <c r="I8" i="3"/>
  <c r="J4" i="2"/>
  <c r="J6" i="2"/>
  <c r="J8" i="2"/>
  <c r="J10" i="2"/>
  <c r="J12" i="2"/>
  <c r="J14" i="2"/>
  <c r="J17" i="2"/>
  <c r="J19" i="2"/>
  <c r="J3" i="2"/>
  <c r="J5" i="2"/>
  <c r="J7" i="2"/>
  <c r="J9" i="2"/>
  <c r="J11" i="2"/>
  <c r="J13" i="2"/>
  <c r="J16" i="2"/>
  <c r="J18" i="2"/>
  <c r="J20" i="2"/>
  <c r="F31" i="1"/>
  <c r="J9" i="4" l="1"/>
  <c r="K9" i="4" s="1"/>
  <c r="L9" i="4" s="1"/>
  <c r="M9" i="4" s="1"/>
  <c r="I9" i="3"/>
  <c r="D31" i="1"/>
  <c r="F30" i="1"/>
  <c r="D30" i="1"/>
  <c r="D28" i="1"/>
  <c r="F28" i="1"/>
  <c r="F25" i="1"/>
  <c r="F24" i="1"/>
  <c r="F23" i="1"/>
  <c r="F22" i="1"/>
  <c r="F21" i="1"/>
  <c r="F17" i="1"/>
  <c r="F18" i="1" s="1"/>
  <c r="F19" i="1" s="1"/>
  <c r="F20" i="1" s="1"/>
  <c r="F14" i="1"/>
  <c r="F13" i="1"/>
  <c r="D13" i="1"/>
  <c r="F9" i="1"/>
  <c r="F10" i="1" s="1"/>
  <c r="D9" i="1"/>
  <c r="J10" i="4" l="1"/>
  <c r="K10" i="4" s="1"/>
  <c r="L10" i="4" s="1"/>
  <c r="M10" i="4" s="1"/>
  <c r="I10" i="3"/>
  <c r="J11" i="4" l="1"/>
  <c r="K11" i="4" s="1"/>
  <c r="L11" i="4" s="1"/>
  <c r="M11" i="4" s="1"/>
  <c r="I11" i="3"/>
  <c r="J12" i="4" l="1"/>
  <c r="K12" i="4" s="1"/>
  <c r="L12" i="4" s="1"/>
  <c r="M12" i="4" s="1"/>
  <c r="I12" i="3"/>
  <c r="J13" i="4" l="1"/>
  <c r="K13" i="4" s="1"/>
  <c r="L13" i="4" s="1"/>
  <c r="M13" i="4" s="1"/>
  <c r="I13" i="3"/>
  <c r="J14" i="4" l="1"/>
  <c r="K14" i="4" s="1"/>
  <c r="L14" i="4" s="1"/>
  <c r="M14" i="4" s="1"/>
  <c r="I14" i="3"/>
  <c r="J15" i="4" l="1"/>
  <c r="K15" i="4" s="1"/>
  <c r="L15" i="4" s="1"/>
  <c r="M15" i="4" s="1"/>
  <c r="I15" i="3"/>
  <c r="J16" i="4" l="1"/>
  <c r="I16" i="3"/>
  <c r="K16" i="4" l="1"/>
  <c r="L16" i="4" s="1"/>
  <c r="M16" i="4" s="1"/>
  <c r="J17" i="4"/>
  <c r="K17" i="4" s="1"/>
  <c r="L17" i="4" s="1"/>
  <c r="M17" i="4" s="1"/>
  <c r="I17" i="3"/>
  <c r="J18" i="4" l="1"/>
  <c r="K18" i="4" s="1"/>
  <c r="L18" i="4" s="1"/>
  <c r="M18" i="4" s="1"/>
  <c r="I18" i="3"/>
  <c r="J19" i="4" l="1"/>
  <c r="K19" i="4" s="1"/>
  <c r="L19" i="4" s="1"/>
  <c r="M19" i="4" s="1"/>
  <c r="I19" i="3"/>
  <c r="J20" i="4" l="1"/>
  <c r="K20" i="4" s="1"/>
  <c r="L20" i="4" s="1"/>
  <c r="M20" i="4" s="1"/>
  <c r="I20" i="3"/>
  <c r="J21" i="4" l="1"/>
  <c r="K21" i="4" s="1"/>
  <c r="L21" i="4" s="1"/>
  <c r="M21" i="4" s="1"/>
  <c r="I21" i="3"/>
  <c r="J22" i="4" l="1"/>
  <c r="K22" i="4" s="1"/>
  <c r="L22" i="4" s="1"/>
  <c r="M22" i="4" s="1"/>
  <c r="I22" i="3"/>
  <c r="J23" i="4" l="1"/>
  <c r="K23" i="4" s="1"/>
  <c r="L23" i="4" s="1"/>
  <c r="M23" i="4" s="1"/>
  <c r="I23" i="3"/>
  <c r="J24" i="4" l="1"/>
  <c r="K24" i="4" s="1"/>
  <c r="L24" i="4" s="1"/>
  <c r="M24" i="4" s="1"/>
  <c r="I24" i="3"/>
  <c r="J25" i="4" l="1"/>
  <c r="K25" i="4" s="1"/>
  <c r="L25" i="4" s="1"/>
  <c r="M25" i="4" s="1"/>
  <c r="I25" i="3"/>
  <c r="J27" i="4" l="1"/>
  <c r="K27" i="4" s="1"/>
  <c r="L27" i="4" s="1"/>
  <c r="M27" i="4" s="1"/>
  <c r="J26" i="4"/>
  <c r="K26" i="4" s="1"/>
  <c r="L26" i="4" s="1"/>
  <c r="M26" i="4" s="1"/>
  <c r="I26" i="3"/>
  <c r="I27" i="3" l="1"/>
  <c r="G8" i="3"/>
  <c r="G11" i="3" s="1"/>
  <c r="J4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G12" i="3"/>
  <c r="J3" i="3"/>
  <c r="J5" i="3"/>
  <c r="K5" i="3" s="1"/>
  <c r="L5" i="3" s="1"/>
  <c r="M5" i="3" s="1"/>
  <c r="J23" i="3"/>
  <c r="J24" i="3"/>
  <c r="K24" i="3" s="1"/>
  <c r="L24" i="3" s="1"/>
  <c r="M24" i="3" s="1"/>
  <c r="J25" i="3"/>
  <c r="J26" i="3"/>
  <c r="K26" i="3" s="1"/>
  <c r="L26" i="3" s="1"/>
  <c r="M26" i="3" s="1"/>
  <c r="J27" i="3"/>
  <c r="K27" i="3" s="1"/>
  <c r="L27" i="3" s="1"/>
  <c r="M27" i="3" s="1"/>
  <c r="K25" i="3" l="1"/>
  <c r="L25" i="3" s="1"/>
  <c r="M25" i="3" s="1"/>
  <c r="K23" i="3"/>
  <c r="L23" i="3" s="1"/>
  <c r="M23" i="3" s="1"/>
  <c r="K3" i="3"/>
  <c r="L3" i="3" s="1"/>
  <c r="M3" i="3" s="1"/>
  <c r="K22" i="3"/>
  <c r="L22" i="3" s="1"/>
  <c r="M22" i="3" s="1"/>
  <c r="K20" i="3"/>
  <c r="L20" i="3" s="1"/>
  <c r="M20" i="3" s="1"/>
  <c r="K18" i="3"/>
  <c r="L18" i="3" s="1"/>
  <c r="M18" i="3" s="1"/>
  <c r="K16" i="3"/>
  <c r="L16" i="3" s="1"/>
  <c r="M16" i="3" s="1"/>
  <c r="K14" i="3"/>
  <c r="L14" i="3" s="1"/>
  <c r="M14" i="3" s="1"/>
  <c r="K12" i="3"/>
  <c r="L12" i="3" s="1"/>
  <c r="M12" i="3" s="1"/>
  <c r="K10" i="3"/>
  <c r="L10" i="3" s="1"/>
  <c r="M10" i="3" s="1"/>
  <c r="K8" i="3"/>
  <c r="L8" i="3" s="1"/>
  <c r="M8" i="3" s="1"/>
  <c r="K6" i="3"/>
  <c r="L6" i="3" s="1"/>
  <c r="M6" i="3" s="1"/>
  <c r="K21" i="3"/>
  <c r="L21" i="3" s="1"/>
  <c r="M21" i="3" s="1"/>
  <c r="K19" i="3"/>
  <c r="L19" i="3" s="1"/>
  <c r="M19" i="3" s="1"/>
  <c r="K17" i="3"/>
  <c r="L17" i="3" s="1"/>
  <c r="M17" i="3" s="1"/>
  <c r="K15" i="3"/>
  <c r="L15" i="3" s="1"/>
  <c r="M15" i="3" s="1"/>
  <c r="K13" i="3"/>
  <c r="L13" i="3" s="1"/>
  <c r="M13" i="3" s="1"/>
  <c r="K11" i="3"/>
  <c r="L11" i="3" s="1"/>
  <c r="M11" i="3" s="1"/>
  <c r="K9" i="3"/>
  <c r="L9" i="3" s="1"/>
  <c r="M9" i="3" s="1"/>
  <c r="K7" i="3"/>
  <c r="L7" i="3" s="1"/>
  <c r="M7" i="3" s="1"/>
  <c r="K4" i="3"/>
  <c r="L4" i="3" s="1"/>
  <c r="M4" i="3" s="1"/>
</calcChain>
</file>

<file path=xl/sharedStrings.xml><?xml version="1.0" encoding="utf-8"?>
<sst xmlns="http://schemas.openxmlformats.org/spreadsheetml/2006/main" count="155" uniqueCount="117">
  <si>
    <t>jдоп,  А/мм2</t>
  </si>
  <si>
    <t>hф, мм</t>
  </si>
  <si>
    <t>hгм, мм</t>
  </si>
  <si>
    <t>hхм, мм</t>
  </si>
  <si>
    <t>ISTM32, мА</t>
  </si>
  <si>
    <t>ILM1117, мА</t>
  </si>
  <si>
    <t>Bmin1, мм</t>
  </si>
  <si>
    <t>Imax, мА</t>
  </si>
  <si>
    <t>IWH0802, мА</t>
  </si>
  <si>
    <t>IFT232RL, мА</t>
  </si>
  <si>
    <t>ILM7805, мА</t>
  </si>
  <si>
    <t>IMLX83203, мА</t>
  </si>
  <si>
    <t>IMOTOR, мА</t>
  </si>
  <si>
    <t>po, Ом*мм2/м</t>
  </si>
  <si>
    <t>Eживл, В</t>
  </si>
  <si>
    <t>Bmin2, мм</t>
  </si>
  <si>
    <t>Lпр, м</t>
  </si>
  <si>
    <t>dве, мм</t>
  </si>
  <si>
    <t>/\dмо, мм</t>
  </si>
  <si>
    <t>r, мм</t>
  </si>
  <si>
    <t>d, мм</t>
  </si>
  <si>
    <t>bПО, мм</t>
  </si>
  <si>
    <t>б0, мм</t>
  </si>
  <si>
    <t>бКП, мм</t>
  </si>
  <si>
    <t>/\d, мм</t>
  </si>
  <si>
    <t>dmax, мм</t>
  </si>
  <si>
    <t>Dmin1, мм</t>
  </si>
  <si>
    <t>Dmin, мм</t>
  </si>
  <si>
    <t>Dmax, мм</t>
  </si>
  <si>
    <t>bг, мм</t>
  </si>
  <si>
    <t>Bmin, мм</t>
  </si>
  <si>
    <t>Bmax, мм</t>
  </si>
  <si>
    <t>L0, мм</t>
  </si>
  <si>
    <t>бсм, мм</t>
  </si>
  <si>
    <t>Smin1, мм</t>
  </si>
  <si>
    <t>Smin2, мм</t>
  </si>
  <si>
    <t>L0', мм</t>
  </si>
  <si>
    <t>Smin3, мм</t>
  </si>
  <si>
    <t>Uп, мВ</t>
  </si>
  <si>
    <t>Ср, Ф</t>
  </si>
  <si>
    <t>Pвт, мм</t>
  </si>
  <si>
    <t>Lвз, мкГн</t>
  </si>
  <si>
    <t>Cпар, пФ</t>
  </si>
  <si>
    <t>№</t>
  </si>
  <si>
    <t>Найменування елемента</t>
  </si>
  <si>
    <t xml:space="preserve">Інтенсивність відмов, λ0, 10-6 1/год </t>
  </si>
  <si>
    <t>Кількість, N, шт</t>
  </si>
  <si>
    <t>Коеф. екс. уз., Кекс.уз.</t>
  </si>
  <si>
    <r>
      <t>λре, 10</t>
    </r>
    <r>
      <rPr>
        <vertAlign val="superscript"/>
        <sz val="11"/>
        <color rgb="FF000000"/>
        <rFont val="Calibri"/>
        <family val="2"/>
        <charset val="204"/>
        <scheme val="minor"/>
      </rPr>
      <t>-6</t>
    </r>
    <r>
      <rPr>
        <sz val="11"/>
        <color rgb="FF000000"/>
        <rFont val="Calibri"/>
        <family val="2"/>
        <charset val="204"/>
        <scheme val="minor"/>
      </rPr>
      <t xml:space="preserve"> 1/год</t>
    </r>
  </si>
  <si>
    <t>Діод, VD</t>
  </si>
  <si>
    <t>Конденсатор, C</t>
  </si>
  <si>
    <t>Резистор, R</t>
  </si>
  <si>
    <t>Роз'єм, X</t>
  </si>
  <si>
    <t>Котушка індуктивності, L</t>
  </si>
  <si>
    <t>Кварцевий резонатор, ZQ</t>
  </si>
  <si>
    <t>Паяні з'єднання</t>
  </si>
  <si>
    <t>Друкована плата</t>
  </si>
  <si>
    <r>
      <t>Сумарна інтенсивність відмов ДВ λ</t>
    </r>
    <r>
      <rPr>
        <vertAlign val="subscript"/>
        <sz val="11"/>
        <color rgb="FF000000"/>
        <rFont val="Calibri"/>
        <family val="2"/>
        <charset val="204"/>
        <scheme val="minor"/>
      </rPr>
      <t>ДВ</t>
    </r>
    <r>
      <rPr>
        <sz val="11"/>
        <color rgb="FF000000"/>
        <rFont val="Calibri"/>
        <family val="2"/>
        <charset val="204"/>
        <scheme val="minor"/>
      </rPr>
      <t>, 10</t>
    </r>
    <r>
      <rPr>
        <vertAlign val="superscript"/>
        <sz val="11"/>
        <color rgb="FF000000"/>
        <rFont val="Calibri"/>
        <family val="2"/>
        <charset val="204"/>
        <scheme val="minor"/>
      </rPr>
      <t>-6</t>
    </r>
    <r>
      <rPr>
        <sz val="11"/>
        <color rgb="FF000000"/>
        <rFont val="Calibri"/>
        <family val="2"/>
        <charset val="204"/>
        <scheme val="minor"/>
      </rPr>
      <t xml:space="preserve"> 1/год</t>
    </r>
  </si>
  <si>
    <t>Середній час напрацювання до відмови, Tсер, років</t>
  </si>
  <si>
    <t>Мікросхема аналогова, DA</t>
  </si>
  <si>
    <t>Мікросхема цифрова, DD</t>
  </si>
  <si>
    <t>Світлодіод, HL</t>
  </si>
  <si>
    <t>Кнопка, SW</t>
  </si>
  <si>
    <t>t, год</t>
  </si>
  <si>
    <t>P(t)</t>
  </si>
  <si>
    <t>Q(t)</t>
  </si>
  <si>
    <t>Елемент</t>
  </si>
  <si>
    <t>Маса, г</t>
  </si>
  <si>
    <t>Коефіцієнт перевантаження, n</t>
  </si>
  <si>
    <t>Частота f, Гц</t>
  </si>
  <si>
    <t>Коеф. дин. Kd</t>
  </si>
  <si>
    <t>W, мкм</t>
  </si>
  <si>
    <t>Mmax, Н</t>
  </si>
  <si>
    <t>σmax, Мпа</t>
  </si>
  <si>
    <r>
      <t xml:space="preserve">Гранична текучість </t>
    </r>
    <r>
      <rPr>
        <sz val="11"/>
        <color theme="1"/>
        <rFont val="Calibri"/>
        <family val="2"/>
        <charset val="204"/>
      </rPr>
      <t>σт, Мпа</t>
    </r>
  </si>
  <si>
    <t>Модуль Юнга Е, ГПа</t>
  </si>
  <si>
    <r>
      <t xml:space="preserve">Коефіцієнт Пуассона </t>
    </r>
    <r>
      <rPr>
        <sz val="11"/>
        <color theme="1"/>
        <rFont val="Calibri"/>
        <family val="2"/>
        <charset val="204"/>
      </rPr>
      <t>μ</t>
    </r>
  </si>
  <si>
    <r>
      <t xml:space="preserve">Показник затухання </t>
    </r>
    <r>
      <rPr>
        <sz val="11"/>
        <color theme="1"/>
        <rFont val="Calibri"/>
        <family val="2"/>
        <charset val="204"/>
      </rPr>
      <t>ε</t>
    </r>
  </si>
  <si>
    <t>Коефіцієнт запасу міцності n1</t>
  </si>
  <si>
    <t xml:space="preserve">Коефіцієнт впливу, Kв </t>
  </si>
  <si>
    <r>
      <t xml:space="preserve">Коефіцієнт </t>
    </r>
    <r>
      <rPr>
        <sz val="11"/>
        <color theme="1"/>
        <rFont val="Calibri"/>
        <family val="2"/>
        <charset val="204"/>
      </rPr>
      <t>α</t>
    </r>
  </si>
  <si>
    <t>Циліндрична жорсткість D, Н*м</t>
  </si>
  <si>
    <t>Власна част. коливань fc, Гц</t>
  </si>
  <si>
    <t>Амплітуда вл. вібрацій А, мкм</t>
  </si>
  <si>
    <t>с1</t>
  </si>
  <si>
    <t>c2</t>
  </si>
  <si>
    <t>Загальна маса</t>
  </si>
  <si>
    <t>Параметри друкованої плати</t>
  </si>
  <si>
    <t>a, мм</t>
  </si>
  <si>
    <t>b, мм</t>
  </si>
  <si>
    <t>ρ, г/см3</t>
  </si>
  <si>
    <t>М плати, г</t>
  </si>
  <si>
    <t>Кількість, шт</t>
  </si>
  <si>
    <t>Загальна маса, г</t>
  </si>
  <si>
    <t>Конденсатор керамічний smd0805</t>
  </si>
  <si>
    <t>Кондесатор танталовий type A</t>
  </si>
  <si>
    <t>Конденсатор танталовий type B</t>
  </si>
  <si>
    <t>BAT60JFILM</t>
  </si>
  <si>
    <t>LM1117-N-3.3</t>
  </si>
  <si>
    <t>STM32F100RBT6B</t>
  </si>
  <si>
    <t>Котушка індуктивності</t>
  </si>
  <si>
    <t>Резистори</t>
  </si>
  <si>
    <t>Роз'єми</t>
  </si>
  <si>
    <t>Кварцевий резонатор</t>
  </si>
  <si>
    <t>Кондесатор танталовий type B</t>
  </si>
  <si>
    <t>Конденсатор електролітичний</t>
  </si>
  <si>
    <t>LM4050</t>
  </si>
  <si>
    <t>LM7805</t>
  </si>
  <si>
    <t>FT232RL</t>
  </si>
  <si>
    <t>Котушка індуктивності smd0603</t>
  </si>
  <si>
    <t>Котушка індуктивності  2300HT</t>
  </si>
  <si>
    <t>Світлодіоди</t>
  </si>
  <si>
    <t>Кнопки</t>
  </si>
  <si>
    <t>Діоди</t>
  </si>
  <si>
    <t>Транзистори</t>
  </si>
  <si>
    <t>ДП для МК</t>
  </si>
  <si>
    <t>Дисплей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</si>
</sst>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E+00"/>
    <numFmt numFmtId="167" formatCode="0.0000"/>
    <numFmt numFmtId="168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vertAlign val="superscript"/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/>
    <xf numFmtId="0" fontId="0" fillId="0" borderId="0" xfId="0" applyBorder="1"/>
    <xf numFmtId="1" fontId="0" fillId="0" borderId="4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167" fontId="0" fillId="0" borderId="21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167" fontId="0" fillId="0" borderId="2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0" fillId="2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P(t)</c:v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Лист2!$I$3:$I$20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8760</c:v>
                </c:pt>
                <c:pt idx="13">
                  <c:v>10000</c:v>
                </c:pt>
                <c:pt idx="14">
                  <c:v>20000</c:v>
                </c:pt>
                <c:pt idx="15">
                  <c:v>40000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Лист2!$J$3:$J$20</c:f>
              <c:numCache>
                <c:formatCode>0.0000</c:formatCode>
                <c:ptCount val="18"/>
                <c:pt idx="0">
                  <c:v>0.99989118712055081</c:v>
                </c:pt>
                <c:pt idx="1">
                  <c:v>0.9997823860813444</c:v>
                </c:pt>
                <c:pt idx="2">
                  <c:v>0.99956481951850651</c:v>
                </c:pt>
                <c:pt idx="3">
                  <c:v>0.9991298284190645</c:v>
                </c:pt>
                <c:pt idx="4">
                  <c:v>0.99891240386185653</c:v>
                </c:pt>
                <c:pt idx="5">
                  <c:v>0.99782599058907284</c:v>
                </c:pt>
                <c:pt idx="6">
                  <c:v>0.99565670749506441</c:v>
                </c:pt>
                <c:pt idx="7">
                  <c:v>0.99133227917991229</c:v>
                </c:pt>
                <c:pt idx="8">
                  <c:v>0.98917711347561921</c:v>
                </c:pt>
                <c:pt idx="9">
                  <c:v>0.978471361823958</c:v>
                </c:pt>
                <c:pt idx="10">
                  <c:v>0.95740620590963099</c:v>
                </c:pt>
                <c:pt idx="11">
                  <c:v>0.91662664311427466</c:v>
                </c:pt>
                <c:pt idx="12">
                  <c:v>0.90907719192560288</c:v>
                </c:pt>
                <c:pt idx="13">
                  <c:v>0.89689291977214747</c:v>
                </c:pt>
                <c:pt idx="14">
                  <c:v>0.80441690953740785</c:v>
                </c:pt>
                <c:pt idx="15">
                  <c:v>0.64708656434971423</c:v>
                </c:pt>
                <c:pt idx="16">
                  <c:v>0.41872102176191678</c:v>
                </c:pt>
                <c:pt idx="17">
                  <c:v>0.33682627028406686</c:v>
                </c:pt>
              </c:numCache>
            </c:numRef>
          </c:yVal>
          <c:smooth val="1"/>
        </c:ser>
        <c:ser>
          <c:idx val="1"/>
          <c:order val="1"/>
          <c:tx>
            <c:v>Q(t)</c:v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Лист2!$I$3:$I$20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8760</c:v>
                </c:pt>
                <c:pt idx="13">
                  <c:v>10000</c:v>
                </c:pt>
                <c:pt idx="14">
                  <c:v>20000</c:v>
                </c:pt>
                <c:pt idx="15">
                  <c:v>40000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Лист2!$K$3:$K$20</c:f>
              <c:numCache>
                <c:formatCode>0.0000</c:formatCode>
                <c:ptCount val="18"/>
                <c:pt idx="0">
                  <c:v>1.0881287944919382E-4</c:v>
                </c:pt>
                <c:pt idx="1">
                  <c:v>2.1761391865560142E-4</c:v>
                </c:pt>
                <c:pt idx="2">
                  <c:v>4.351804814934912E-4</c:v>
                </c:pt>
                <c:pt idx="3">
                  <c:v>8.7017158093549707E-4</c:v>
                </c:pt>
                <c:pt idx="4">
                  <c:v>1.0875961381434651E-3</c:v>
                </c:pt>
                <c:pt idx="5">
                  <c:v>2.1740094109271579E-3</c:v>
                </c:pt>
                <c:pt idx="6">
                  <c:v>4.3432925049355919E-3</c:v>
                </c:pt>
                <c:pt idx="7">
                  <c:v>8.6677208200877098E-3</c:v>
                </c:pt>
                <c:pt idx="8">
                  <c:v>1.0822886524380793E-2</c:v>
                </c:pt>
                <c:pt idx="9">
                  <c:v>2.1528638176042003E-2</c:v>
                </c:pt>
                <c:pt idx="10">
                  <c:v>4.2593794090369008E-2</c:v>
                </c:pt>
                <c:pt idx="11">
                  <c:v>8.3373356885725336E-2</c:v>
                </c:pt>
                <c:pt idx="12">
                  <c:v>9.0922808074397121E-2</c:v>
                </c:pt>
                <c:pt idx="13">
                  <c:v>0.10310708022785253</c:v>
                </c:pt>
                <c:pt idx="14">
                  <c:v>0.19558309046259215</c:v>
                </c:pt>
                <c:pt idx="15">
                  <c:v>0.35291343565028577</c:v>
                </c:pt>
                <c:pt idx="16">
                  <c:v>0.58127897823808317</c:v>
                </c:pt>
                <c:pt idx="17">
                  <c:v>0.66317372971593314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5552"/>
        <c:axId val="64012672"/>
      </c:scatterChart>
      <c:valAx>
        <c:axId val="91735552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</a:t>
                </a:r>
                <a:r>
                  <a:rPr lang="uk-UA" baseline="0"/>
                  <a:t> години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2672"/>
        <c:crosses val="autoZero"/>
        <c:crossBetween val="midCat"/>
      </c:valAx>
      <c:valAx>
        <c:axId val="64012672"/>
        <c:scaling>
          <c:orientation val="minMax"/>
          <c:max val="1.1000000000000001"/>
          <c:min val="0"/>
        </c:scaling>
        <c:delete val="0"/>
        <c:axPos val="l"/>
        <c:majorGridlines/>
        <c:minorGridlines/>
        <c:numFmt formatCode="0.0" sourceLinked="0"/>
        <c:majorTickMark val="out"/>
        <c:minorTickMark val="none"/>
        <c:tickLblPos val="nextTo"/>
        <c:crossAx val="91735552"/>
        <c:crosses val="autoZero"/>
        <c:crossBetween val="midCat"/>
        <c:majorUnit val="0.2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W(f)</c:v>
          </c:tx>
          <c:xVal>
            <c:numRef>
              <c:f>Лист3!$I$3:$I$27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Лист3!$K$3:$K$27</c:f>
              <c:numCache>
                <c:formatCode>0.00</c:formatCode>
                <c:ptCount val="25"/>
                <c:pt idx="0">
                  <c:v>0.51504653111307075</c:v>
                </c:pt>
                <c:pt idx="1">
                  <c:v>0.51508625348285253</c:v>
                </c:pt>
                <c:pt idx="2">
                  <c:v>0.51515247102539208</c:v>
                </c:pt>
                <c:pt idx="3">
                  <c:v>0.51524520414101527</c:v>
                </c:pt>
                <c:pt idx="4">
                  <c:v>0.51536448141213653</c:v>
                </c:pt>
                <c:pt idx="5">
                  <c:v>0.51551033962525572</c:v>
                </c:pt>
                <c:pt idx="6">
                  <c:v>0.51568282379929176</c:v>
                </c:pt>
                <c:pt idx="7">
                  <c:v>0.5158819872202971</c:v>
                </c:pt>
                <c:pt idx="8">
                  <c:v>0.51610789148260161</c:v>
                </c:pt>
                <c:pt idx="9">
                  <c:v>0.51636060653644367</c:v>
                </c:pt>
                <c:pt idx="10">
                  <c:v>0.51664021074216004</c:v>
                </c:pt>
                <c:pt idx="11">
                  <c:v>0.51694679093101026</c:v>
                </c:pt>
                <c:pt idx="12">
                  <c:v>0.5172804424727262</c:v>
                </c:pt>
                <c:pt idx="13">
                  <c:v>0.51764126934988308</c:v>
                </c:pt>
                <c:pt idx="14">
                  <c:v>0.51802938423920131</c:v>
                </c:pt>
                <c:pt idx="15">
                  <c:v>0.51844490859989911</c:v>
                </c:pt>
                <c:pt idx="16">
                  <c:v>0.51888797276922372</c:v>
                </c:pt>
                <c:pt idx="17">
                  <c:v>0.51935871606530426</c:v>
                </c:pt>
                <c:pt idx="18">
                  <c:v>0.51985728689747701</c:v>
                </c:pt>
                <c:pt idx="19">
                  <c:v>0.52038384288424999</c:v>
                </c:pt>
                <c:pt idx="20">
                  <c:v>0.52093855097907815</c:v>
                </c:pt>
                <c:pt idx="21">
                  <c:v>0.52152158760414469</c:v>
                </c:pt>
                <c:pt idx="22">
                  <c:v>0.52213313879234613</c:v>
                </c:pt>
                <c:pt idx="23">
                  <c:v>0.52277340033769804</c:v>
                </c:pt>
                <c:pt idx="24">
                  <c:v>0.52344257795439297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3632"/>
        <c:axId val="64055552"/>
      </c:scatterChart>
      <c:valAx>
        <c:axId val="64053632"/>
        <c:scaling>
          <c:orientation val="minMax"/>
          <c:max val="26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ru-RU"/>
                  <a:t> ,Гц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55552"/>
        <c:crosses val="autoZero"/>
        <c:crossBetween val="midCat"/>
      </c:valAx>
      <c:valAx>
        <c:axId val="64055552"/>
        <c:scaling>
          <c:orientation val="minMax"/>
          <c:max val="1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W, </a:t>
                </a:r>
                <a:r>
                  <a:rPr lang="uk-UA"/>
                  <a:t>мкм</a:t>
                </a:r>
                <a:endParaRPr lang="ru-RU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4053632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W(f)</c:v>
          </c:tx>
          <c:xVal>
            <c:numRef>
              <c:f>Лист4!$I$3:$I$27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Лист4!$K$3:$K$27</c:f>
              <c:numCache>
                <c:formatCode>0.00</c:formatCode>
                <c:ptCount val="25"/>
                <c:pt idx="0">
                  <c:v>30.971048586783212</c:v>
                </c:pt>
                <c:pt idx="1">
                  <c:v>31.5563598800139</c:v>
                </c:pt>
                <c:pt idx="2">
                  <c:v>32.582537567845868</c:v>
                </c:pt>
                <c:pt idx="3">
                  <c:v>34.136397275897032</c:v>
                </c:pt>
                <c:pt idx="4">
                  <c:v>36.365630761028008</c:v>
                </c:pt>
                <c:pt idx="5">
                  <c:v>39.518660650083852</c:v>
                </c:pt>
                <c:pt idx="6">
                  <c:v>44.027451009830202</c:v>
                </c:pt>
                <c:pt idx="7">
                  <c:v>50.694927235822384</c:v>
                </c:pt>
                <c:pt idx="8">
                  <c:v>61.177360668159388</c:v>
                </c:pt>
                <c:pt idx="9">
                  <c:v>79.483900155286676</c:v>
                </c:pt>
                <c:pt idx="10">
                  <c:v>118.24684166237176</c:v>
                </c:pt>
                <c:pt idx="11">
                  <c:v>242.75971929619215</c:v>
                </c:pt>
                <c:pt idx="12">
                  <c:v>419.78131584650902</c:v>
                </c:pt>
                <c:pt idx="13">
                  <c:v>141.93673763877348</c:v>
                </c:pt>
                <c:pt idx="14">
                  <c:v>78.611891983165378</c:v>
                </c:pt>
                <c:pt idx="15">
                  <c:v>52.990036295407741</c:v>
                </c:pt>
                <c:pt idx="16">
                  <c:v>39.299946872645855</c:v>
                </c:pt>
                <c:pt idx="17">
                  <c:v>30.836401514281498</c:v>
                </c:pt>
                <c:pt idx="18">
                  <c:v>25.114068458399167</c:v>
                </c:pt>
                <c:pt idx="19">
                  <c:v>21.003767652389811</c:v>
                </c:pt>
                <c:pt idx="20">
                  <c:v>17.919655134507096</c:v>
                </c:pt>
                <c:pt idx="21">
                  <c:v>15.527925726144588</c:v>
                </c:pt>
                <c:pt idx="22">
                  <c:v>13.624630274206201</c:v>
                </c:pt>
                <c:pt idx="23">
                  <c:v>12.07823549548586</c:v>
                </c:pt>
                <c:pt idx="24">
                  <c:v>10.800171341441906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6624"/>
        <c:axId val="93872896"/>
      </c:scatterChart>
      <c:valAx>
        <c:axId val="93866624"/>
        <c:scaling>
          <c:orientation val="minMax"/>
          <c:max val="5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ru-RU"/>
                  <a:t> ,Гц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872896"/>
        <c:crosses val="autoZero"/>
        <c:crossBetween val="midCat"/>
      </c:valAx>
      <c:valAx>
        <c:axId val="93872896"/>
        <c:scaling>
          <c:orientation val="minMax"/>
          <c:max val="3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W, </a:t>
                </a:r>
                <a:r>
                  <a:rPr lang="uk-UA"/>
                  <a:t>мкм</a:t>
                </a:r>
                <a:endParaRPr lang="ru-RU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3866624"/>
        <c:crosses val="autoZero"/>
        <c:crossBetween val="midCat"/>
        <c:majorUnit val="5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21</xdr:row>
      <xdr:rowOff>33337</xdr:rowOff>
    </xdr:from>
    <xdr:to>
      <xdr:col>10</xdr:col>
      <xdr:colOff>581024</xdr:colOff>
      <xdr:row>40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146957</xdr:colOff>
      <xdr:row>34</xdr:row>
      <xdr:rowOff>87084</xdr:rowOff>
    </xdr:from>
    <xdr:to>
      <xdr:col>6</xdr:col>
      <xdr:colOff>714374</xdr:colOff>
      <xdr:row>59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146957</xdr:colOff>
      <xdr:row>34</xdr:row>
      <xdr:rowOff>87084</xdr:rowOff>
    </xdr:from>
    <xdr:to>
      <xdr:col>6</xdr:col>
      <xdr:colOff>714374</xdr:colOff>
      <xdr:row>59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opLeftCell="A4" workbookViewId="0">
      <selection activeCell="J17" sqref="J17"/>
    </sheetView>
  </sheetViews>
  <sheetFormatPr defaultRowHeight="15" x14ac:dyDescent="0.25"/>
  <cols>
    <col min="2" max="2" width="17.140625" customWidth="1"/>
    <col min="4" max="4" width="14.28515625" customWidth="1"/>
    <col min="6" max="6" width="16.42578125" customWidth="1"/>
  </cols>
  <sheetData>
    <row r="1" spans="2:7" ht="15.75" thickBot="1" x14ac:dyDescent="0.3"/>
    <row r="2" spans="2:7" x14ac:dyDescent="0.25">
      <c r="B2" s="2" t="s">
        <v>0</v>
      </c>
      <c r="C2" s="3">
        <v>48</v>
      </c>
      <c r="D2" s="3" t="s">
        <v>4</v>
      </c>
      <c r="E2" s="3">
        <v>150</v>
      </c>
      <c r="F2" s="3" t="s">
        <v>4</v>
      </c>
      <c r="G2" s="4">
        <v>150</v>
      </c>
    </row>
    <row r="3" spans="2:7" x14ac:dyDescent="0.25">
      <c r="B3" s="5" t="s">
        <v>1</v>
      </c>
      <c r="C3" s="1">
        <v>3.5000000000000003E-2</v>
      </c>
      <c r="D3" s="1" t="s">
        <v>5</v>
      </c>
      <c r="E3" s="1">
        <v>10</v>
      </c>
      <c r="F3" s="1" t="s">
        <v>5</v>
      </c>
      <c r="G3" s="6">
        <v>10</v>
      </c>
    </row>
    <row r="4" spans="2:7" x14ac:dyDescent="0.25">
      <c r="B4" s="5" t="s">
        <v>2</v>
      </c>
      <c r="C4" s="1">
        <v>5.5E-2</v>
      </c>
      <c r="D4" s="1"/>
      <c r="E4" s="1"/>
      <c r="F4" s="1" t="s">
        <v>8</v>
      </c>
      <c r="G4" s="6">
        <v>1.5</v>
      </c>
    </row>
    <row r="5" spans="2:7" x14ac:dyDescent="0.25">
      <c r="B5" s="5" t="s">
        <v>3</v>
      </c>
      <c r="C5" s="1">
        <v>7.0000000000000001E-3</v>
      </c>
      <c r="D5" s="1"/>
      <c r="E5" s="1"/>
      <c r="F5" s="1" t="s">
        <v>9</v>
      </c>
      <c r="G5" s="6">
        <v>100</v>
      </c>
    </row>
    <row r="6" spans="2:7" x14ac:dyDescent="0.25">
      <c r="B6" s="5"/>
      <c r="C6" s="1"/>
      <c r="D6" s="1"/>
      <c r="E6" s="1"/>
      <c r="F6" s="1" t="s">
        <v>10</v>
      </c>
      <c r="G6" s="6">
        <v>6</v>
      </c>
    </row>
    <row r="7" spans="2:7" x14ac:dyDescent="0.25">
      <c r="B7" s="5"/>
      <c r="C7" s="1"/>
      <c r="D7" s="1"/>
      <c r="E7" s="1"/>
      <c r="F7" s="1" t="s">
        <v>11</v>
      </c>
      <c r="G7" s="6">
        <v>20</v>
      </c>
    </row>
    <row r="8" spans="2:7" x14ac:dyDescent="0.25">
      <c r="B8" s="5"/>
      <c r="C8" s="1"/>
      <c r="D8" s="1"/>
      <c r="E8" s="1"/>
      <c r="F8" s="1" t="s">
        <v>12</v>
      </c>
      <c r="G8" s="6">
        <v>10000</v>
      </c>
    </row>
    <row r="9" spans="2:7" x14ac:dyDescent="0.25">
      <c r="B9" s="112" t="s">
        <v>7</v>
      </c>
      <c r="C9" s="113"/>
      <c r="D9" s="113">
        <f>SUM(E2,E3)</f>
        <v>160</v>
      </c>
      <c r="E9" s="113"/>
      <c r="F9" s="113">
        <f>SUM(G2:G8)</f>
        <v>10287.5</v>
      </c>
      <c r="G9" s="114"/>
    </row>
    <row r="10" spans="2:7" ht="15.75" thickBot="1" x14ac:dyDescent="0.3">
      <c r="B10" s="115" t="s">
        <v>6</v>
      </c>
      <c r="C10" s="116"/>
      <c r="D10" s="117">
        <f>D9/(C2*1000*(C3+C4+C5))</f>
        <v>3.4364261168384883E-2</v>
      </c>
      <c r="E10" s="117"/>
      <c r="F10" s="118">
        <f>F9/(C2*1000*(C3+C4+C5))</f>
        <v>2.2095146048109964</v>
      </c>
      <c r="G10" s="119"/>
    </row>
    <row r="11" spans="2:7" x14ac:dyDescent="0.25">
      <c r="B11" s="10" t="s">
        <v>13</v>
      </c>
      <c r="C11" s="11">
        <v>1.7500000000000002E-2</v>
      </c>
      <c r="D11" s="11" t="s">
        <v>14</v>
      </c>
      <c r="E11" s="11">
        <v>5</v>
      </c>
      <c r="F11" s="11" t="s">
        <v>14</v>
      </c>
      <c r="G11" s="12">
        <v>12</v>
      </c>
    </row>
    <row r="12" spans="2:7" x14ac:dyDescent="0.25">
      <c r="B12" s="8"/>
      <c r="C12" s="7"/>
      <c r="D12" s="7" t="s">
        <v>16</v>
      </c>
      <c r="E12" s="7">
        <v>4.4999999999999998E-2</v>
      </c>
      <c r="F12" s="7" t="s">
        <v>16</v>
      </c>
      <c r="G12" s="9">
        <v>0.15</v>
      </c>
    </row>
    <row r="13" spans="2:7" ht="15.75" thickBot="1" x14ac:dyDescent="0.3">
      <c r="B13" s="120" t="s">
        <v>15</v>
      </c>
      <c r="C13" s="121"/>
      <c r="D13" s="122">
        <f>C11*D9*0.001*E12/((C3+C4+C5)*E11*0.05)</f>
        <v>5.1958762886597952E-3</v>
      </c>
      <c r="E13" s="122"/>
      <c r="F13" s="122">
        <f>C11*F9*0.001*G12/((C3+C4+C5)*G11*0.05)</f>
        <v>0.46399806701030927</v>
      </c>
      <c r="G13" s="123"/>
    </row>
    <row r="14" spans="2:7" x14ac:dyDescent="0.25">
      <c r="B14" s="13" t="s">
        <v>17</v>
      </c>
      <c r="C14" s="14">
        <v>0.65</v>
      </c>
      <c r="D14" s="124" t="s">
        <v>20</v>
      </c>
      <c r="E14" s="124"/>
      <c r="F14" s="124">
        <f>C14+C15+C16</f>
        <v>0.9</v>
      </c>
      <c r="G14" s="127"/>
    </row>
    <row r="15" spans="2:7" x14ac:dyDescent="0.25">
      <c r="B15" s="15" t="s">
        <v>18</v>
      </c>
      <c r="C15" s="7">
        <v>0.1</v>
      </c>
      <c r="D15" s="125"/>
      <c r="E15" s="125"/>
      <c r="F15" s="125"/>
      <c r="G15" s="128"/>
    </row>
    <row r="16" spans="2:7" ht="15.75" thickBot="1" x14ac:dyDescent="0.3">
      <c r="B16" s="17" t="s">
        <v>19</v>
      </c>
      <c r="C16" s="18">
        <v>0.15</v>
      </c>
      <c r="D16" s="126"/>
      <c r="E16" s="126"/>
      <c r="F16" s="126"/>
      <c r="G16" s="129"/>
    </row>
    <row r="17" spans="2:7" x14ac:dyDescent="0.25">
      <c r="B17" s="13" t="s">
        <v>21</v>
      </c>
      <c r="C17" s="20">
        <v>0.1</v>
      </c>
      <c r="D17" s="110" t="s">
        <v>25</v>
      </c>
      <c r="E17" s="110"/>
      <c r="F17" s="110">
        <f>F14+C20+0.15</f>
        <v>1.1000000000000001</v>
      </c>
      <c r="G17" s="111"/>
    </row>
    <row r="18" spans="2:7" x14ac:dyDescent="0.25">
      <c r="B18" s="8" t="s">
        <v>22</v>
      </c>
      <c r="C18" s="19">
        <v>7.0000000000000007E-2</v>
      </c>
      <c r="D18" s="130" t="s">
        <v>26</v>
      </c>
      <c r="E18" s="130"/>
      <c r="F18" s="130">
        <f>2*C17+F17+2*C18+2*C19</f>
        <v>1.54</v>
      </c>
      <c r="G18" s="131"/>
    </row>
    <row r="19" spans="2:7" x14ac:dyDescent="0.25">
      <c r="B19" s="8" t="s">
        <v>23</v>
      </c>
      <c r="C19" s="19">
        <v>0.05</v>
      </c>
      <c r="D19" s="130" t="s">
        <v>27</v>
      </c>
      <c r="E19" s="130"/>
      <c r="F19" s="132">
        <f>F18+1.5*C3+0.03</f>
        <v>1.6225000000000001</v>
      </c>
      <c r="G19" s="133"/>
    </row>
    <row r="20" spans="2:7" ht="15.75" thickBot="1" x14ac:dyDescent="0.3">
      <c r="B20" s="16" t="s">
        <v>24</v>
      </c>
      <c r="C20" s="21">
        <v>0.05</v>
      </c>
      <c r="D20" s="134" t="s">
        <v>28</v>
      </c>
      <c r="E20" s="134"/>
      <c r="F20" s="135">
        <f>F19+0.02</f>
        <v>1.6425000000000001</v>
      </c>
      <c r="G20" s="136"/>
    </row>
    <row r="21" spans="2:7" x14ac:dyDescent="0.25">
      <c r="B21" s="24" t="s">
        <v>29</v>
      </c>
      <c r="C21" s="25">
        <v>0.25</v>
      </c>
      <c r="D21" s="137" t="s">
        <v>30</v>
      </c>
      <c r="E21" s="137"/>
      <c r="F21" s="138">
        <f>C21+1.5*C3+0.03</f>
        <v>0.33250000000000002</v>
      </c>
      <c r="G21" s="139"/>
    </row>
    <row r="22" spans="2:7" ht="15.75" thickBot="1" x14ac:dyDescent="0.3">
      <c r="B22" s="23" t="s">
        <v>33</v>
      </c>
      <c r="C22" s="21">
        <v>0.05</v>
      </c>
      <c r="D22" s="134" t="s">
        <v>31</v>
      </c>
      <c r="E22" s="134"/>
      <c r="F22" s="135">
        <f>F21+0.02</f>
        <v>0.35250000000000004</v>
      </c>
      <c r="G22" s="140"/>
    </row>
    <row r="23" spans="2:7" x14ac:dyDescent="0.25">
      <c r="B23" s="24" t="s">
        <v>32</v>
      </c>
      <c r="C23" s="25">
        <v>1.25</v>
      </c>
      <c r="D23" s="137" t="s">
        <v>34</v>
      </c>
      <c r="E23" s="137"/>
      <c r="F23" s="138">
        <f>C23-(0.5*F20+C19+0.5*F22+C22)</f>
        <v>0.15249999999999986</v>
      </c>
      <c r="G23" s="139"/>
    </row>
    <row r="24" spans="2:7" x14ac:dyDescent="0.25">
      <c r="B24" s="22" t="s">
        <v>36</v>
      </c>
      <c r="C24" s="19">
        <v>0.5</v>
      </c>
      <c r="D24" s="130" t="s">
        <v>35</v>
      </c>
      <c r="E24" s="130"/>
      <c r="F24" s="132">
        <f>C23-(F21+2*C22)</f>
        <v>0.8175</v>
      </c>
      <c r="G24" s="133"/>
    </row>
    <row r="25" spans="2:7" ht="15.75" thickBot="1" x14ac:dyDescent="0.3">
      <c r="B25" s="26" t="s">
        <v>28</v>
      </c>
      <c r="C25" s="27">
        <v>0.3</v>
      </c>
      <c r="D25" s="141" t="s">
        <v>37</v>
      </c>
      <c r="E25" s="141"/>
      <c r="F25" s="141">
        <f>C24-(C25+2*0.05)</f>
        <v>9.9999999999999978E-2</v>
      </c>
      <c r="G25" s="142"/>
    </row>
    <row r="26" spans="2:7" x14ac:dyDescent="0.25">
      <c r="B26" s="143" t="s">
        <v>38</v>
      </c>
      <c r="C26" s="124"/>
      <c r="D26" s="145">
        <f>C11*E12*D9/(D10*(C3+C4+C5))</f>
        <v>37.799999999999997</v>
      </c>
      <c r="E26" s="145"/>
      <c r="F26" s="147">
        <f>C11*G12*F9/(F10*(C3+C4+C5))</f>
        <v>126.00000000000001</v>
      </c>
      <c r="G26" s="148"/>
    </row>
    <row r="27" spans="2:7" x14ac:dyDescent="0.25">
      <c r="B27" s="144"/>
      <c r="C27" s="125"/>
      <c r="D27" s="146"/>
      <c r="E27" s="146"/>
      <c r="F27" s="149"/>
      <c r="G27" s="150"/>
    </row>
    <row r="28" spans="2:7" x14ac:dyDescent="0.25">
      <c r="B28" s="151" t="s">
        <v>39</v>
      </c>
      <c r="C28" s="130"/>
      <c r="D28" s="152">
        <f>8.85*0.000000000001*4.5*0.25*0.25*0.000001/0.0015</f>
        <v>1.6593749999999997E-15</v>
      </c>
      <c r="E28" s="152"/>
      <c r="F28" s="152">
        <f>D28</f>
        <v>1.6593749999999997E-15</v>
      </c>
      <c r="G28" s="153"/>
    </row>
    <row r="29" spans="2:7" x14ac:dyDescent="0.25">
      <c r="B29" s="151" t="s">
        <v>40</v>
      </c>
      <c r="C29" s="130"/>
      <c r="D29" s="152">
        <f>2*3.1415926*24*1000000*D28*3.3*3.3*0.002</f>
        <v>5.4499625858501985E-9</v>
      </c>
      <c r="E29" s="152"/>
      <c r="F29" s="152">
        <f>2*3.1415926*10*1000*F28*12*12*0.002</f>
        <v>3.0027342070799994E-11</v>
      </c>
      <c r="G29" s="131"/>
    </row>
    <row r="30" spans="2:7" x14ac:dyDescent="0.25">
      <c r="B30" s="151" t="s">
        <v>42</v>
      </c>
      <c r="C30" s="130"/>
      <c r="D30" s="130">
        <f>0.15*0.5*5.5*4.5</f>
        <v>1.85625</v>
      </c>
      <c r="E30" s="130"/>
      <c r="F30" s="130">
        <f>0.15*0.5*5.5*15</f>
        <v>6.1875</v>
      </c>
      <c r="G30" s="131"/>
    </row>
    <row r="31" spans="2:7" ht="15.75" thickBot="1" x14ac:dyDescent="0.3">
      <c r="B31" s="154" t="s">
        <v>41</v>
      </c>
      <c r="C31" s="134"/>
      <c r="D31" s="155">
        <f>0.02*(4.5*LOG10((SQRT(4.5^2+0.05^2)+4.5)/0.05)-SQRT(4.5^2+0.05^2)+0.05)</f>
        <v>0.11397017639291318</v>
      </c>
      <c r="E31" s="155"/>
      <c r="F31" s="155">
        <f>0.02*(15*LOG10((SQRT(15^2+0.05^2)+15)/0.05)-SQRT(15^2+0.05^2)+0.05)</f>
        <v>0.53444407036361619</v>
      </c>
      <c r="G31" s="156"/>
    </row>
  </sheetData>
  <mergeCells count="44">
    <mergeCell ref="B30:C30"/>
    <mergeCell ref="D30:E30"/>
    <mergeCell ref="F30:G30"/>
    <mergeCell ref="B31:C31"/>
    <mergeCell ref="D31:E31"/>
    <mergeCell ref="F31:G31"/>
    <mergeCell ref="B28:C28"/>
    <mergeCell ref="B29:C29"/>
    <mergeCell ref="D28:E28"/>
    <mergeCell ref="D29:E29"/>
    <mergeCell ref="F28:G28"/>
    <mergeCell ref="F29:G29"/>
    <mergeCell ref="D24:E24"/>
    <mergeCell ref="F24:G24"/>
    <mergeCell ref="D25:E25"/>
    <mergeCell ref="F25:G25"/>
    <mergeCell ref="B26:C27"/>
    <mergeCell ref="D26:E27"/>
    <mergeCell ref="F26:G27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7:E17"/>
    <mergeCell ref="F17:G17"/>
    <mergeCell ref="B9:C9"/>
    <mergeCell ref="D9:E9"/>
    <mergeCell ref="F9:G9"/>
    <mergeCell ref="B10:C10"/>
    <mergeCell ref="D10:E10"/>
    <mergeCell ref="F10:G10"/>
    <mergeCell ref="B13:C13"/>
    <mergeCell ref="D13:E13"/>
    <mergeCell ref="F13:G13"/>
    <mergeCell ref="D14:E16"/>
    <mergeCell ref="F14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opLeftCell="D19" workbookViewId="0">
      <selection activeCell="M26" sqref="M26"/>
    </sheetView>
  </sheetViews>
  <sheetFormatPr defaultRowHeight="15" x14ac:dyDescent="0.25"/>
  <cols>
    <col min="3" max="3" width="31.42578125" customWidth="1"/>
    <col min="4" max="4" width="33.140625" customWidth="1"/>
    <col min="5" max="5" width="15" customWidth="1"/>
    <col min="6" max="6" width="21.42578125" customWidth="1"/>
    <col min="7" max="7" width="14.85546875" customWidth="1"/>
    <col min="8" max="8" width="13.7109375" customWidth="1"/>
  </cols>
  <sheetData>
    <row r="2" spans="2:11" ht="15" customHeight="1" x14ac:dyDescent="0.25">
      <c r="B2" s="30" t="s">
        <v>43</v>
      </c>
      <c r="C2" s="30" t="s">
        <v>44</v>
      </c>
      <c r="D2" s="31" t="s">
        <v>45</v>
      </c>
      <c r="E2" s="30" t="s">
        <v>46</v>
      </c>
      <c r="F2" s="30" t="s">
        <v>47</v>
      </c>
      <c r="G2" s="32" t="s">
        <v>48</v>
      </c>
      <c r="I2" t="s">
        <v>63</v>
      </c>
      <c r="J2" t="s">
        <v>64</v>
      </c>
      <c r="K2" t="s">
        <v>65</v>
      </c>
    </row>
    <row r="3" spans="2:11" x14ac:dyDescent="0.25">
      <c r="B3" s="33">
        <v>1</v>
      </c>
      <c r="C3" t="s">
        <v>60</v>
      </c>
      <c r="D3">
        <v>2.3E-2</v>
      </c>
      <c r="E3">
        <v>2</v>
      </c>
      <c r="F3" s="33">
        <v>2.5</v>
      </c>
      <c r="G3" s="35">
        <f>D3*E3*F3</f>
        <v>0.11499999999999999</v>
      </c>
      <c r="I3">
        <v>10</v>
      </c>
      <c r="J3" s="34">
        <f>EXP(-G$15*0.000001*I3)</f>
        <v>0.99989118712055081</v>
      </c>
      <c r="K3" s="34">
        <f>1-J3</f>
        <v>1.0881287944919382E-4</v>
      </c>
    </row>
    <row r="4" spans="2:11" x14ac:dyDescent="0.25">
      <c r="B4" s="33">
        <v>2</v>
      </c>
      <c r="C4" t="s">
        <v>59</v>
      </c>
      <c r="D4">
        <v>2.8000000000000001E-2</v>
      </c>
      <c r="E4">
        <v>3</v>
      </c>
      <c r="F4" s="33">
        <v>2.5</v>
      </c>
      <c r="G4" s="35">
        <f t="shared" ref="G4:G5" si="0">D4*E4*F4</f>
        <v>0.21000000000000002</v>
      </c>
      <c r="I4">
        <v>20</v>
      </c>
      <c r="J4" s="34">
        <f t="shared" ref="J4:J15" si="1">EXP(-G$15*0.000001*I4)</f>
        <v>0.9997823860813444</v>
      </c>
      <c r="K4" s="34">
        <f t="shared" ref="K4:K20" si="2">1-J4</f>
        <v>2.1761391865560142E-4</v>
      </c>
    </row>
    <row r="5" spans="2:11" x14ac:dyDescent="0.25">
      <c r="B5" s="33">
        <v>3</v>
      </c>
      <c r="C5" t="s">
        <v>49</v>
      </c>
      <c r="D5">
        <v>2.5000000000000001E-2</v>
      </c>
      <c r="E5">
        <v>11</v>
      </c>
      <c r="F5" s="33">
        <v>2.5</v>
      </c>
      <c r="G5" s="35">
        <f t="shared" si="0"/>
        <v>0.6875</v>
      </c>
      <c r="I5">
        <v>40</v>
      </c>
      <c r="J5" s="34">
        <f t="shared" si="1"/>
        <v>0.99956481951850651</v>
      </c>
      <c r="K5" s="34">
        <f t="shared" si="2"/>
        <v>4.351804814934912E-4</v>
      </c>
    </row>
    <row r="6" spans="2:11" x14ac:dyDescent="0.25">
      <c r="B6" s="33">
        <v>4</v>
      </c>
      <c r="C6" t="s">
        <v>50</v>
      </c>
      <c r="D6">
        <v>2.1999999999999999E-2</v>
      </c>
      <c r="E6">
        <v>45</v>
      </c>
      <c r="F6" s="33">
        <v>2.5</v>
      </c>
      <c r="G6" s="35">
        <f>D6*E6*F6</f>
        <v>2.4750000000000001</v>
      </c>
      <c r="I6">
        <v>80</v>
      </c>
      <c r="J6" s="34">
        <f t="shared" si="1"/>
        <v>0.9991298284190645</v>
      </c>
      <c r="K6" s="34">
        <f t="shared" si="2"/>
        <v>8.7017158093549707E-4</v>
      </c>
    </row>
    <row r="7" spans="2:11" x14ac:dyDescent="0.25">
      <c r="B7" s="33">
        <v>5</v>
      </c>
      <c r="C7" t="s">
        <v>51</v>
      </c>
      <c r="D7">
        <v>3.4000000000000002E-2</v>
      </c>
      <c r="E7">
        <v>51</v>
      </c>
      <c r="F7" s="33">
        <v>2.5</v>
      </c>
      <c r="G7" s="35">
        <f>D7*E7*F7</f>
        <v>4.3350000000000009</v>
      </c>
      <c r="I7">
        <v>100</v>
      </c>
      <c r="J7" s="34">
        <f t="shared" si="1"/>
        <v>0.99891240386185653</v>
      </c>
      <c r="K7" s="34">
        <f t="shared" si="2"/>
        <v>1.0875961381434651E-3</v>
      </c>
    </row>
    <row r="8" spans="2:11" x14ac:dyDescent="0.25">
      <c r="B8" s="33">
        <v>6</v>
      </c>
      <c r="C8" t="s">
        <v>53</v>
      </c>
      <c r="D8">
        <v>0.01</v>
      </c>
      <c r="E8">
        <v>3</v>
      </c>
      <c r="F8" s="33">
        <v>2.5</v>
      </c>
      <c r="G8" s="35">
        <f>D8*E8*F8</f>
        <v>7.4999999999999997E-2</v>
      </c>
      <c r="I8">
        <v>200</v>
      </c>
      <c r="J8" s="34">
        <f t="shared" si="1"/>
        <v>0.99782599058907284</v>
      </c>
      <c r="K8" s="34">
        <f t="shared" si="2"/>
        <v>2.1740094109271579E-3</v>
      </c>
    </row>
    <row r="9" spans="2:11" x14ac:dyDescent="0.25">
      <c r="B9" s="33">
        <v>7</v>
      </c>
      <c r="C9" t="s">
        <v>52</v>
      </c>
      <c r="D9">
        <v>4.1000000000000003E-3</v>
      </c>
      <c r="E9">
        <v>46</v>
      </c>
      <c r="F9" s="33">
        <v>2.5</v>
      </c>
      <c r="G9" s="35">
        <f>D9*E9*F9</f>
        <v>0.47150000000000003</v>
      </c>
      <c r="I9">
        <v>400</v>
      </c>
      <c r="J9" s="34">
        <f t="shared" si="1"/>
        <v>0.99565670749506441</v>
      </c>
      <c r="K9" s="34">
        <f t="shared" si="2"/>
        <v>4.3432925049355919E-3</v>
      </c>
    </row>
    <row r="10" spans="2:11" x14ac:dyDescent="0.25">
      <c r="B10" s="33">
        <v>8</v>
      </c>
      <c r="C10" t="s">
        <v>54</v>
      </c>
      <c r="D10">
        <v>2.5999999999999999E-2</v>
      </c>
      <c r="E10">
        <v>1</v>
      </c>
      <c r="F10" s="33">
        <v>2.5</v>
      </c>
      <c r="G10" s="35">
        <f>D10*E10*F10</f>
        <v>6.5000000000000002E-2</v>
      </c>
      <c r="I10">
        <v>800</v>
      </c>
      <c r="J10" s="34">
        <f t="shared" si="1"/>
        <v>0.99133227917991229</v>
      </c>
      <c r="K10" s="34">
        <f t="shared" si="2"/>
        <v>8.6677208200877098E-3</v>
      </c>
    </row>
    <row r="11" spans="2:11" x14ac:dyDescent="0.25">
      <c r="B11" s="33">
        <v>9</v>
      </c>
      <c r="C11" t="s">
        <v>61</v>
      </c>
      <c r="D11">
        <v>3.4000000000000002E-2</v>
      </c>
      <c r="E11">
        <v>2</v>
      </c>
      <c r="F11" s="33">
        <v>2.5</v>
      </c>
      <c r="G11" s="35">
        <f t="shared" ref="G11:G12" si="3">D11*E11*F11</f>
        <v>0.17</v>
      </c>
      <c r="I11">
        <v>1000</v>
      </c>
      <c r="J11" s="34">
        <f t="shared" si="1"/>
        <v>0.98917711347561921</v>
      </c>
      <c r="K11" s="34">
        <f t="shared" si="2"/>
        <v>1.0822886524380793E-2</v>
      </c>
    </row>
    <row r="12" spans="2:11" x14ac:dyDescent="0.25">
      <c r="B12" s="33">
        <v>10</v>
      </c>
      <c r="C12" t="s">
        <v>62</v>
      </c>
      <c r="D12">
        <v>0.16</v>
      </c>
      <c r="E12">
        <v>5</v>
      </c>
      <c r="F12" s="33">
        <v>2.5</v>
      </c>
      <c r="G12" s="35">
        <f t="shared" si="3"/>
        <v>2</v>
      </c>
      <c r="I12">
        <v>2000</v>
      </c>
      <c r="J12" s="34">
        <f t="shared" si="1"/>
        <v>0.978471361823958</v>
      </c>
      <c r="K12" s="34">
        <f t="shared" si="2"/>
        <v>2.1528638176042003E-2</v>
      </c>
    </row>
    <row r="13" spans="2:11" x14ac:dyDescent="0.25">
      <c r="B13" s="33">
        <v>11</v>
      </c>
      <c r="C13" t="s">
        <v>55</v>
      </c>
      <c r="D13">
        <v>1.7E-5</v>
      </c>
      <c r="E13">
        <v>656</v>
      </c>
      <c r="F13" s="33">
        <v>2.5</v>
      </c>
      <c r="G13" s="35">
        <f>D13*E13*F13</f>
        <v>2.7880000000000002E-2</v>
      </c>
      <c r="I13">
        <v>4000</v>
      </c>
      <c r="J13" s="34">
        <f t="shared" si="1"/>
        <v>0.95740620590963099</v>
      </c>
      <c r="K13" s="34">
        <f t="shared" si="2"/>
        <v>4.2593794090369008E-2</v>
      </c>
    </row>
    <row r="14" spans="2:11" x14ac:dyDescent="0.25">
      <c r="B14" s="33">
        <v>12</v>
      </c>
      <c r="C14" t="s">
        <v>56</v>
      </c>
      <c r="D14">
        <v>0.1</v>
      </c>
      <c r="E14">
        <v>1</v>
      </c>
      <c r="F14" s="33">
        <v>2.5</v>
      </c>
      <c r="G14" s="35">
        <f>D14*E14*F14</f>
        <v>0.25</v>
      </c>
      <c r="I14">
        <v>8000</v>
      </c>
      <c r="J14" s="34">
        <f t="shared" si="1"/>
        <v>0.91662664311427466</v>
      </c>
      <c r="K14" s="34">
        <f t="shared" si="2"/>
        <v>8.3373356885725336E-2</v>
      </c>
    </row>
    <row r="15" spans="2:11" ht="18.75" x14ac:dyDescent="0.35">
      <c r="B15" s="157"/>
      <c r="C15" s="157"/>
      <c r="D15" s="158" t="s">
        <v>57</v>
      </c>
      <c r="E15" s="158"/>
      <c r="F15" s="158"/>
      <c r="G15" s="35">
        <f>SUM(G3:G14)</f>
        <v>10.881880000000001</v>
      </c>
      <c r="I15">
        <f>24*365</f>
        <v>8760</v>
      </c>
      <c r="J15" s="34">
        <f t="shared" si="1"/>
        <v>0.90907719192560288</v>
      </c>
      <c r="K15" s="34">
        <f t="shared" si="2"/>
        <v>9.0922808074397121E-2</v>
      </c>
    </row>
    <row r="16" spans="2:11" x14ac:dyDescent="0.25">
      <c r="B16" s="157"/>
      <c r="C16" s="157"/>
      <c r="D16" s="157" t="s">
        <v>58</v>
      </c>
      <c r="E16" s="157"/>
      <c r="F16" s="157"/>
      <c r="G16" s="35">
        <f>1000000/(G15*24*365)</f>
        <v>10.490397903813726</v>
      </c>
      <c r="I16">
        <v>10000</v>
      </c>
      <c r="J16" s="34">
        <f>EXP(-G$15*0.000001*I16)</f>
        <v>0.89689291977214747</v>
      </c>
      <c r="K16" s="34">
        <f t="shared" si="2"/>
        <v>0.10310708022785253</v>
      </c>
    </row>
    <row r="17" spans="2:11" x14ac:dyDescent="0.25">
      <c r="I17">
        <v>20000</v>
      </c>
      <c r="J17" s="34">
        <f>EXP(-G$15*0.000001*I17)</f>
        <v>0.80441690953740785</v>
      </c>
      <c r="K17" s="34">
        <f t="shared" si="2"/>
        <v>0.19558309046259215</v>
      </c>
    </row>
    <row r="18" spans="2:11" x14ac:dyDescent="0.25">
      <c r="B18" s="33"/>
      <c r="F18" s="33"/>
      <c r="I18">
        <v>40000</v>
      </c>
      <c r="J18" s="34">
        <f>EXP(-G$15*0.000001*I18)</f>
        <v>0.64708656434971423</v>
      </c>
      <c r="K18" s="34">
        <f t="shared" si="2"/>
        <v>0.35291343565028577</v>
      </c>
    </row>
    <row r="19" spans="2:11" x14ac:dyDescent="0.25">
      <c r="B19" s="33"/>
      <c r="F19" s="33"/>
      <c r="I19">
        <v>80000</v>
      </c>
      <c r="J19" s="34">
        <f>EXP(-G$15*0.000001*I19)</f>
        <v>0.41872102176191678</v>
      </c>
      <c r="K19" s="34">
        <f t="shared" si="2"/>
        <v>0.58127897823808317</v>
      </c>
    </row>
    <row r="20" spans="2:11" x14ac:dyDescent="0.25">
      <c r="B20" s="33"/>
      <c r="F20" s="33"/>
      <c r="I20">
        <v>100000</v>
      </c>
      <c r="J20" s="34">
        <f>EXP(-G$15*0.000001*I20)</f>
        <v>0.33682627028406686</v>
      </c>
      <c r="K20" s="34">
        <f t="shared" si="2"/>
        <v>0.66317372971593314</v>
      </c>
    </row>
    <row r="21" spans="2:11" x14ac:dyDescent="0.25">
      <c r="B21" s="33"/>
      <c r="F21" s="33"/>
      <c r="K21" s="34"/>
    </row>
    <row r="22" spans="2:11" x14ac:dyDescent="0.25">
      <c r="B22" s="33"/>
      <c r="E22" s="157"/>
      <c r="F22" s="157"/>
      <c r="G22" s="157"/>
      <c r="H22" s="157"/>
      <c r="I22" s="157"/>
      <c r="J22" s="157"/>
      <c r="K22" s="157"/>
    </row>
    <row r="23" spans="2:11" x14ac:dyDescent="0.25">
      <c r="B23" s="33"/>
      <c r="E23" s="157"/>
      <c r="F23" s="157"/>
      <c r="G23" s="157"/>
      <c r="H23" s="157"/>
      <c r="I23" s="157"/>
      <c r="J23" s="157"/>
      <c r="K23" s="157"/>
    </row>
    <row r="24" spans="2:11" x14ac:dyDescent="0.25">
      <c r="B24" s="33"/>
      <c r="E24" s="157"/>
      <c r="F24" s="157"/>
      <c r="G24" s="157"/>
      <c r="H24" s="157"/>
      <c r="I24" s="157"/>
      <c r="J24" s="157"/>
      <c r="K24" s="157"/>
    </row>
    <row r="25" spans="2:11" x14ac:dyDescent="0.25">
      <c r="B25" s="33"/>
      <c r="E25" s="157"/>
      <c r="F25" s="157"/>
      <c r="G25" s="157"/>
      <c r="H25" s="157"/>
      <c r="I25" s="157"/>
      <c r="J25" s="157"/>
      <c r="K25" s="157"/>
    </row>
    <row r="26" spans="2:11" x14ac:dyDescent="0.25">
      <c r="B26" s="33"/>
      <c r="E26" s="157"/>
      <c r="F26" s="157"/>
      <c r="G26" s="157"/>
      <c r="H26" s="157"/>
      <c r="I26" s="157"/>
      <c r="J26" s="157"/>
      <c r="K26" s="157"/>
    </row>
    <row r="27" spans="2:11" x14ac:dyDescent="0.25">
      <c r="E27" s="157"/>
      <c r="F27" s="157"/>
      <c r="G27" s="157"/>
      <c r="H27" s="157"/>
      <c r="I27" s="157"/>
      <c r="J27" s="157"/>
      <c r="K27" s="157"/>
    </row>
    <row r="28" spans="2:11" x14ac:dyDescent="0.25">
      <c r="E28" s="157"/>
      <c r="F28" s="157"/>
      <c r="G28" s="157"/>
      <c r="H28" s="157"/>
      <c r="I28" s="157"/>
      <c r="J28" s="157"/>
      <c r="K28" s="157"/>
    </row>
    <row r="29" spans="2:11" x14ac:dyDescent="0.25">
      <c r="E29" s="157"/>
      <c r="F29" s="157"/>
      <c r="G29" s="157"/>
      <c r="H29" s="157"/>
      <c r="I29" s="157"/>
      <c r="J29" s="157"/>
      <c r="K29" s="157"/>
    </row>
    <row r="30" spans="2:11" x14ac:dyDescent="0.25">
      <c r="E30" s="157"/>
      <c r="F30" s="157"/>
      <c r="G30" s="157"/>
      <c r="H30" s="157"/>
      <c r="I30" s="157"/>
      <c r="J30" s="157"/>
      <c r="K30" s="157"/>
    </row>
    <row r="31" spans="2:11" x14ac:dyDescent="0.25">
      <c r="E31" s="157"/>
      <c r="F31" s="157"/>
      <c r="G31" s="157"/>
      <c r="H31" s="157"/>
      <c r="I31" s="157"/>
      <c r="J31" s="157"/>
      <c r="K31" s="157"/>
    </row>
    <row r="32" spans="2:11" x14ac:dyDescent="0.25">
      <c r="E32" s="157"/>
      <c r="F32" s="157"/>
      <c r="G32" s="157"/>
      <c r="H32" s="157"/>
      <c r="I32" s="157"/>
      <c r="J32" s="157"/>
      <c r="K32" s="157"/>
    </row>
    <row r="33" spans="5:11" x14ac:dyDescent="0.25">
      <c r="E33" s="157"/>
      <c r="F33" s="157"/>
      <c r="G33" s="157"/>
      <c r="H33" s="157"/>
      <c r="I33" s="157"/>
      <c r="J33" s="157"/>
      <c r="K33" s="157"/>
    </row>
    <row r="34" spans="5:11" x14ac:dyDescent="0.25">
      <c r="E34" s="157"/>
      <c r="F34" s="157"/>
      <c r="G34" s="157"/>
      <c r="H34" s="157"/>
      <c r="I34" s="157"/>
      <c r="J34" s="157"/>
      <c r="K34" s="157"/>
    </row>
    <row r="35" spans="5:11" x14ac:dyDescent="0.25">
      <c r="E35" s="157"/>
      <c r="F35" s="157"/>
      <c r="G35" s="157"/>
      <c r="H35" s="157"/>
      <c r="I35" s="157"/>
      <c r="J35" s="157"/>
      <c r="K35" s="157"/>
    </row>
    <row r="36" spans="5:11" x14ac:dyDescent="0.25">
      <c r="E36" s="157"/>
      <c r="F36" s="157"/>
      <c r="G36" s="157"/>
      <c r="H36" s="157"/>
      <c r="I36" s="157"/>
      <c r="J36" s="157"/>
      <c r="K36" s="157"/>
    </row>
    <row r="37" spans="5:11" x14ac:dyDescent="0.25">
      <c r="E37" s="157"/>
      <c r="F37" s="157"/>
      <c r="G37" s="157"/>
      <c r="H37" s="157"/>
      <c r="I37" s="157"/>
      <c r="J37" s="157"/>
      <c r="K37" s="157"/>
    </row>
    <row r="38" spans="5:11" x14ac:dyDescent="0.25">
      <c r="E38" s="157"/>
      <c r="F38" s="157"/>
      <c r="G38" s="157"/>
      <c r="H38" s="157"/>
      <c r="I38" s="157"/>
      <c r="J38" s="157"/>
      <c r="K38" s="157"/>
    </row>
    <row r="39" spans="5:11" x14ac:dyDescent="0.25">
      <c r="E39" s="157"/>
      <c r="F39" s="157"/>
      <c r="G39" s="157"/>
      <c r="H39" s="157"/>
      <c r="I39" s="157"/>
      <c r="J39" s="157"/>
      <c r="K39" s="157"/>
    </row>
    <row r="40" spans="5:11" x14ac:dyDescent="0.25">
      <c r="E40" s="157"/>
      <c r="F40" s="157"/>
      <c r="G40" s="157"/>
      <c r="H40" s="157"/>
      <c r="I40" s="157"/>
      <c r="J40" s="157"/>
      <c r="K40" s="157"/>
    </row>
    <row r="41" spans="5:11" x14ac:dyDescent="0.25">
      <c r="E41" s="157"/>
      <c r="F41" s="157"/>
      <c r="G41" s="157"/>
      <c r="H41" s="157"/>
      <c r="I41" s="157"/>
      <c r="J41" s="157"/>
      <c r="K41" s="157"/>
    </row>
  </sheetData>
  <mergeCells count="5">
    <mergeCell ref="E22:K41"/>
    <mergeCell ref="B15:C15"/>
    <mergeCell ref="B16:C16"/>
    <mergeCell ref="D15:F15"/>
    <mergeCell ref="D16:F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9"/>
  <sheetViews>
    <sheetView zoomScale="70" zoomScaleNormal="70" workbookViewId="0">
      <selection activeCell="G18" sqref="G18"/>
    </sheetView>
  </sheetViews>
  <sheetFormatPr defaultRowHeight="15" x14ac:dyDescent="0.25"/>
  <cols>
    <col min="1" max="1" width="9.140625" customWidth="1"/>
    <col min="2" max="2" width="35.7109375" customWidth="1"/>
    <col min="3" max="3" width="22.5703125" customWidth="1"/>
    <col min="4" max="4" width="12.7109375" customWidth="1"/>
    <col min="5" max="5" width="16.7109375" customWidth="1"/>
    <col min="6" max="6" width="32.140625" customWidth="1"/>
    <col min="7" max="7" width="16.7109375" customWidth="1"/>
    <col min="8" max="12" width="14.28515625" customWidth="1"/>
    <col min="13" max="13" width="10.42578125" customWidth="1"/>
  </cols>
  <sheetData>
    <row r="1" spans="2:13" ht="15.75" thickBot="1" x14ac:dyDescent="0.3">
      <c r="F1" s="36"/>
    </row>
    <row r="2" spans="2:13" ht="15.75" thickBot="1" x14ac:dyDescent="0.3">
      <c r="B2" s="88" t="s">
        <v>66</v>
      </c>
      <c r="C2" s="89" t="s">
        <v>67</v>
      </c>
      <c r="D2" s="89" t="s">
        <v>92</v>
      </c>
      <c r="E2" s="90" t="s">
        <v>93</v>
      </c>
      <c r="F2" s="76" t="s">
        <v>68</v>
      </c>
      <c r="G2" s="37">
        <v>8</v>
      </c>
      <c r="I2" s="38" t="s">
        <v>69</v>
      </c>
      <c r="J2" s="39" t="s">
        <v>70</v>
      </c>
      <c r="K2" s="40" t="s">
        <v>71</v>
      </c>
      <c r="L2" s="41" t="s">
        <v>72</v>
      </c>
      <c r="M2" s="42" t="s">
        <v>73</v>
      </c>
    </row>
    <row r="3" spans="2:13" x14ac:dyDescent="0.25">
      <c r="B3" s="44" t="s">
        <v>94</v>
      </c>
      <c r="C3" s="86">
        <v>0.04</v>
      </c>
      <c r="D3" s="87">
        <v>13</v>
      </c>
      <c r="E3" s="91">
        <f>C3*D3</f>
        <v>0.52</v>
      </c>
      <c r="F3" s="28" t="s">
        <v>74</v>
      </c>
      <c r="G3" s="43">
        <v>50</v>
      </c>
      <c r="I3" s="44">
        <v>10</v>
      </c>
      <c r="J3" s="45">
        <f t="shared" ref="J3:J27" si="0">1/SQRT(POWER(1-POWER(I3/$G$11,2),2) + POWER((I3*$G$6)/$G$11,2))</f>
        <v>1.000025705971175</v>
      </c>
      <c r="K3" s="46">
        <f t="shared" ref="K3:K27" si="1">J3*$G$12</f>
        <v>0.51504653111307075</v>
      </c>
      <c r="L3" s="47">
        <f t="shared" ref="L3:L27" si="2">($G$14/$G$13)*((K3*$G$10/1000000)/POWER($C$32/1000,2))</f>
        <v>2.7186864111568915E-2</v>
      </c>
      <c r="M3" s="48">
        <f t="shared" ref="M3:M27" si="3">(6*L3)/(POWER($D$32,2))</f>
        <v>7.2498304297517108E-2</v>
      </c>
    </row>
    <row r="4" spans="2:13" x14ac:dyDescent="0.25">
      <c r="B4" s="84" t="s">
        <v>95</v>
      </c>
      <c r="C4" s="79">
        <v>0.15</v>
      </c>
      <c r="D4" s="81">
        <v>1</v>
      </c>
      <c r="E4" s="92">
        <f t="shared" ref="E4:E12" si="4">C4*D4</f>
        <v>0.15</v>
      </c>
      <c r="F4" s="28" t="s">
        <v>75</v>
      </c>
      <c r="G4" s="49">
        <v>30.2</v>
      </c>
      <c r="I4" s="50">
        <f>I3+10</f>
        <v>20</v>
      </c>
      <c r="J4" s="51">
        <f t="shared" si="0"/>
        <v>1.0001028318005598</v>
      </c>
      <c r="K4" s="52">
        <f t="shared" si="1"/>
        <v>0.51508625348285253</v>
      </c>
      <c r="L4" s="53">
        <f t="shared" si="2"/>
        <v>2.7188960867112748E-2</v>
      </c>
      <c r="M4" s="54">
        <f t="shared" si="3"/>
        <v>7.2503895645633989E-2</v>
      </c>
    </row>
    <row r="5" spans="2:13" x14ac:dyDescent="0.25">
      <c r="B5" s="84" t="s">
        <v>96</v>
      </c>
      <c r="C5" s="79">
        <v>0.2</v>
      </c>
      <c r="D5" s="81">
        <v>2</v>
      </c>
      <c r="E5" s="92">
        <f t="shared" si="4"/>
        <v>0.4</v>
      </c>
      <c r="F5" s="28" t="s">
        <v>76</v>
      </c>
      <c r="G5" s="29">
        <v>0.25</v>
      </c>
      <c r="I5" s="50">
        <f t="shared" ref="I5:I13" si="5">I4+10</f>
        <v>30</v>
      </c>
      <c r="J5" s="51">
        <f t="shared" si="0"/>
        <v>1.0002314012418152</v>
      </c>
      <c r="K5" s="52">
        <f t="shared" si="1"/>
        <v>0.51515247102539208</v>
      </c>
      <c r="L5" s="53">
        <f t="shared" si="2"/>
        <v>2.7192456177190721E-2</v>
      </c>
      <c r="M5" s="54">
        <f t="shared" si="3"/>
        <v>7.2513216472508579E-2</v>
      </c>
    </row>
    <row r="6" spans="2:13" x14ac:dyDescent="0.25">
      <c r="B6" s="84" t="s">
        <v>97</v>
      </c>
      <c r="C6" s="79">
        <v>0.02</v>
      </c>
      <c r="D6" s="82">
        <v>1</v>
      </c>
      <c r="E6" s="92">
        <f t="shared" si="4"/>
        <v>0.02</v>
      </c>
      <c r="F6" s="28" t="s">
        <v>77</v>
      </c>
      <c r="G6" s="29">
        <v>0.06</v>
      </c>
      <c r="I6" s="50">
        <f t="shared" si="5"/>
        <v>40</v>
      </c>
      <c r="J6" s="51">
        <f t="shared" si="0"/>
        <v>1.000411453904664</v>
      </c>
      <c r="K6" s="52">
        <f t="shared" si="1"/>
        <v>0.51524520414101527</v>
      </c>
      <c r="L6" s="53">
        <f t="shared" si="2"/>
        <v>2.7197351118639294E-2</v>
      </c>
      <c r="M6" s="54">
        <f t="shared" si="3"/>
        <v>7.252626964970478E-2</v>
      </c>
    </row>
    <row r="7" spans="2:13" x14ac:dyDescent="0.25">
      <c r="B7" s="84" t="s">
        <v>98</v>
      </c>
      <c r="C7" s="79">
        <v>0.43</v>
      </c>
      <c r="D7" s="82">
        <v>1</v>
      </c>
      <c r="E7" s="92">
        <f t="shared" si="4"/>
        <v>0.43</v>
      </c>
      <c r="F7" s="28" t="s">
        <v>78</v>
      </c>
      <c r="G7" s="43">
        <v>2</v>
      </c>
      <c r="I7" s="50">
        <f t="shared" si="5"/>
        <v>50</v>
      </c>
      <c r="J7" s="51">
        <f t="shared" si="0"/>
        <v>1.0006430452853528</v>
      </c>
      <c r="K7" s="52">
        <f t="shared" si="1"/>
        <v>0.51536448141213653</v>
      </c>
      <c r="L7" s="53">
        <f t="shared" si="2"/>
        <v>2.7203647200188596E-2</v>
      </c>
      <c r="M7" s="54">
        <f t="shared" si="3"/>
        <v>7.2543059200502913E-2</v>
      </c>
    </row>
    <row r="8" spans="2:13" x14ac:dyDescent="0.25">
      <c r="B8" s="84" t="s">
        <v>99</v>
      </c>
      <c r="C8" s="79">
        <v>0.51</v>
      </c>
      <c r="D8" s="82">
        <v>1</v>
      </c>
      <c r="E8" s="92">
        <f t="shared" si="4"/>
        <v>0.51</v>
      </c>
      <c r="F8" s="77" t="s">
        <v>79</v>
      </c>
      <c r="G8" s="55">
        <f>1/SQRT(1+$E$13/$F$32)</f>
        <v>0.71241136636791302</v>
      </c>
      <c r="I8" s="50">
        <f t="shared" si="5"/>
        <v>60</v>
      </c>
      <c r="J8" s="51">
        <f t="shared" si="0"/>
        <v>1.0009262468093607</v>
      </c>
      <c r="K8" s="52">
        <f t="shared" si="1"/>
        <v>0.51551033962525572</v>
      </c>
      <c r="L8" s="53">
        <f t="shared" si="2"/>
        <v>2.7211346363623518E-2</v>
      </c>
      <c r="M8" s="54">
        <f t="shared" si="3"/>
        <v>7.2563590302996042E-2</v>
      </c>
    </row>
    <row r="9" spans="2:13" x14ac:dyDescent="0.25">
      <c r="B9" s="84" t="s">
        <v>100</v>
      </c>
      <c r="C9" s="79">
        <v>0.03</v>
      </c>
      <c r="D9" s="82">
        <v>1</v>
      </c>
      <c r="E9" s="92">
        <f t="shared" si="4"/>
        <v>0.03</v>
      </c>
      <c r="F9" s="28" t="s">
        <v>80</v>
      </c>
      <c r="G9" s="29">
        <f>POWER(3.1415926,2)*(1+POWER($B$32/$C$32,2))</f>
        <v>19.739208128749521</v>
      </c>
      <c r="I9" s="50">
        <f t="shared" si="5"/>
        <v>70</v>
      </c>
      <c r="J9" s="51">
        <f t="shared" si="0"/>
        <v>1.0012611458864138</v>
      </c>
      <c r="K9" s="52">
        <f t="shared" si="1"/>
        <v>0.51568282379929176</v>
      </c>
      <c r="L9" s="53">
        <f t="shared" si="2"/>
        <v>2.722045098527931E-2</v>
      </c>
      <c r="M9" s="54">
        <f t="shared" si="3"/>
        <v>7.2587869294078164E-2</v>
      </c>
    </row>
    <row r="10" spans="2:13" x14ac:dyDescent="0.25">
      <c r="B10" s="84" t="s">
        <v>101</v>
      </c>
      <c r="C10" s="79">
        <v>0.03</v>
      </c>
      <c r="D10" s="82">
        <v>8</v>
      </c>
      <c r="E10" s="92">
        <f t="shared" si="4"/>
        <v>0.24</v>
      </c>
      <c r="F10" s="28" t="s">
        <v>81</v>
      </c>
      <c r="G10" s="55">
        <f>($G$4*POWER(10,9)*POWER($D$32/1000,3))/(12*(1-POWER($G$5,2)))</f>
        <v>9.06</v>
      </c>
      <c r="I10" s="50">
        <f t="shared" si="5"/>
        <v>80</v>
      </c>
      <c r="J10" s="51">
        <f t="shared" si="0"/>
        <v>1.0016478459778873</v>
      </c>
      <c r="K10" s="52">
        <f t="shared" si="1"/>
        <v>0.5158819872202971</v>
      </c>
      <c r="L10" s="53">
        <f t="shared" si="2"/>
        <v>2.7230963877874017E-2</v>
      </c>
      <c r="M10" s="54">
        <f t="shared" si="3"/>
        <v>7.2615903674330712E-2</v>
      </c>
    </row>
    <row r="11" spans="2:13" x14ac:dyDescent="0.25">
      <c r="B11" s="84" t="s">
        <v>102</v>
      </c>
      <c r="C11" s="79">
        <v>0.05</v>
      </c>
      <c r="D11" s="82">
        <v>36</v>
      </c>
      <c r="E11" s="92">
        <f t="shared" si="4"/>
        <v>1.8</v>
      </c>
      <c r="F11" s="28" t="s">
        <v>82</v>
      </c>
      <c r="G11" s="56">
        <f>(($G$8*$G$9)/(2*3.1415926*POWER($B$32/1000,2)))*SQRT(($G$10*$B$32*$C$32)/(1000*$F$32))</f>
        <v>1970.5948637483989</v>
      </c>
      <c r="I11" s="50">
        <f t="shared" si="5"/>
        <v>90</v>
      </c>
      <c r="J11" s="51">
        <f t="shared" si="0"/>
        <v>1.0020864666766904</v>
      </c>
      <c r="K11" s="52">
        <f t="shared" si="1"/>
        <v>0.51610789148260161</v>
      </c>
      <c r="L11" s="53">
        <f t="shared" si="2"/>
        <v>2.7242888292680238E-2</v>
      </c>
      <c r="M11" s="54">
        <f t="shared" si="3"/>
        <v>7.2647702113813967E-2</v>
      </c>
    </row>
    <row r="12" spans="2:13" ht="15.75" thickBot="1" x14ac:dyDescent="0.3">
      <c r="B12" s="85" t="s">
        <v>103</v>
      </c>
      <c r="C12" s="80">
        <v>1.5</v>
      </c>
      <c r="D12" s="83">
        <v>1</v>
      </c>
      <c r="E12" s="93">
        <f t="shared" si="4"/>
        <v>1.5</v>
      </c>
      <c r="F12" s="28" t="s">
        <v>83</v>
      </c>
      <c r="G12" s="54">
        <f>($G$2*1000000)/(POWER($G$11,2)*4)</f>
        <v>0.51503329168212064</v>
      </c>
      <c r="I12" s="50">
        <f t="shared" si="5"/>
        <v>100</v>
      </c>
      <c r="J12" s="51">
        <f t="shared" si="0"/>
        <v>1.0025771437997493</v>
      </c>
      <c r="K12" s="52">
        <f t="shared" si="1"/>
        <v>0.51636060653644367</v>
      </c>
      <c r="L12" s="53">
        <f t="shared" si="2"/>
        <v>2.7256227922039359E-2</v>
      </c>
      <c r="M12" s="54">
        <f t="shared" si="3"/>
        <v>7.2683274458771624E-2</v>
      </c>
    </row>
    <row r="13" spans="2:13" ht="15.75" thickBot="1" x14ac:dyDescent="0.3">
      <c r="B13" s="162" t="s">
        <v>86</v>
      </c>
      <c r="C13" s="163"/>
      <c r="D13" s="164"/>
      <c r="E13" s="94">
        <f>SUM(E3:E12)</f>
        <v>5.6</v>
      </c>
      <c r="F13" s="28" t="s">
        <v>84</v>
      </c>
      <c r="G13" s="57">
        <f>0.00406+0.018*LOG($B$32/$C$32,10)</f>
        <v>4.0600000000000002E-3</v>
      </c>
      <c r="I13" s="50">
        <f t="shared" si="5"/>
        <v>110</v>
      </c>
      <c r="J13" s="51">
        <f t="shared" si="0"/>
        <v>1.0031200294932219</v>
      </c>
      <c r="K13" s="52">
        <f t="shared" si="1"/>
        <v>0.51664021074216004</v>
      </c>
      <c r="L13" s="53">
        <f t="shared" si="2"/>
        <v>2.7270986902221996E-2</v>
      </c>
      <c r="M13" s="54">
        <f t="shared" si="3"/>
        <v>7.2722631739258664E-2</v>
      </c>
    </row>
    <row r="14" spans="2:13" ht="15.75" thickBot="1" x14ac:dyDescent="0.3">
      <c r="B14" s="78"/>
      <c r="C14" s="78"/>
      <c r="D14" s="36"/>
      <c r="E14" s="74"/>
      <c r="F14" s="63" t="s">
        <v>85</v>
      </c>
      <c r="G14" s="58">
        <f>0.0479+0.18*LOG($B$32/$C$32,10)</f>
        <v>4.7899999999999998E-2</v>
      </c>
      <c r="I14" s="50">
        <f>I13+10</f>
        <v>120</v>
      </c>
      <c r="J14" s="51">
        <f t="shared" si="0"/>
        <v>1.0037152923505974</v>
      </c>
      <c r="K14" s="52">
        <f t="shared" si="1"/>
        <v>0.51694679093101026</v>
      </c>
      <c r="L14" s="53">
        <f t="shared" si="2"/>
        <v>2.7287169816638597E-2</v>
      </c>
      <c r="M14" s="54">
        <f t="shared" si="3"/>
        <v>7.2765786177702935E-2</v>
      </c>
    </row>
    <row r="15" spans="2:13" x14ac:dyDescent="0.25">
      <c r="B15" s="78"/>
      <c r="C15" s="78"/>
      <c r="D15" s="36"/>
      <c r="E15" s="74"/>
      <c r="I15" s="50">
        <f t="shared" ref="I15:I19" si="6">I14+10</f>
        <v>130</v>
      </c>
      <c r="J15" s="51">
        <f t="shared" si="0"/>
        <v>1.004363117543851</v>
      </c>
      <c r="K15" s="52">
        <f t="shared" si="1"/>
        <v>0.5172804424727262</v>
      </c>
      <c r="L15" s="53">
        <f t="shared" si="2"/>
        <v>2.7304781699405083E-2</v>
      </c>
      <c r="M15" s="54">
        <f t="shared" si="3"/>
        <v>7.2812751198413544E-2</v>
      </c>
    </row>
    <row r="16" spans="2:13" x14ac:dyDescent="0.25">
      <c r="B16" s="78"/>
      <c r="C16" s="78"/>
      <c r="D16" s="36"/>
      <c r="E16" s="74"/>
      <c r="I16" s="50">
        <f t="shared" si="6"/>
        <v>140</v>
      </c>
      <c r="J16" s="51">
        <f t="shared" si="0"/>
        <v>1.0050637069678441</v>
      </c>
      <c r="K16" s="52">
        <f t="shared" si="1"/>
        <v>0.51764126934988308</v>
      </c>
      <c r="L16" s="53">
        <f t="shared" si="2"/>
        <v>2.7323828039268524E-2</v>
      </c>
      <c r="M16" s="54">
        <f t="shared" si="3"/>
        <v>7.2863541438049392E-2</v>
      </c>
    </row>
    <row r="17" spans="2:13" x14ac:dyDescent="0.25">
      <c r="B17" s="70"/>
      <c r="C17" s="78"/>
      <c r="D17" s="36"/>
      <c r="E17" s="74"/>
      <c r="I17" s="50">
        <f t="shared" si="6"/>
        <v>150</v>
      </c>
      <c r="J17" s="51">
        <f t="shared" si="0"/>
        <v>1.0058172793981828</v>
      </c>
      <c r="K17" s="52">
        <f t="shared" si="1"/>
        <v>0.51802938423920131</v>
      </c>
      <c r="L17" s="53">
        <f t="shared" si="2"/>
        <v>2.7344314783898697E-2</v>
      </c>
      <c r="M17" s="54">
        <f t="shared" si="3"/>
        <v>7.2918172757063193E-2</v>
      </c>
    </row>
    <row r="18" spans="2:13" x14ac:dyDescent="0.25">
      <c r="B18" s="70"/>
      <c r="C18" s="70"/>
      <c r="D18" s="36"/>
      <c r="E18" s="74"/>
      <c r="I18" s="50">
        <f t="shared" si="6"/>
        <v>160</v>
      </c>
      <c r="J18" s="51">
        <f t="shared" si="0"/>
        <v>1.0066240706627643</v>
      </c>
      <c r="K18" s="52">
        <f t="shared" si="1"/>
        <v>0.51844490859989911</v>
      </c>
      <c r="L18" s="53">
        <f t="shared" si="2"/>
        <v>2.7366248344551803E-2</v>
      </c>
      <c r="M18" s="54">
        <f t="shared" si="3"/>
        <v>7.2976662252138141E-2</v>
      </c>
    </row>
    <row r="19" spans="2:13" x14ac:dyDescent="0.25">
      <c r="I19" s="50">
        <f t="shared" si="6"/>
        <v>170</v>
      </c>
      <c r="J19" s="51">
        <f t="shared" si="0"/>
        <v>1.007484333827263</v>
      </c>
      <c r="K19" s="52">
        <f t="shared" si="1"/>
        <v>0.51888797276922372</v>
      </c>
      <c r="L19" s="53">
        <f t="shared" si="2"/>
        <v>2.7389635601113071E-2</v>
      </c>
      <c r="M19" s="54">
        <f t="shared" si="3"/>
        <v>7.3039028269634862E-2</v>
      </c>
    </row>
    <row r="20" spans="2:13" x14ac:dyDescent="0.25">
      <c r="I20" s="50">
        <f>I19+10</f>
        <v>180</v>
      </c>
      <c r="J20" s="51">
        <f t="shared" si="0"/>
        <v>1.0083983393948313</v>
      </c>
      <c r="K20" s="52">
        <f t="shared" si="1"/>
        <v>0.51935871606530426</v>
      </c>
      <c r="L20" s="53">
        <f t="shared" si="2"/>
        <v>2.7414483907525922E-2</v>
      </c>
      <c r="M20" s="54">
        <f t="shared" si="3"/>
        <v>7.3105290420069136E-2</v>
      </c>
    </row>
    <row r="21" spans="2:13" x14ac:dyDescent="0.25">
      <c r="I21" s="50">
        <f t="shared" ref="I21" si="7">I20+10</f>
        <v>190</v>
      </c>
      <c r="J21" s="51">
        <f t="shared" si="0"/>
        <v>1.0093663755203106</v>
      </c>
      <c r="K21" s="52">
        <f t="shared" si="1"/>
        <v>0.51985728689747701</v>
      </c>
      <c r="L21" s="53">
        <f t="shared" si="2"/>
        <v>2.7440801097615486E-2</v>
      </c>
      <c r="M21" s="54">
        <f t="shared" si="3"/>
        <v>7.3175469593641296E-2</v>
      </c>
    </row>
    <row r="22" spans="2:13" x14ac:dyDescent="0.25">
      <c r="I22" s="50">
        <f>I21+10</f>
        <v>200</v>
      </c>
      <c r="J22" s="51">
        <f t="shared" si="0"/>
        <v>1.0103887482392726</v>
      </c>
      <c r="K22" s="52">
        <f t="shared" si="1"/>
        <v>0.52038384288424999</v>
      </c>
      <c r="L22" s="53">
        <f t="shared" si="2"/>
        <v>2.746859549131539E-2</v>
      </c>
      <c r="M22" s="54">
        <f t="shared" si="3"/>
        <v>7.3249587976841044E-2</v>
      </c>
    </row>
    <row r="23" spans="2:13" x14ac:dyDescent="0.25">
      <c r="I23" s="50">
        <f t="shared" ref="I23:I25" si="8">I22+10</f>
        <v>210</v>
      </c>
      <c r="J23" s="51">
        <f t="shared" si="0"/>
        <v>1.0114657817122281</v>
      </c>
      <c r="K23" s="52">
        <f t="shared" si="1"/>
        <v>0.52093855097907815</v>
      </c>
      <c r="L23" s="53">
        <f t="shared" si="2"/>
        <v>2.7497875901306871E-2</v>
      </c>
      <c r="M23" s="54">
        <f t="shared" si="3"/>
        <v>7.332766907015166E-2</v>
      </c>
    </row>
    <row r="24" spans="2:13" x14ac:dyDescent="0.25">
      <c r="I24" s="50">
        <f t="shared" si="8"/>
        <v>220</v>
      </c>
      <c r="J24" s="51">
        <f t="shared" si="0"/>
        <v>1.0125978184843798</v>
      </c>
      <c r="K24" s="52">
        <f t="shared" si="1"/>
        <v>0.52152158760414469</v>
      </c>
      <c r="L24" s="53">
        <f t="shared" si="2"/>
        <v>2.7528651640080413E-2</v>
      </c>
      <c r="M24" s="54">
        <f t="shared" si="3"/>
        <v>7.3409737706881098E-2</v>
      </c>
    </row>
    <row r="25" spans="2:13" x14ac:dyDescent="0.25">
      <c r="I25" s="50">
        <f t="shared" si="8"/>
        <v>230</v>
      </c>
      <c r="J25" s="51">
        <f t="shared" si="0"/>
        <v>1.0137852197613033</v>
      </c>
      <c r="K25" s="52">
        <f t="shared" si="1"/>
        <v>0.52213313879234613</v>
      </c>
      <c r="L25" s="53">
        <f t="shared" si="2"/>
        <v>2.7560932527430478E-2</v>
      </c>
      <c r="M25" s="54">
        <f t="shared" si="3"/>
        <v>7.3495820073147949E-2</v>
      </c>
    </row>
    <row r="26" spans="2:13" x14ac:dyDescent="0.25">
      <c r="I26" s="50">
        <f>I25+10</f>
        <v>240</v>
      </c>
      <c r="J26" s="51">
        <f t="shared" si="0"/>
        <v>1.015028365700978</v>
      </c>
      <c r="K26" s="52">
        <f t="shared" si="1"/>
        <v>0.52277340033769804</v>
      </c>
      <c r="L26" s="53">
        <f t="shared" si="2"/>
        <v>2.7594728898394719E-2</v>
      </c>
      <c r="M26" s="54">
        <f t="shared" si="3"/>
        <v>7.3585943729052583E-2</v>
      </c>
    </row>
    <row r="27" spans="2:13" ht="15.75" thickBot="1" x14ac:dyDescent="0.3">
      <c r="I27" s="65">
        <f t="shared" ref="I27" si="9">I26+10</f>
        <v>250</v>
      </c>
      <c r="J27" s="66">
        <f t="shared" si="0"/>
        <v>1.016327655722618</v>
      </c>
      <c r="K27" s="67">
        <f t="shared" si="1"/>
        <v>0.52344257795439297</v>
      </c>
      <c r="L27" s="68">
        <f t="shared" si="2"/>
        <v>2.7630051611649907E-2</v>
      </c>
      <c r="M27" s="69">
        <f t="shared" si="3"/>
        <v>7.3680137631066414E-2</v>
      </c>
    </row>
    <row r="29" spans="2:13" ht="15.75" thickBot="1" x14ac:dyDescent="0.3"/>
    <row r="30" spans="2:13" x14ac:dyDescent="0.25">
      <c r="B30" s="159" t="s">
        <v>87</v>
      </c>
      <c r="C30" s="160"/>
      <c r="D30" s="160"/>
      <c r="E30" s="160"/>
      <c r="F30" s="161"/>
    </row>
    <row r="31" spans="2:13" x14ac:dyDescent="0.25">
      <c r="B31" s="59" t="s">
        <v>88</v>
      </c>
      <c r="C31" s="60" t="s">
        <v>89</v>
      </c>
      <c r="D31" s="60" t="s">
        <v>20</v>
      </c>
      <c r="E31" s="61" t="s">
        <v>90</v>
      </c>
      <c r="F31" s="62" t="s">
        <v>91</v>
      </c>
    </row>
    <row r="32" spans="2:13" ht="15.75" thickBot="1" x14ac:dyDescent="0.3">
      <c r="B32" s="63">
        <v>45</v>
      </c>
      <c r="C32" s="64">
        <v>45</v>
      </c>
      <c r="D32" s="64">
        <v>1.5</v>
      </c>
      <c r="E32" s="64">
        <v>1.9</v>
      </c>
      <c r="F32" s="75">
        <f>B32*C32*D32*E32*10^(-3)</f>
        <v>5.7712500000000002</v>
      </c>
    </row>
    <row r="33" spans="6:6" x14ac:dyDescent="0.25">
      <c r="F33" s="35">
        <f>F32+E13</f>
        <v>11.37125</v>
      </c>
    </row>
    <row r="50" spans="2:6" x14ac:dyDescent="0.25">
      <c r="B50" s="70"/>
      <c r="C50" s="71"/>
      <c r="D50" s="72"/>
      <c r="E50" s="73"/>
      <c r="F50" s="73"/>
    </row>
    <row r="51" spans="2:6" x14ac:dyDescent="0.25">
      <c r="B51" s="70"/>
      <c r="C51" s="71"/>
      <c r="D51" s="72"/>
      <c r="E51" s="73"/>
      <c r="F51" s="73"/>
    </row>
    <row r="52" spans="2:6" x14ac:dyDescent="0.25">
      <c r="B52" s="70"/>
      <c r="C52" s="71"/>
      <c r="D52" s="72"/>
      <c r="E52" s="73"/>
      <c r="F52" s="73"/>
    </row>
    <row r="53" spans="2:6" x14ac:dyDescent="0.25">
      <c r="B53" s="70"/>
      <c r="C53" s="71"/>
      <c r="D53" s="72"/>
      <c r="E53" s="73"/>
      <c r="F53" s="73"/>
    </row>
    <row r="54" spans="2:6" x14ac:dyDescent="0.25">
      <c r="B54" s="70"/>
      <c r="C54" s="71"/>
      <c r="D54" s="72"/>
      <c r="E54" s="73"/>
      <c r="F54" s="73"/>
    </row>
    <row r="55" spans="2:6" x14ac:dyDescent="0.25">
      <c r="B55" s="70"/>
      <c r="C55" s="71"/>
      <c r="D55" s="72"/>
      <c r="E55" s="73"/>
      <c r="F55" s="73"/>
    </row>
    <row r="56" spans="2:6" x14ac:dyDescent="0.25">
      <c r="B56" s="70"/>
      <c r="C56" s="71"/>
      <c r="D56" s="72"/>
      <c r="E56" s="73"/>
      <c r="F56" s="73"/>
    </row>
    <row r="57" spans="2:6" x14ac:dyDescent="0.25">
      <c r="B57" s="70"/>
      <c r="C57" s="71"/>
      <c r="D57" s="72"/>
      <c r="E57" s="73"/>
      <c r="F57" s="73"/>
    </row>
    <row r="58" spans="2:6" x14ac:dyDescent="0.25">
      <c r="B58" s="70"/>
      <c r="C58" s="71"/>
      <c r="D58" s="72"/>
      <c r="E58" s="73"/>
      <c r="F58" s="73"/>
    </row>
    <row r="59" spans="2:6" x14ac:dyDescent="0.25">
      <c r="B59" s="70"/>
      <c r="C59" s="71"/>
      <c r="D59" s="72"/>
      <c r="E59" s="73"/>
      <c r="F59" s="73"/>
    </row>
    <row r="60" spans="2:6" x14ac:dyDescent="0.25">
      <c r="B60" s="70"/>
      <c r="C60" s="71"/>
      <c r="D60" s="72"/>
      <c r="E60" s="73"/>
      <c r="F60" s="73"/>
    </row>
    <row r="61" spans="2:6" x14ac:dyDescent="0.25">
      <c r="B61" s="70"/>
      <c r="C61" s="71"/>
      <c r="D61" s="72"/>
      <c r="E61" s="73"/>
      <c r="F61" s="73"/>
    </row>
    <row r="62" spans="2:6" x14ac:dyDescent="0.25">
      <c r="B62" s="70"/>
      <c r="C62" s="71"/>
      <c r="D62" s="72"/>
      <c r="E62" s="73"/>
      <c r="F62" s="73"/>
    </row>
    <row r="63" spans="2:6" x14ac:dyDescent="0.25">
      <c r="B63" s="70"/>
      <c r="C63" s="71"/>
      <c r="D63" s="72"/>
      <c r="E63" s="73"/>
      <c r="F63" s="73"/>
    </row>
    <row r="64" spans="2:6" x14ac:dyDescent="0.25">
      <c r="B64" s="70"/>
      <c r="C64" s="71"/>
      <c r="D64" s="72"/>
      <c r="E64" s="73"/>
      <c r="F64" s="73"/>
    </row>
    <row r="65" spans="2:6" x14ac:dyDescent="0.25">
      <c r="B65" s="70"/>
      <c r="C65" s="71"/>
      <c r="D65" s="72"/>
      <c r="E65" s="73"/>
      <c r="F65" s="73"/>
    </row>
    <row r="66" spans="2:6" x14ac:dyDescent="0.25">
      <c r="B66" s="70"/>
      <c r="C66" s="71"/>
      <c r="D66" s="72"/>
      <c r="E66" s="73"/>
      <c r="F66" s="73"/>
    </row>
    <row r="67" spans="2:6" x14ac:dyDescent="0.25">
      <c r="B67" s="70"/>
      <c r="C67" s="71"/>
      <c r="D67" s="72"/>
      <c r="E67" s="73"/>
      <c r="F67" s="73"/>
    </row>
    <row r="68" spans="2:6" x14ac:dyDescent="0.25">
      <c r="B68" s="70"/>
      <c r="C68" s="71"/>
      <c r="D68" s="72"/>
      <c r="E68" s="73"/>
      <c r="F68" s="73"/>
    </row>
    <row r="69" spans="2:6" x14ac:dyDescent="0.25">
      <c r="B69" s="70"/>
      <c r="C69" s="71"/>
      <c r="D69" s="72"/>
      <c r="E69" s="73"/>
      <c r="F69" s="73"/>
    </row>
    <row r="70" spans="2:6" x14ac:dyDescent="0.25">
      <c r="B70" s="70"/>
      <c r="C70" s="71"/>
      <c r="D70" s="72"/>
      <c r="E70" s="73"/>
      <c r="F70" s="73"/>
    </row>
    <row r="71" spans="2:6" x14ac:dyDescent="0.25">
      <c r="B71" s="70"/>
      <c r="C71" s="71"/>
      <c r="D71" s="72"/>
      <c r="E71" s="73"/>
      <c r="F71" s="73"/>
    </row>
    <row r="72" spans="2:6" x14ac:dyDescent="0.25">
      <c r="B72" s="70"/>
      <c r="C72" s="71"/>
      <c r="D72" s="72"/>
      <c r="E72" s="73"/>
      <c r="F72" s="73"/>
    </row>
    <row r="73" spans="2:6" x14ac:dyDescent="0.25">
      <c r="B73" s="70"/>
      <c r="C73" s="71"/>
      <c r="D73" s="72"/>
      <c r="E73" s="73"/>
      <c r="F73" s="73"/>
    </row>
    <row r="74" spans="2:6" x14ac:dyDescent="0.25">
      <c r="B74" s="70"/>
      <c r="C74" s="71"/>
      <c r="D74" s="72"/>
      <c r="E74" s="73"/>
      <c r="F74" s="73"/>
    </row>
    <row r="75" spans="2:6" x14ac:dyDescent="0.25">
      <c r="B75" s="70"/>
      <c r="C75" s="71"/>
      <c r="D75" s="72"/>
      <c r="E75" s="73"/>
      <c r="F75" s="73"/>
    </row>
    <row r="76" spans="2:6" x14ac:dyDescent="0.25">
      <c r="B76" s="70"/>
      <c r="C76" s="71"/>
      <c r="D76" s="72"/>
      <c r="E76" s="73"/>
      <c r="F76" s="73"/>
    </row>
    <row r="77" spans="2:6" x14ac:dyDescent="0.25">
      <c r="B77" s="70"/>
      <c r="C77" s="71"/>
      <c r="D77" s="72"/>
      <c r="E77" s="73"/>
      <c r="F77" s="73"/>
    </row>
    <row r="78" spans="2:6" x14ac:dyDescent="0.25">
      <c r="B78" s="70"/>
      <c r="C78" s="71"/>
      <c r="D78" s="72"/>
      <c r="E78" s="73"/>
      <c r="F78" s="73"/>
    </row>
    <row r="79" spans="2:6" x14ac:dyDescent="0.25">
      <c r="B79" s="70"/>
      <c r="C79" s="71"/>
      <c r="D79" s="72"/>
      <c r="E79" s="73"/>
      <c r="F79" s="73"/>
    </row>
    <row r="80" spans="2:6" x14ac:dyDescent="0.25">
      <c r="B80" s="70"/>
      <c r="C80" s="71"/>
      <c r="D80" s="72"/>
    </row>
    <row r="81" spans="2:4" x14ac:dyDescent="0.25">
      <c r="B81" s="70"/>
      <c r="C81" s="71"/>
      <c r="D81" s="72"/>
    </row>
    <row r="82" spans="2:4" x14ac:dyDescent="0.25">
      <c r="B82" s="70"/>
      <c r="C82" s="71"/>
      <c r="D82" s="72"/>
    </row>
    <row r="83" spans="2:4" x14ac:dyDescent="0.25">
      <c r="B83" s="70"/>
      <c r="C83" s="71"/>
      <c r="D83" s="72"/>
    </row>
    <row r="84" spans="2:4" x14ac:dyDescent="0.25">
      <c r="B84" s="70"/>
      <c r="C84" s="71"/>
      <c r="D84" s="72"/>
    </row>
    <row r="85" spans="2:4" x14ac:dyDescent="0.25">
      <c r="B85" s="70"/>
      <c r="C85" s="71"/>
      <c r="D85" s="72"/>
    </row>
    <row r="86" spans="2:4" x14ac:dyDescent="0.25">
      <c r="B86" s="70"/>
      <c r="C86" s="71"/>
      <c r="D86" s="72"/>
    </row>
    <row r="87" spans="2:4" x14ac:dyDescent="0.25">
      <c r="B87" s="70"/>
      <c r="C87" s="71"/>
      <c r="D87" s="72"/>
    </row>
    <row r="88" spans="2:4" x14ac:dyDescent="0.25">
      <c r="B88" s="70"/>
      <c r="C88" s="71"/>
      <c r="D88" s="72"/>
    </row>
    <row r="89" spans="2:4" x14ac:dyDescent="0.25">
      <c r="B89" s="70"/>
      <c r="C89" s="71"/>
      <c r="D89" s="72"/>
    </row>
    <row r="90" spans="2:4" x14ac:dyDescent="0.25">
      <c r="B90" s="70"/>
      <c r="C90" s="71"/>
      <c r="D90" s="72"/>
    </row>
    <row r="91" spans="2:4" x14ac:dyDescent="0.25">
      <c r="B91" s="70"/>
      <c r="C91" s="71"/>
      <c r="D91" s="72"/>
    </row>
    <row r="92" spans="2:4" x14ac:dyDescent="0.25">
      <c r="B92" s="70"/>
      <c r="C92" s="71"/>
      <c r="D92" s="72"/>
    </row>
    <row r="93" spans="2:4" x14ac:dyDescent="0.25">
      <c r="B93" s="70"/>
      <c r="C93" s="71"/>
      <c r="D93" s="72"/>
    </row>
    <row r="94" spans="2:4" x14ac:dyDescent="0.25">
      <c r="B94" s="70"/>
      <c r="C94" s="71"/>
      <c r="D94" s="72"/>
    </row>
    <row r="95" spans="2:4" x14ac:dyDescent="0.25">
      <c r="B95" s="70"/>
      <c r="C95" s="71"/>
      <c r="D95" s="72"/>
    </row>
    <row r="96" spans="2:4" x14ac:dyDescent="0.25">
      <c r="B96" s="70"/>
      <c r="C96" s="71"/>
      <c r="D96" s="72"/>
    </row>
    <row r="97" spans="2:5" x14ac:dyDescent="0.25">
      <c r="B97" s="70"/>
      <c r="C97" s="71"/>
      <c r="D97" s="72"/>
    </row>
    <row r="98" spans="2:5" x14ac:dyDescent="0.25">
      <c r="B98" s="70"/>
      <c r="C98" s="71"/>
      <c r="D98" s="72"/>
    </row>
    <row r="99" spans="2:5" x14ac:dyDescent="0.25">
      <c r="B99" s="70"/>
      <c r="C99" s="71"/>
      <c r="D99" s="72"/>
    </row>
    <row r="100" spans="2:5" x14ac:dyDescent="0.25">
      <c r="B100" s="70"/>
      <c r="C100" s="71"/>
      <c r="D100" s="72"/>
    </row>
    <row r="101" spans="2:5" x14ac:dyDescent="0.25">
      <c r="B101" s="70"/>
      <c r="C101" s="71"/>
      <c r="D101" s="72"/>
    </row>
    <row r="102" spans="2:5" x14ac:dyDescent="0.25">
      <c r="B102" s="70"/>
      <c r="C102" s="71"/>
      <c r="D102" s="72"/>
    </row>
    <row r="103" spans="2:5" x14ac:dyDescent="0.25">
      <c r="B103" s="70"/>
      <c r="C103" s="71"/>
      <c r="D103" s="72"/>
    </row>
    <row r="104" spans="2:5" x14ac:dyDescent="0.25">
      <c r="B104" s="70"/>
      <c r="C104" s="71"/>
      <c r="D104" s="72"/>
    </row>
    <row r="105" spans="2:5" x14ac:dyDescent="0.25">
      <c r="B105" s="70"/>
      <c r="C105" s="71"/>
      <c r="D105" s="72"/>
    </row>
    <row r="106" spans="2:5" x14ac:dyDescent="0.25">
      <c r="B106" s="70"/>
      <c r="C106" s="71"/>
      <c r="D106" s="72"/>
    </row>
    <row r="107" spans="2:5" x14ac:dyDescent="0.25">
      <c r="B107" s="70"/>
      <c r="C107" s="71"/>
      <c r="D107" s="72"/>
    </row>
    <row r="108" spans="2:5" x14ac:dyDescent="0.25">
      <c r="B108" s="70"/>
      <c r="C108" s="71"/>
      <c r="D108" s="72"/>
    </row>
    <row r="109" spans="2:5" x14ac:dyDescent="0.25">
      <c r="B109" s="70"/>
      <c r="C109" s="71"/>
      <c r="D109" s="72"/>
    </row>
    <row r="110" spans="2:5" x14ac:dyDescent="0.25">
      <c r="B110" s="74"/>
      <c r="C110" s="74"/>
      <c r="D110" s="74"/>
      <c r="E110" s="36"/>
    </row>
    <row r="111" spans="2:5" x14ac:dyDescent="0.25">
      <c r="B111" s="74"/>
      <c r="C111" s="74"/>
      <c r="D111" s="74"/>
      <c r="E111" s="36"/>
    </row>
    <row r="112" spans="2:5" x14ac:dyDescent="0.25">
      <c r="B112" s="74"/>
      <c r="C112" s="74"/>
      <c r="D112" s="74"/>
      <c r="E112" s="36"/>
    </row>
    <row r="113" spans="2:5" x14ac:dyDescent="0.25">
      <c r="B113" s="74"/>
      <c r="C113" s="74"/>
      <c r="D113" s="74"/>
      <c r="E113" s="36"/>
    </row>
    <row r="114" spans="2:5" x14ac:dyDescent="0.25">
      <c r="B114" s="74"/>
      <c r="C114" s="74"/>
      <c r="D114" s="74"/>
      <c r="E114" s="36"/>
    </row>
    <row r="115" spans="2:5" x14ac:dyDescent="0.25">
      <c r="B115" s="74"/>
      <c r="C115" s="74"/>
      <c r="D115" s="74"/>
      <c r="E115" s="36"/>
    </row>
    <row r="116" spans="2:5" x14ac:dyDescent="0.25">
      <c r="B116" s="74"/>
      <c r="C116" s="74"/>
      <c r="D116" s="74"/>
      <c r="E116" s="36"/>
    </row>
    <row r="117" spans="2:5" x14ac:dyDescent="0.25">
      <c r="B117" s="74"/>
      <c r="C117" s="74"/>
      <c r="D117" s="74"/>
      <c r="E117" s="36"/>
    </row>
    <row r="118" spans="2:5" x14ac:dyDescent="0.25">
      <c r="B118" s="74"/>
      <c r="C118" s="74"/>
      <c r="D118" s="74"/>
      <c r="E118" s="36"/>
    </row>
    <row r="119" spans="2:5" x14ac:dyDescent="0.25">
      <c r="B119" s="74"/>
      <c r="C119" s="74"/>
      <c r="D119" s="74"/>
      <c r="E119" s="36"/>
    </row>
    <row r="120" spans="2:5" x14ac:dyDescent="0.25">
      <c r="B120" s="74"/>
      <c r="C120" s="74"/>
      <c r="D120" s="74"/>
      <c r="E120" s="36"/>
    </row>
    <row r="121" spans="2:5" x14ac:dyDescent="0.25">
      <c r="B121" s="74"/>
      <c r="C121" s="74"/>
      <c r="D121" s="74"/>
      <c r="E121" s="36"/>
    </row>
    <row r="122" spans="2:5" x14ac:dyDescent="0.25">
      <c r="B122" s="74"/>
      <c r="C122" s="74"/>
      <c r="D122" s="74"/>
      <c r="E122" s="36"/>
    </row>
    <row r="123" spans="2:5" x14ac:dyDescent="0.25">
      <c r="B123" s="74"/>
      <c r="C123" s="74"/>
      <c r="D123" s="74"/>
      <c r="E123" s="36"/>
    </row>
    <row r="124" spans="2:5" x14ac:dyDescent="0.25">
      <c r="B124" s="74"/>
      <c r="C124" s="74"/>
      <c r="D124" s="74"/>
      <c r="E124" s="36"/>
    </row>
    <row r="125" spans="2:5" x14ac:dyDescent="0.25">
      <c r="B125" s="74"/>
      <c r="C125" s="74"/>
      <c r="D125" s="74"/>
      <c r="E125" s="36"/>
    </row>
    <row r="126" spans="2:5" x14ac:dyDescent="0.25">
      <c r="B126" s="74"/>
      <c r="C126" s="74"/>
      <c r="D126" s="74"/>
      <c r="E126" s="36"/>
    </row>
    <row r="127" spans="2:5" x14ac:dyDescent="0.25">
      <c r="B127" s="74"/>
      <c r="C127" s="74"/>
      <c r="D127" s="74"/>
      <c r="E127" s="36"/>
    </row>
    <row r="128" spans="2:5" x14ac:dyDescent="0.25">
      <c r="B128" s="74"/>
      <c r="C128" s="74"/>
      <c r="D128" s="74"/>
      <c r="E128" s="36"/>
    </row>
    <row r="129" spans="2:5" x14ac:dyDescent="0.25">
      <c r="B129" s="74"/>
      <c r="C129" s="74"/>
      <c r="D129" s="74"/>
      <c r="E129" s="36"/>
    </row>
    <row r="130" spans="2:5" x14ac:dyDescent="0.25">
      <c r="B130" s="74"/>
      <c r="C130" s="74"/>
      <c r="D130" s="74"/>
      <c r="E130" s="36"/>
    </row>
    <row r="131" spans="2:5" x14ac:dyDescent="0.25">
      <c r="B131" s="74"/>
      <c r="C131" s="74"/>
      <c r="D131" s="74"/>
      <c r="E131" s="36"/>
    </row>
    <row r="132" spans="2:5" x14ac:dyDescent="0.25">
      <c r="B132" s="74"/>
      <c r="C132" s="74"/>
      <c r="D132" s="74"/>
      <c r="E132" s="36"/>
    </row>
    <row r="133" spans="2:5" x14ac:dyDescent="0.25">
      <c r="B133" s="74"/>
      <c r="C133" s="74"/>
      <c r="D133" s="74"/>
      <c r="E133" s="36"/>
    </row>
    <row r="134" spans="2:5" x14ac:dyDescent="0.25">
      <c r="B134" s="74"/>
      <c r="C134" s="74"/>
      <c r="D134" s="74"/>
      <c r="E134" s="36"/>
    </row>
    <row r="135" spans="2:5" x14ac:dyDescent="0.25">
      <c r="B135" s="74"/>
      <c r="C135" s="74"/>
      <c r="D135" s="74"/>
      <c r="E135" s="36"/>
    </row>
    <row r="136" spans="2:5" x14ac:dyDescent="0.25">
      <c r="B136" s="74"/>
      <c r="C136" s="74"/>
      <c r="D136" s="74"/>
      <c r="E136" s="36"/>
    </row>
    <row r="137" spans="2:5" x14ac:dyDescent="0.25">
      <c r="B137" s="74"/>
      <c r="C137" s="74"/>
      <c r="D137" s="74"/>
      <c r="E137" s="36"/>
    </row>
    <row r="138" spans="2:5" x14ac:dyDescent="0.25">
      <c r="B138" s="74"/>
      <c r="C138" s="74"/>
      <c r="D138" s="74"/>
      <c r="E138" s="36"/>
    </row>
    <row r="139" spans="2:5" x14ac:dyDescent="0.25">
      <c r="B139" s="74"/>
      <c r="C139" s="74"/>
      <c r="D139" s="74"/>
      <c r="E139" s="36"/>
    </row>
    <row r="140" spans="2:5" x14ac:dyDescent="0.25">
      <c r="B140" s="74"/>
      <c r="C140" s="74"/>
      <c r="D140" s="74"/>
      <c r="E140" s="36"/>
    </row>
    <row r="141" spans="2:5" x14ac:dyDescent="0.25">
      <c r="B141" s="74"/>
      <c r="C141" s="74"/>
      <c r="D141" s="74"/>
      <c r="E141" s="36"/>
    </row>
    <row r="142" spans="2:5" x14ac:dyDescent="0.25">
      <c r="B142" s="74"/>
      <c r="C142" s="74"/>
      <c r="D142" s="74"/>
      <c r="E142" s="36"/>
    </row>
    <row r="143" spans="2:5" x14ac:dyDescent="0.25">
      <c r="B143" s="74"/>
      <c r="C143" s="74"/>
      <c r="D143" s="74"/>
      <c r="E143" s="36"/>
    </row>
    <row r="144" spans="2:5" x14ac:dyDescent="0.25">
      <c r="B144" s="74"/>
      <c r="C144" s="74"/>
      <c r="D144" s="74"/>
      <c r="E144" s="36"/>
    </row>
    <row r="145" spans="2:5" x14ac:dyDescent="0.25">
      <c r="B145" s="74"/>
      <c r="C145" s="74"/>
      <c r="D145" s="74"/>
      <c r="E145" s="36"/>
    </row>
    <row r="146" spans="2:5" x14ac:dyDescent="0.25">
      <c r="B146" s="74"/>
      <c r="C146" s="74"/>
      <c r="D146" s="74"/>
      <c r="E146" s="36"/>
    </row>
    <row r="147" spans="2:5" x14ac:dyDescent="0.25">
      <c r="B147" s="74"/>
      <c r="C147" s="74"/>
      <c r="D147" s="74"/>
      <c r="E147" s="36"/>
    </row>
    <row r="148" spans="2:5" x14ac:dyDescent="0.25">
      <c r="B148" s="74"/>
      <c r="C148" s="74"/>
      <c r="D148" s="74"/>
      <c r="E148" s="36"/>
    </row>
    <row r="149" spans="2:5" x14ac:dyDescent="0.25">
      <c r="B149" s="74"/>
      <c r="C149" s="74"/>
      <c r="D149" s="74"/>
      <c r="E149" s="36"/>
    </row>
    <row r="150" spans="2:5" x14ac:dyDescent="0.25">
      <c r="B150" s="74"/>
      <c r="C150" s="74"/>
      <c r="D150" s="74"/>
      <c r="E150" s="36"/>
    </row>
    <row r="151" spans="2:5" x14ac:dyDescent="0.25">
      <c r="B151" s="74"/>
      <c r="C151" s="74"/>
      <c r="D151" s="74"/>
      <c r="E151" s="36"/>
    </row>
    <row r="152" spans="2:5" x14ac:dyDescent="0.25">
      <c r="B152" s="74"/>
      <c r="C152" s="74"/>
      <c r="D152" s="74"/>
      <c r="E152" s="36"/>
    </row>
    <row r="153" spans="2:5" x14ac:dyDescent="0.25">
      <c r="B153" s="74"/>
      <c r="C153" s="74"/>
      <c r="D153" s="74"/>
      <c r="E153" s="36"/>
    </row>
    <row r="154" spans="2:5" x14ac:dyDescent="0.25">
      <c r="B154" s="74"/>
      <c r="C154" s="74"/>
      <c r="D154" s="74"/>
      <c r="E154" s="36"/>
    </row>
    <row r="155" spans="2:5" x14ac:dyDescent="0.25">
      <c r="B155" s="74"/>
      <c r="C155" s="74"/>
      <c r="D155" s="74"/>
      <c r="E155" s="36"/>
    </row>
    <row r="156" spans="2:5" x14ac:dyDescent="0.25">
      <c r="B156" s="74"/>
      <c r="C156" s="74"/>
      <c r="D156" s="74"/>
      <c r="E156" s="36"/>
    </row>
    <row r="157" spans="2:5" x14ac:dyDescent="0.25">
      <c r="B157" s="74"/>
      <c r="C157" s="74"/>
      <c r="D157" s="74"/>
      <c r="E157" s="36"/>
    </row>
    <row r="158" spans="2:5" x14ac:dyDescent="0.25">
      <c r="B158" s="74"/>
      <c r="C158" s="74"/>
      <c r="D158" s="74"/>
      <c r="E158" s="36"/>
    </row>
    <row r="159" spans="2:5" x14ac:dyDescent="0.25">
      <c r="B159" s="74"/>
      <c r="C159" s="74"/>
      <c r="D159" s="74"/>
      <c r="E159" s="36"/>
    </row>
  </sheetData>
  <mergeCells count="2">
    <mergeCell ref="B30:F30"/>
    <mergeCell ref="B13:D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9"/>
  <sheetViews>
    <sheetView tabSelected="1" topLeftCell="A3" zoomScale="80" zoomScaleNormal="80" workbookViewId="0">
      <selection activeCell="D33" sqref="D33"/>
    </sheetView>
  </sheetViews>
  <sheetFormatPr defaultRowHeight="15" x14ac:dyDescent="0.25"/>
  <cols>
    <col min="1" max="1" width="9.140625" customWidth="1"/>
    <col min="2" max="2" width="35.7109375" customWidth="1"/>
    <col min="3" max="3" width="22.5703125" customWidth="1"/>
    <col min="4" max="4" width="12.7109375" customWidth="1"/>
    <col min="5" max="5" width="16.7109375" customWidth="1"/>
    <col min="6" max="6" width="32.140625" customWidth="1"/>
    <col min="7" max="7" width="16.7109375" customWidth="1"/>
    <col min="8" max="12" width="14.28515625" customWidth="1"/>
    <col min="13" max="13" width="10.42578125" customWidth="1"/>
  </cols>
  <sheetData>
    <row r="1" spans="2:13" ht="15.75" thickBot="1" x14ac:dyDescent="0.3">
      <c r="F1" s="36"/>
    </row>
    <row r="2" spans="2:13" ht="15.75" thickBot="1" x14ac:dyDescent="0.3">
      <c r="B2" s="100" t="s">
        <v>66</v>
      </c>
      <c r="C2" s="100" t="s">
        <v>67</v>
      </c>
      <c r="D2" s="101" t="s">
        <v>92</v>
      </c>
      <c r="E2" s="102" t="s">
        <v>93</v>
      </c>
      <c r="F2" s="76" t="s">
        <v>68</v>
      </c>
      <c r="G2" s="37">
        <v>8</v>
      </c>
      <c r="I2" s="38" t="s">
        <v>69</v>
      </c>
      <c r="J2" s="39" t="s">
        <v>70</v>
      </c>
      <c r="K2" s="40" t="s">
        <v>71</v>
      </c>
      <c r="L2" s="41" t="s">
        <v>72</v>
      </c>
      <c r="M2" s="42" t="s">
        <v>73</v>
      </c>
    </row>
    <row r="3" spans="2:13" x14ac:dyDescent="0.25">
      <c r="B3" s="103" t="s">
        <v>94</v>
      </c>
      <c r="C3" s="103">
        <v>0.04</v>
      </c>
      <c r="D3" s="106">
        <v>22</v>
      </c>
      <c r="E3" s="103">
        <f>C3*D3</f>
        <v>0.88</v>
      </c>
      <c r="F3" s="97" t="s">
        <v>74</v>
      </c>
      <c r="G3" s="43">
        <v>105</v>
      </c>
      <c r="I3" s="44">
        <v>20</v>
      </c>
      <c r="J3" s="45">
        <f t="shared" ref="J3:J27" si="0">1/SQRT(POWER(1-POWER(I3/$G$11,2),2) + POWER((I3*$G$6)/$G$11,2))</f>
        <v>1.0061829911391984</v>
      </c>
      <c r="K3" s="46">
        <f t="shared" ref="K3:K27" si="1">J3*$G$12</f>
        <v>30.971048586783212</v>
      </c>
      <c r="L3" s="47">
        <f t="shared" ref="L3:L27" si="2">($G$14/$G$13)*((K3*$G$10/1000000)/POWER($C$32/1000,2))</f>
        <v>9.6966137322249499E-2</v>
      </c>
      <c r="M3" s="48">
        <f t="shared" ref="M3:M27" si="3">(6*L3)/(POWER($D$32,2))</f>
        <v>0.25857636619266533</v>
      </c>
    </row>
    <row r="4" spans="2:13" x14ac:dyDescent="0.25">
      <c r="B4" s="95" t="s">
        <v>104</v>
      </c>
      <c r="C4" s="95">
        <v>0.2</v>
      </c>
      <c r="D4" s="107">
        <v>1</v>
      </c>
      <c r="E4" s="95">
        <f t="shared" ref="E4:E18" si="4">C4*D4</f>
        <v>0.2</v>
      </c>
      <c r="F4" s="97" t="s">
        <v>75</v>
      </c>
      <c r="G4" s="49">
        <v>30.2</v>
      </c>
      <c r="I4" s="50">
        <v>40</v>
      </c>
      <c r="J4" s="51">
        <f t="shared" si="0"/>
        <v>1.0251985006115425</v>
      </c>
      <c r="K4" s="52">
        <f t="shared" si="1"/>
        <v>31.5563598800139</v>
      </c>
      <c r="L4" s="53">
        <f t="shared" si="2"/>
        <v>9.8798667308331131E-2</v>
      </c>
      <c r="M4" s="54">
        <f t="shared" si="3"/>
        <v>0.26346311282221635</v>
      </c>
    </row>
    <row r="5" spans="2:13" x14ac:dyDescent="0.25">
      <c r="B5" s="95" t="s">
        <v>105</v>
      </c>
      <c r="C5" s="95">
        <v>2</v>
      </c>
      <c r="D5" s="107">
        <v>6</v>
      </c>
      <c r="E5" s="95">
        <f t="shared" si="4"/>
        <v>12</v>
      </c>
      <c r="F5" s="97" t="s">
        <v>76</v>
      </c>
      <c r="G5" s="29">
        <v>0.22</v>
      </c>
      <c r="I5" s="50">
        <v>60</v>
      </c>
      <c r="J5" s="51">
        <f t="shared" si="0"/>
        <v>1.0585368143754394</v>
      </c>
      <c r="K5" s="52">
        <f t="shared" si="1"/>
        <v>32.582537567845868</v>
      </c>
      <c r="L5" s="53">
        <f t="shared" si="2"/>
        <v>0.1020114899648364</v>
      </c>
      <c r="M5" s="54">
        <f t="shared" si="3"/>
        <v>0.27203063990623044</v>
      </c>
    </row>
    <row r="6" spans="2:13" x14ac:dyDescent="0.25">
      <c r="B6" s="95" t="s">
        <v>106</v>
      </c>
      <c r="C6" s="95">
        <v>0.05</v>
      </c>
      <c r="D6" s="107">
        <v>1</v>
      </c>
      <c r="E6" s="95">
        <f t="shared" si="4"/>
        <v>0.05</v>
      </c>
      <c r="F6" s="97" t="s">
        <v>77</v>
      </c>
      <c r="G6" s="29">
        <v>0.06</v>
      </c>
      <c r="I6" s="50">
        <v>80</v>
      </c>
      <c r="J6" s="51">
        <f t="shared" si="0"/>
        <v>1.1090183860431422</v>
      </c>
      <c r="K6" s="52">
        <f t="shared" si="1"/>
        <v>34.136397275897032</v>
      </c>
      <c r="L6" s="53">
        <f t="shared" si="2"/>
        <v>0.10687641319816531</v>
      </c>
      <c r="M6" s="54">
        <f t="shared" si="3"/>
        <v>0.28500376852844078</v>
      </c>
    </row>
    <row r="7" spans="2:13" x14ac:dyDescent="0.25">
      <c r="B7" s="95" t="s">
        <v>107</v>
      </c>
      <c r="C7" s="95">
        <v>0.7</v>
      </c>
      <c r="D7" s="107">
        <v>1</v>
      </c>
      <c r="E7" s="95">
        <f t="shared" si="4"/>
        <v>0.7</v>
      </c>
      <c r="F7" s="97" t="s">
        <v>78</v>
      </c>
      <c r="G7" s="43">
        <v>2</v>
      </c>
      <c r="I7" s="50">
        <v>100</v>
      </c>
      <c r="J7" s="51">
        <f t="shared" si="0"/>
        <v>1.1814414042606767</v>
      </c>
      <c r="K7" s="52">
        <f t="shared" si="1"/>
        <v>36.365630761028008</v>
      </c>
      <c r="L7" s="53">
        <f t="shared" si="2"/>
        <v>0.11385583979513279</v>
      </c>
      <c r="M7" s="54">
        <f t="shared" si="3"/>
        <v>0.30361557278702078</v>
      </c>
    </row>
    <row r="8" spans="2:13" x14ac:dyDescent="0.25">
      <c r="B8" s="95" t="s">
        <v>108</v>
      </c>
      <c r="C8" s="95">
        <v>0.61</v>
      </c>
      <c r="D8" s="107">
        <v>1</v>
      </c>
      <c r="E8" s="95">
        <f t="shared" si="4"/>
        <v>0.61</v>
      </c>
      <c r="F8" s="98" t="s">
        <v>79</v>
      </c>
      <c r="G8" s="55">
        <f>1/SQRT(1+$E$19/$F$32)</f>
        <v>0.81983604918360575</v>
      </c>
      <c r="I8" s="50">
        <v>120</v>
      </c>
      <c r="J8" s="51">
        <f t="shared" si="0"/>
        <v>1.2838765877525062</v>
      </c>
      <c r="K8" s="52">
        <f t="shared" si="1"/>
        <v>39.518660650083852</v>
      </c>
      <c r="L8" s="53">
        <f t="shared" si="2"/>
        <v>0.12372754718491158</v>
      </c>
      <c r="M8" s="54">
        <f t="shared" si="3"/>
        <v>0.3299401258264309</v>
      </c>
    </row>
    <row r="9" spans="2:13" x14ac:dyDescent="0.25">
      <c r="B9" s="95" t="s">
        <v>109</v>
      </c>
      <c r="C9" s="95">
        <v>0.03</v>
      </c>
      <c r="D9" s="107">
        <v>1</v>
      </c>
      <c r="E9" s="95">
        <f t="shared" si="4"/>
        <v>0.03</v>
      </c>
      <c r="F9" s="97" t="s">
        <v>80</v>
      </c>
      <c r="G9" s="29">
        <f>22.37*SQRT(1+0.48*B32^2/C32^2+0.19*B32^4/C32^4)</f>
        <v>25.79947905686215</v>
      </c>
      <c r="I9" s="50">
        <v>140</v>
      </c>
      <c r="J9" s="51">
        <f t="shared" si="0"/>
        <v>1.430357523258357</v>
      </c>
      <c r="K9" s="52">
        <f t="shared" si="1"/>
        <v>44.027451009830202</v>
      </c>
      <c r="L9" s="53">
        <f t="shared" si="2"/>
        <v>0.13784395606126371</v>
      </c>
      <c r="M9" s="54">
        <f t="shared" si="3"/>
        <v>0.36758388283003657</v>
      </c>
    </row>
    <row r="10" spans="2:13" x14ac:dyDescent="0.25">
      <c r="B10" s="95" t="s">
        <v>110</v>
      </c>
      <c r="C10" s="95">
        <v>5</v>
      </c>
      <c r="D10" s="107">
        <v>1</v>
      </c>
      <c r="E10" s="95">
        <f t="shared" si="4"/>
        <v>5</v>
      </c>
      <c r="F10" s="97" t="s">
        <v>81</v>
      </c>
      <c r="G10" s="55">
        <f>($G$4*POWER(10,9)*POWER($D$32/1000,3))/(12*(1-POWER($G$5,2)))</f>
        <v>8.9257566204287517</v>
      </c>
      <c r="I10" s="50">
        <v>160</v>
      </c>
      <c r="J10" s="51">
        <f t="shared" si="0"/>
        <v>1.6469695360424905</v>
      </c>
      <c r="K10" s="52">
        <f t="shared" si="1"/>
        <v>50.694927235822384</v>
      </c>
      <c r="L10" s="53">
        <f t="shared" si="2"/>
        <v>0.15871891654285011</v>
      </c>
      <c r="M10" s="54">
        <f t="shared" si="3"/>
        <v>0.42325044411426699</v>
      </c>
    </row>
    <row r="11" spans="2:13" x14ac:dyDescent="0.25">
      <c r="B11" s="95" t="s">
        <v>111</v>
      </c>
      <c r="C11" s="95">
        <v>0.1</v>
      </c>
      <c r="D11" s="107">
        <v>2</v>
      </c>
      <c r="E11" s="95">
        <f t="shared" si="4"/>
        <v>0.2</v>
      </c>
      <c r="F11" s="97" t="s">
        <v>82</v>
      </c>
      <c r="G11" s="56">
        <f>(($G$8*$G$9)/(2*3.1415926*POWER($B$32/1000,2)))*SQRT(($G$10*$B$32*$C$32)/(1000*$F$32))</f>
        <v>254.90334164347641</v>
      </c>
      <c r="I11" s="50">
        <v>180</v>
      </c>
      <c r="J11" s="51">
        <f t="shared" si="0"/>
        <v>1.9875213322082614</v>
      </c>
      <c r="K11" s="52">
        <f t="shared" si="1"/>
        <v>61.177360668159388</v>
      </c>
      <c r="L11" s="53">
        <f t="shared" si="2"/>
        <v>0.19153798874259123</v>
      </c>
      <c r="M11" s="54">
        <f t="shared" si="3"/>
        <v>0.51076796998024332</v>
      </c>
    </row>
    <row r="12" spans="2:13" x14ac:dyDescent="0.25">
      <c r="B12" s="95" t="s">
        <v>101</v>
      </c>
      <c r="C12" s="95">
        <v>0.03</v>
      </c>
      <c r="D12" s="107">
        <v>43</v>
      </c>
      <c r="E12" s="95">
        <f t="shared" si="4"/>
        <v>1.29</v>
      </c>
      <c r="F12" s="97" t="s">
        <v>83</v>
      </c>
      <c r="G12" s="54">
        <f>($G$2*1000000)/(POWER($G$11,2)*4)</f>
        <v>30.780731596066687</v>
      </c>
      <c r="I12" s="50">
        <v>200</v>
      </c>
      <c r="J12" s="51">
        <f t="shared" si="0"/>
        <v>2.5822615653957857</v>
      </c>
      <c r="K12" s="52">
        <f t="shared" si="1"/>
        <v>79.483900155286676</v>
      </c>
      <c r="L12" s="53">
        <f t="shared" si="2"/>
        <v>0.24885327197654328</v>
      </c>
      <c r="M12" s="54">
        <f t="shared" si="3"/>
        <v>0.66360872527078207</v>
      </c>
    </row>
    <row r="13" spans="2:13" x14ac:dyDescent="0.25">
      <c r="B13" s="95" t="s">
        <v>102</v>
      </c>
      <c r="C13" s="95">
        <v>0.05</v>
      </c>
      <c r="D13" s="107">
        <v>220</v>
      </c>
      <c r="E13" s="95">
        <f t="shared" si="4"/>
        <v>11</v>
      </c>
      <c r="F13" s="97" t="s">
        <v>84</v>
      </c>
      <c r="G13" s="57">
        <f>0.00406+0.018*LOG($B$32/$C$32,10)</f>
        <v>1.8111027410506017E-3</v>
      </c>
      <c r="I13" s="50">
        <v>220</v>
      </c>
      <c r="J13" s="51">
        <f t="shared" si="0"/>
        <v>3.8415864578567045</v>
      </c>
      <c r="K13" s="52">
        <f t="shared" si="1"/>
        <v>118.24684166237176</v>
      </c>
      <c r="L13" s="53">
        <f t="shared" si="2"/>
        <v>0.370214765393797</v>
      </c>
      <c r="M13" s="54">
        <f t="shared" si="3"/>
        <v>0.98723937438345866</v>
      </c>
    </row>
    <row r="14" spans="2:13" ht="15.75" thickBot="1" x14ac:dyDescent="0.3">
      <c r="B14" s="95" t="s">
        <v>112</v>
      </c>
      <c r="C14" s="95">
        <v>0.8</v>
      </c>
      <c r="D14" s="107">
        <v>5</v>
      </c>
      <c r="E14" s="95">
        <f t="shared" si="4"/>
        <v>4</v>
      </c>
      <c r="F14" s="99" t="s">
        <v>85</v>
      </c>
      <c r="G14" s="58">
        <f>0.0479+0.18*LOG($B$32/$C$32,10)</f>
        <v>2.541102741050601E-2</v>
      </c>
      <c r="I14" s="50">
        <v>240</v>
      </c>
      <c r="J14" s="51">
        <f t="shared" si="0"/>
        <v>7.886742994997987</v>
      </c>
      <c r="K14" s="52">
        <f t="shared" si="1"/>
        <v>242.75971929619215</v>
      </c>
      <c r="L14" s="53">
        <f t="shared" si="2"/>
        <v>0.76004763647656104</v>
      </c>
      <c r="M14" s="54">
        <f t="shared" si="3"/>
        <v>2.0267936972708296</v>
      </c>
    </row>
    <row r="15" spans="2:13" x14ac:dyDescent="0.25">
      <c r="B15" s="95" t="s">
        <v>113</v>
      </c>
      <c r="C15" s="95">
        <v>0.02</v>
      </c>
      <c r="D15" s="107">
        <v>10</v>
      </c>
      <c r="E15" s="95">
        <f t="shared" si="4"/>
        <v>0.2</v>
      </c>
      <c r="I15" s="50">
        <v>260</v>
      </c>
      <c r="J15" s="51">
        <f t="shared" si="0"/>
        <v>13.63779527255131</v>
      </c>
      <c r="K15" s="52">
        <f t="shared" si="1"/>
        <v>419.78131584650902</v>
      </c>
      <c r="L15" s="53">
        <f t="shared" si="2"/>
        <v>1.3142781589596462</v>
      </c>
      <c r="M15" s="54">
        <f t="shared" si="3"/>
        <v>3.5047417572257231</v>
      </c>
    </row>
    <row r="16" spans="2:13" x14ac:dyDescent="0.25">
      <c r="B16" s="95" t="s">
        <v>114</v>
      </c>
      <c r="C16" s="95">
        <v>1.2</v>
      </c>
      <c r="D16" s="107">
        <v>8</v>
      </c>
      <c r="E16" s="95">
        <f t="shared" si="4"/>
        <v>9.6</v>
      </c>
      <c r="I16" s="50">
        <v>280</v>
      </c>
      <c r="J16" s="51">
        <f t="shared" si="0"/>
        <v>4.6112204057200135</v>
      </c>
      <c r="K16" s="52">
        <f>J16*$G$12</f>
        <v>141.93673763877348</v>
      </c>
      <c r="L16" s="53">
        <f t="shared" si="2"/>
        <v>0.44438460500903887</v>
      </c>
      <c r="M16" s="54">
        <f t="shared" si="3"/>
        <v>1.1850256133574371</v>
      </c>
    </row>
    <row r="17" spans="2:13" x14ac:dyDescent="0.25">
      <c r="B17" s="95" t="s">
        <v>115</v>
      </c>
      <c r="C17" s="109">
        <v>0</v>
      </c>
      <c r="D17" s="107">
        <v>1</v>
      </c>
      <c r="E17" s="95">
        <f t="shared" si="4"/>
        <v>0</v>
      </c>
      <c r="I17" s="50">
        <v>300</v>
      </c>
      <c r="J17" s="51">
        <f t="shared" si="0"/>
        <v>2.5539318887797582</v>
      </c>
      <c r="K17" s="52">
        <f t="shared" si="1"/>
        <v>78.611891983165378</v>
      </c>
      <c r="L17" s="53">
        <f t="shared" si="2"/>
        <v>0.24612313308805492</v>
      </c>
      <c r="M17" s="54">
        <f t="shared" si="3"/>
        <v>0.65632835490147978</v>
      </c>
    </row>
    <row r="18" spans="2:13" ht="15.75" thickBot="1" x14ac:dyDescent="0.3">
      <c r="B18" s="105" t="s">
        <v>116</v>
      </c>
      <c r="C18" s="105">
        <v>0</v>
      </c>
      <c r="D18" s="108">
        <v>1</v>
      </c>
      <c r="E18" s="96">
        <f t="shared" si="4"/>
        <v>0</v>
      </c>
      <c r="I18" s="50">
        <v>320</v>
      </c>
      <c r="J18" s="51">
        <f t="shared" si="0"/>
        <v>1.7215327104888913</v>
      </c>
      <c r="K18" s="52">
        <f t="shared" si="1"/>
        <v>52.990036295407741</v>
      </c>
      <c r="L18" s="53">
        <f t="shared" si="2"/>
        <v>0.16590459059640036</v>
      </c>
      <c r="M18" s="54">
        <f t="shared" si="3"/>
        <v>0.44241224159040093</v>
      </c>
    </row>
    <row r="19" spans="2:13" ht="15.75" thickBot="1" x14ac:dyDescent="0.3">
      <c r="B19" s="165" t="s">
        <v>86</v>
      </c>
      <c r="C19" s="166"/>
      <c r="D19" s="167"/>
      <c r="E19" s="104">
        <f>SUM(E3:E18)-0.76</f>
        <v>45</v>
      </c>
      <c r="I19" s="50">
        <v>340</v>
      </c>
      <c r="J19" s="51">
        <f t="shared" si="0"/>
        <v>1.27677104587299</v>
      </c>
      <c r="K19" s="52">
        <f t="shared" si="1"/>
        <v>39.299946872645855</v>
      </c>
      <c r="L19" s="53">
        <f t="shared" si="2"/>
        <v>0.1230427841192409</v>
      </c>
      <c r="M19" s="54">
        <f t="shared" si="3"/>
        <v>0.32811409098464239</v>
      </c>
    </row>
    <row r="20" spans="2:13" x14ac:dyDescent="0.25">
      <c r="I20" s="50">
        <v>360</v>
      </c>
      <c r="J20" s="51">
        <f t="shared" si="0"/>
        <v>1.0018085963305019</v>
      </c>
      <c r="K20" s="52">
        <f t="shared" si="1"/>
        <v>30.836401514281498</v>
      </c>
      <c r="L20" s="53">
        <f t="shared" si="2"/>
        <v>9.6544575666509799E-2</v>
      </c>
      <c r="M20" s="54">
        <f t="shared" si="3"/>
        <v>0.25745220177735945</v>
      </c>
    </row>
    <row r="21" spans="2:13" x14ac:dyDescent="0.25">
      <c r="I21" s="50">
        <v>380</v>
      </c>
      <c r="J21" s="51">
        <f t="shared" si="0"/>
        <v>0.81590225950342155</v>
      </c>
      <c r="K21" s="52">
        <f t="shared" si="1"/>
        <v>25.114068458399167</v>
      </c>
      <c r="L21" s="53">
        <f t="shared" si="2"/>
        <v>7.8628729796921634E-2</v>
      </c>
      <c r="M21" s="54">
        <f t="shared" si="3"/>
        <v>0.20967661279179101</v>
      </c>
    </row>
    <row r="22" spans="2:13" x14ac:dyDescent="0.25">
      <c r="I22" s="50">
        <v>400</v>
      </c>
      <c r="J22" s="51">
        <f t="shared" si="0"/>
        <v>0.68236739555189052</v>
      </c>
      <c r="K22" s="52">
        <f t="shared" si="1"/>
        <v>21.003767652389811</v>
      </c>
      <c r="L22" s="53">
        <f t="shared" si="2"/>
        <v>6.5759937470615315E-2</v>
      </c>
      <c r="M22" s="54">
        <f t="shared" si="3"/>
        <v>0.17535983325497417</v>
      </c>
    </row>
    <row r="23" spans="2:13" x14ac:dyDescent="0.25">
      <c r="I23" s="50">
        <v>420</v>
      </c>
      <c r="J23" s="51">
        <f t="shared" si="0"/>
        <v>0.58217118974511173</v>
      </c>
      <c r="K23" s="52">
        <f t="shared" si="1"/>
        <v>17.919655134507096</v>
      </c>
      <c r="L23" s="53">
        <f t="shared" si="2"/>
        <v>5.6104000988893982E-2</v>
      </c>
      <c r="M23" s="54">
        <f t="shared" si="3"/>
        <v>0.14961066930371728</v>
      </c>
    </row>
    <row r="24" spans="2:13" x14ac:dyDescent="0.25">
      <c r="I24" s="50">
        <v>440</v>
      </c>
      <c r="J24" s="51">
        <f t="shared" si="0"/>
        <v>0.50446902724459031</v>
      </c>
      <c r="K24" s="52">
        <f t="shared" si="1"/>
        <v>15.527925726144588</v>
      </c>
      <c r="L24" s="53">
        <f t="shared" si="2"/>
        <v>4.861582177535869E-2</v>
      </c>
      <c r="M24" s="54">
        <f t="shared" si="3"/>
        <v>0.12964219140095651</v>
      </c>
    </row>
    <row r="25" spans="2:13" x14ac:dyDescent="0.25">
      <c r="I25" s="50">
        <v>460</v>
      </c>
      <c r="J25" s="51">
        <f t="shared" si="0"/>
        <v>0.4426350371719957</v>
      </c>
      <c r="K25" s="52">
        <f t="shared" si="1"/>
        <v>13.624630274206201</v>
      </c>
      <c r="L25" s="53">
        <f t="shared" si="2"/>
        <v>4.2656862793381281E-2</v>
      </c>
      <c r="M25" s="54">
        <f t="shared" si="3"/>
        <v>0.11375163411568343</v>
      </c>
    </row>
    <row r="26" spans="2:13" x14ac:dyDescent="0.25">
      <c r="I26" s="50">
        <v>480</v>
      </c>
      <c r="J26" s="51">
        <f t="shared" si="0"/>
        <v>0.39239598505934392</v>
      </c>
      <c r="K26" s="52">
        <f t="shared" si="1"/>
        <v>12.07823549548586</v>
      </c>
      <c r="L26" s="53">
        <f t="shared" si="2"/>
        <v>3.7815311237655261E-2</v>
      </c>
      <c r="M26" s="54">
        <f t="shared" si="3"/>
        <v>0.1008408299670807</v>
      </c>
    </row>
    <row r="27" spans="2:13" ht="15.75" thickBot="1" x14ac:dyDescent="0.3">
      <c r="I27" s="65">
        <v>500</v>
      </c>
      <c r="J27" s="66">
        <f t="shared" si="0"/>
        <v>0.3508744198536855</v>
      </c>
      <c r="K27" s="67">
        <f t="shared" si="1"/>
        <v>10.800171341441906</v>
      </c>
      <c r="L27" s="68">
        <f t="shared" si="2"/>
        <v>3.3813866342419882E-2</v>
      </c>
      <c r="M27" s="69">
        <f t="shared" si="3"/>
        <v>9.0170310246453014E-2</v>
      </c>
    </row>
    <row r="29" spans="2:13" ht="15.75" thickBot="1" x14ac:dyDescent="0.3"/>
    <row r="30" spans="2:13" x14ac:dyDescent="0.25">
      <c r="B30" s="159" t="s">
        <v>87</v>
      </c>
      <c r="C30" s="160"/>
      <c r="D30" s="160"/>
      <c r="E30" s="160"/>
      <c r="F30" s="161"/>
    </row>
    <row r="31" spans="2:13" x14ac:dyDescent="0.25">
      <c r="B31" s="59" t="s">
        <v>88</v>
      </c>
      <c r="C31" s="60" t="s">
        <v>89</v>
      </c>
      <c r="D31" s="60" t="s">
        <v>20</v>
      </c>
      <c r="E31" s="61" t="s">
        <v>90</v>
      </c>
      <c r="F31" s="62" t="s">
        <v>91</v>
      </c>
    </row>
    <row r="32" spans="2:13" ht="15.75" thickBot="1" x14ac:dyDescent="0.3">
      <c r="B32" s="63">
        <v>150</v>
      </c>
      <c r="C32" s="64">
        <v>200</v>
      </c>
      <c r="D32" s="64">
        <v>1.5</v>
      </c>
      <c r="E32" s="64">
        <v>2.0499999999999998</v>
      </c>
      <c r="F32" s="75">
        <f>B32*C32*D32*E32*10^(-3)</f>
        <v>92.249999999999986</v>
      </c>
    </row>
    <row r="50" spans="2:6" x14ac:dyDescent="0.25">
      <c r="B50" s="70"/>
      <c r="C50" s="71"/>
      <c r="D50" s="72"/>
      <c r="E50" s="73"/>
      <c r="F50" s="73"/>
    </row>
    <row r="51" spans="2:6" x14ac:dyDescent="0.25">
      <c r="B51" s="70"/>
      <c r="C51" s="71"/>
      <c r="D51" s="72"/>
      <c r="E51" s="73"/>
      <c r="F51" s="73"/>
    </row>
    <row r="52" spans="2:6" x14ac:dyDescent="0.25">
      <c r="B52" s="70"/>
      <c r="C52" s="71"/>
      <c r="D52" s="72"/>
      <c r="E52" s="73"/>
      <c r="F52" s="73"/>
    </row>
    <row r="53" spans="2:6" x14ac:dyDescent="0.25">
      <c r="B53" s="70"/>
      <c r="C53" s="71"/>
      <c r="D53" s="72"/>
      <c r="E53" s="73"/>
      <c r="F53" s="73"/>
    </row>
    <row r="54" spans="2:6" x14ac:dyDescent="0.25">
      <c r="B54" s="70"/>
      <c r="C54" s="71"/>
      <c r="D54" s="72"/>
      <c r="E54" s="73"/>
      <c r="F54" s="73"/>
    </row>
    <row r="55" spans="2:6" x14ac:dyDescent="0.25">
      <c r="B55" s="70"/>
      <c r="C55" s="71"/>
      <c r="D55" s="72"/>
      <c r="E55" s="73"/>
      <c r="F55" s="73"/>
    </row>
    <row r="56" spans="2:6" x14ac:dyDescent="0.25">
      <c r="B56" s="70"/>
      <c r="C56" s="71"/>
      <c r="D56" s="72"/>
      <c r="E56" s="73"/>
      <c r="F56" s="73"/>
    </row>
    <row r="57" spans="2:6" x14ac:dyDescent="0.25">
      <c r="B57" s="70"/>
      <c r="C57" s="71"/>
      <c r="D57" s="72"/>
      <c r="E57" s="73"/>
      <c r="F57" s="73"/>
    </row>
    <row r="58" spans="2:6" x14ac:dyDescent="0.25">
      <c r="B58" s="70"/>
      <c r="C58" s="71"/>
      <c r="D58" s="72"/>
      <c r="E58" s="73"/>
      <c r="F58" s="73"/>
    </row>
    <row r="59" spans="2:6" x14ac:dyDescent="0.25">
      <c r="B59" s="70"/>
      <c r="C59" s="71"/>
      <c r="D59" s="72"/>
      <c r="E59" s="73"/>
      <c r="F59" s="73"/>
    </row>
    <row r="60" spans="2:6" x14ac:dyDescent="0.25">
      <c r="B60" s="70"/>
      <c r="C60" s="71"/>
      <c r="D60" s="72"/>
      <c r="E60" s="73"/>
      <c r="F60" s="73"/>
    </row>
    <row r="61" spans="2:6" x14ac:dyDescent="0.25">
      <c r="B61" s="70"/>
      <c r="C61" s="71"/>
      <c r="D61" s="72"/>
      <c r="E61" s="73"/>
      <c r="F61" s="73"/>
    </row>
    <row r="62" spans="2:6" x14ac:dyDescent="0.25">
      <c r="B62" s="70"/>
      <c r="C62" s="71"/>
      <c r="D62" s="72"/>
      <c r="E62" s="73"/>
      <c r="F62" s="73"/>
    </row>
    <row r="63" spans="2:6" x14ac:dyDescent="0.25">
      <c r="B63" s="70"/>
      <c r="C63" s="71"/>
      <c r="D63" s="72"/>
      <c r="E63" s="73"/>
      <c r="F63" s="73"/>
    </row>
    <row r="64" spans="2:6" x14ac:dyDescent="0.25">
      <c r="B64" s="70"/>
      <c r="C64" s="71"/>
      <c r="D64" s="72"/>
      <c r="E64" s="73"/>
      <c r="F64" s="73"/>
    </row>
    <row r="65" spans="2:6" x14ac:dyDescent="0.25">
      <c r="B65" s="70"/>
      <c r="C65" s="71"/>
      <c r="D65" s="72"/>
      <c r="E65" s="73"/>
      <c r="F65" s="73"/>
    </row>
    <row r="66" spans="2:6" x14ac:dyDescent="0.25">
      <c r="B66" s="70"/>
      <c r="C66" s="71"/>
      <c r="D66" s="72"/>
      <c r="E66" s="73"/>
      <c r="F66" s="73"/>
    </row>
    <row r="67" spans="2:6" x14ac:dyDescent="0.25">
      <c r="B67" s="70"/>
      <c r="C67" s="71"/>
      <c r="D67" s="72"/>
      <c r="E67" s="73"/>
      <c r="F67" s="73"/>
    </row>
    <row r="68" spans="2:6" x14ac:dyDescent="0.25">
      <c r="B68" s="70"/>
      <c r="C68" s="71"/>
      <c r="D68" s="72"/>
      <c r="E68" s="73"/>
      <c r="F68" s="73"/>
    </row>
    <row r="69" spans="2:6" x14ac:dyDescent="0.25">
      <c r="B69" s="70"/>
      <c r="C69" s="71"/>
      <c r="D69" s="72"/>
      <c r="E69" s="73"/>
      <c r="F69" s="73"/>
    </row>
    <row r="70" spans="2:6" x14ac:dyDescent="0.25">
      <c r="B70" s="70"/>
      <c r="C70" s="71"/>
      <c r="D70" s="72"/>
      <c r="E70" s="73"/>
      <c r="F70" s="73"/>
    </row>
    <row r="71" spans="2:6" x14ac:dyDescent="0.25">
      <c r="B71" s="70"/>
      <c r="C71" s="71"/>
      <c r="D71" s="72"/>
      <c r="E71" s="73"/>
      <c r="F71" s="73"/>
    </row>
    <row r="72" spans="2:6" x14ac:dyDescent="0.25">
      <c r="B72" s="70"/>
      <c r="C72" s="71"/>
      <c r="D72" s="72"/>
      <c r="E72" s="73"/>
      <c r="F72" s="73"/>
    </row>
    <row r="73" spans="2:6" x14ac:dyDescent="0.25">
      <c r="B73" s="70"/>
      <c r="C73" s="71"/>
      <c r="D73" s="72"/>
      <c r="E73" s="73"/>
      <c r="F73" s="73"/>
    </row>
    <row r="74" spans="2:6" x14ac:dyDescent="0.25">
      <c r="B74" s="70"/>
      <c r="C74" s="71"/>
      <c r="D74" s="72"/>
      <c r="E74" s="73"/>
      <c r="F74" s="73"/>
    </row>
    <row r="75" spans="2:6" x14ac:dyDescent="0.25">
      <c r="B75" s="70"/>
      <c r="C75" s="71"/>
      <c r="D75" s="72"/>
      <c r="E75" s="73"/>
      <c r="F75" s="73"/>
    </row>
    <row r="76" spans="2:6" x14ac:dyDescent="0.25">
      <c r="B76" s="70"/>
      <c r="C76" s="71"/>
      <c r="D76" s="72"/>
      <c r="E76" s="73"/>
      <c r="F76" s="73"/>
    </row>
    <row r="77" spans="2:6" x14ac:dyDescent="0.25">
      <c r="B77" s="70"/>
      <c r="C77" s="71"/>
      <c r="D77" s="72"/>
      <c r="E77" s="73"/>
      <c r="F77" s="73"/>
    </row>
    <row r="78" spans="2:6" x14ac:dyDescent="0.25">
      <c r="B78" s="70"/>
      <c r="C78" s="71"/>
      <c r="D78" s="72"/>
      <c r="E78" s="73"/>
      <c r="F78" s="73"/>
    </row>
    <row r="79" spans="2:6" x14ac:dyDescent="0.25">
      <c r="B79" s="70"/>
      <c r="C79" s="71"/>
      <c r="D79" s="72"/>
      <c r="E79" s="73"/>
      <c r="F79" s="73"/>
    </row>
    <row r="80" spans="2:6" x14ac:dyDescent="0.25">
      <c r="B80" s="70"/>
      <c r="C80" s="71"/>
      <c r="D80" s="72"/>
    </row>
    <row r="81" spans="2:4" x14ac:dyDescent="0.25">
      <c r="B81" s="70"/>
      <c r="C81" s="71"/>
      <c r="D81" s="72"/>
    </row>
    <row r="82" spans="2:4" x14ac:dyDescent="0.25">
      <c r="B82" s="70"/>
      <c r="C82" s="71"/>
      <c r="D82" s="72"/>
    </row>
    <row r="83" spans="2:4" x14ac:dyDescent="0.25">
      <c r="B83" s="70"/>
      <c r="C83" s="71"/>
      <c r="D83" s="72"/>
    </row>
    <row r="84" spans="2:4" x14ac:dyDescent="0.25">
      <c r="B84" s="70"/>
      <c r="C84" s="71"/>
      <c r="D84" s="72"/>
    </row>
    <row r="85" spans="2:4" x14ac:dyDescent="0.25">
      <c r="B85" s="70"/>
      <c r="C85" s="71"/>
      <c r="D85" s="72"/>
    </row>
    <row r="86" spans="2:4" x14ac:dyDescent="0.25">
      <c r="B86" s="70"/>
      <c r="C86" s="71"/>
      <c r="D86" s="72"/>
    </row>
    <row r="87" spans="2:4" x14ac:dyDescent="0.25">
      <c r="B87" s="70"/>
      <c r="C87" s="71"/>
      <c r="D87" s="72"/>
    </row>
    <row r="88" spans="2:4" x14ac:dyDescent="0.25">
      <c r="B88" s="70"/>
      <c r="C88" s="71"/>
      <c r="D88" s="72"/>
    </row>
    <row r="89" spans="2:4" x14ac:dyDescent="0.25">
      <c r="B89" s="70"/>
      <c r="C89" s="71"/>
      <c r="D89" s="72"/>
    </row>
    <row r="90" spans="2:4" x14ac:dyDescent="0.25">
      <c r="B90" s="70"/>
      <c r="C90" s="71"/>
      <c r="D90" s="72"/>
    </row>
    <row r="91" spans="2:4" x14ac:dyDescent="0.25">
      <c r="B91" s="70"/>
      <c r="C91" s="71"/>
      <c r="D91" s="72"/>
    </row>
    <row r="92" spans="2:4" x14ac:dyDescent="0.25">
      <c r="B92" s="70"/>
      <c r="C92" s="71"/>
      <c r="D92" s="72"/>
    </row>
    <row r="93" spans="2:4" x14ac:dyDescent="0.25">
      <c r="B93" s="70"/>
      <c r="C93" s="71"/>
      <c r="D93" s="72"/>
    </row>
    <row r="94" spans="2:4" x14ac:dyDescent="0.25">
      <c r="B94" s="70"/>
      <c r="C94" s="71"/>
      <c r="D94" s="72"/>
    </row>
    <row r="95" spans="2:4" x14ac:dyDescent="0.25">
      <c r="B95" s="70"/>
      <c r="C95" s="71"/>
      <c r="D95" s="72"/>
    </row>
    <row r="96" spans="2:4" x14ac:dyDescent="0.25">
      <c r="B96" s="70"/>
      <c r="C96" s="71"/>
      <c r="D96" s="72"/>
    </row>
    <row r="97" spans="2:5" x14ac:dyDescent="0.25">
      <c r="B97" s="70"/>
      <c r="C97" s="71"/>
      <c r="D97" s="72"/>
    </row>
    <row r="98" spans="2:5" x14ac:dyDescent="0.25">
      <c r="B98" s="70"/>
      <c r="C98" s="71"/>
      <c r="D98" s="72"/>
    </row>
    <row r="99" spans="2:5" x14ac:dyDescent="0.25">
      <c r="B99" s="70"/>
      <c r="C99" s="71"/>
      <c r="D99" s="72"/>
    </row>
    <row r="100" spans="2:5" x14ac:dyDescent="0.25">
      <c r="B100" s="70"/>
      <c r="C100" s="71"/>
      <c r="D100" s="72"/>
    </row>
    <row r="101" spans="2:5" x14ac:dyDescent="0.25">
      <c r="B101" s="70"/>
      <c r="C101" s="71"/>
      <c r="D101" s="72"/>
    </row>
    <row r="102" spans="2:5" x14ac:dyDescent="0.25">
      <c r="B102" s="70"/>
      <c r="C102" s="71"/>
      <c r="D102" s="72"/>
    </row>
    <row r="103" spans="2:5" x14ac:dyDescent="0.25">
      <c r="B103" s="70"/>
      <c r="C103" s="71"/>
      <c r="D103" s="72"/>
    </row>
    <row r="104" spans="2:5" x14ac:dyDescent="0.25">
      <c r="B104" s="70"/>
      <c r="C104" s="71"/>
      <c r="D104" s="72"/>
    </row>
    <row r="105" spans="2:5" x14ac:dyDescent="0.25">
      <c r="B105" s="70"/>
      <c r="C105" s="71"/>
      <c r="D105" s="72"/>
    </row>
    <row r="106" spans="2:5" x14ac:dyDescent="0.25">
      <c r="B106" s="70"/>
      <c r="C106" s="71"/>
      <c r="D106" s="72"/>
    </row>
    <row r="107" spans="2:5" x14ac:dyDescent="0.25">
      <c r="B107" s="70"/>
      <c r="C107" s="71"/>
      <c r="D107" s="72"/>
    </row>
    <row r="108" spans="2:5" x14ac:dyDescent="0.25">
      <c r="B108" s="70"/>
      <c r="C108" s="71"/>
      <c r="D108" s="72"/>
    </row>
    <row r="109" spans="2:5" x14ac:dyDescent="0.25">
      <c r="B109" s="70"/>
      <c r="C109" s="71"/>
      <c r="D109" s="72"/>
    </row>
    <row r="110" spans="2:5" x14ac:dyDescent="0.25">
      <c r="B110" s="74"/>
      <c r="C110" s="74"/>
      <c r="D110" s="74"/>
      <c r="E110" s="36"/>
    </row>
    <row r="111" spans="2:5" x14ac:dyDescent="0.25">
      <c r="B111" s="74"/>
      <c r="C111" s="74"/>
      <c r="D111" s="74"/>
      <c r="E111" s="36"/>
    </row>
    <row r="112" spans="2:5" x14ac:dyDescent="0.25">
      <c r="B112" s="74"/>
      <c r="C112" s="74"/>
      <c r="D112" s="74"/>
      <c r="E112" s="36"/>
    </row>
    <row r="113" spans="2:5" x14ac:dyDescent="0.25">
      <c r="B113" s="74"/>
      <c r="C113" s="74"/>
      <c r="D113" s="74"/>
      <c r="E113" s="36"/>
    </row>
    <row r="114" spans="2:5" x14ac:dyDescent="0.25">
      <c r="B114" s="74"/>
      <c r="C114" s="74"/>
      <c r="D114" s="74"/>
      <c r="E114" s="36"/>
    </row>
    <row r="115" spans="2:5" x14ac:dyDescent="0.25">
      <c r="B115" s="74"/>
      <c r="C115" s="74"/>
      <c r="D115" s="74"/>
      <c r="E115" s="36"/>
    </row>
    <row r="116" spans="2:5" x14ac:dyDescent="0.25">
      <c r="B116" s="74"/>
      <c r="C116" s="74"/>
      <c r="D116" s="74"/>
      <c r="E116" s="36"/>
    </row>
    <row r="117" spans="2:5" x14ac:dyDescent="0.25">
      <c r="B117" s="74"/>
      <c r="C117" s="74"/>
      <c r="D117" s="74"/>
      <c r="E117" s="36"/>
    </row>
    <row r="118" spans="2:5" x14ac:dyDescent="0.25">
      <c r="B118" s="74"/>
      <c r="C118" s="74"/>
      <c r="D118" s="74"/>
      <c r="E118" s="36"/>
    </row>
    <row r="119" spans="2:5" x14ac:dyDescent="0.25">
      <c r="B119" s="74"/>
      <c r="C119" s="74"/>
      <c r="D119" s="74"/>
      <c r="E119" s="36"/>
    </row>
    <row r="120" spans="2:5" x14ac:dyDescent="0.25">
      <c r="B120" s="74"/>
      <c r="C120" s="74"/>
      <c r="D120" s="74"/>
      <c r="E120" s="36"/>
    </row>
    <row r="121" spans="2:5" x14ac:dyDescent="0.25">
      <c r="B121" s="74"/>
      <c r="C121" s="74"/>
      <c r="D121" s="74"/>
      <c r="E121" s="36"/>
    </row>
    <row r="122" spans="2:5" x14ac:dyDescent="0.25">
      <c r="B122" s="74"/>
      <c r="C122" s="74"/>
      <c r="D122" s="74"/>
      <c r="E122" s="36"/>
    </row>
    <row r="123" spans="2:5" x14ac:dyDescent="0.25">
      <c r="B123" s="74"/>
      <c r="C123" s="74"/>
      <c r="D123" s="74"/>
      <c r="E123" s="36"/>
    </row>
    <row r="124" spans="2:5" x14ac:dyDescent="0.25">
      <c r="B124" s="74"/>
      <c r="C124" s="74"/>
      <c r="D124" s="74"/>
      <c r="E124" s="36"/>
    </row>
    <row r="125" spans="2:5" x14ac:dyDescent="0.25">
      <c r="B125" s="74"/>
      <c r="C125" s="74"/>
      <c r="D125" s="74"/>
      <c r="E125" s="36"/>
    </row>
    <row r="126" spans="2:5" x14ac:dyDescent="0.25">
      <c r="B126" s="74"/>
      <c r="C126" s="74"/>
      <c r="D126" s="74"/>
      <c r="E126" s="36"/>
    </row>
    <row r="127" spans="2:5" x14ac:dyDescent="0.25">
      <c r="B127" s="74"/>
      <c r="C127" s="74"/>
      <c r="D127" s="74"/>
      <c r="E127" s="36"/>
    </row>
    <row r="128" spans="2:5" x14ac:dyDescent="0.25">
      <c r="B128" s="74"/>
      <c r="C128" s="74"/>
      <c r="D128" s="74"/>
      <c r="E128" s="36"/>
    </row>
    <row r="129" spans="2:5" x14ac:dyDescent="0.25">
      <c r="B129" s="74"/>
      <c r="C129" s="74"/>
      <c r="D129" s="74"/>
      <c r="E129" s="36"/>
    </row>
    <row r="130" spans="2:5" x14ac:dyDescent="0.25">
      <c r="B130" s="74"/>
      <c r="C130" s="74"/>
      <c r="D130" s="74"/>
      <c r="E130" s="36"/>
    </row>
    <row r="131" spans="2:5" x14ac:dyDescent="0.25">
      <c r="B131" s="74"/>
      <c r="C131" s="74"/>
      <c r="D131" s="74"/>
      <c r="E131" s="36"/>
    </row>
    <row r="132" spans="2:5" x14ac:dyDescent="0.25">
      <c r="B132" s="74"/>
      <c r="C132" s="74"/>
      <c r="D132" s="74"/>
      <c r="E132" s="36"/>
    </row>
    <row r="133" spans="2:5" x14ac:dyDescent="0.25">
      <c r="B133" s="74"/>
      <c r="C133" s="74"/>
      <c r="D133" s="74"/>
      <c r="E133" s="36"/>
    </row>
    <row r="134" spans="2:5" x14ac:dyDescent="0.25">
      <c r="B134" s="74"/>
      <c r="C134" s="74"/>
      <c r="D134" s="74"/>
      <c r="E134" s="36"/>
    </row>
    <row r="135" spans="2:5" x14ac:dyDescent="0.25">
      <c r="B135" s="74"/>
      <c r="C135" s="74"/>
      <c r="D135" s="74"/>
      <c r="E135" s="36"/>
    </row>
    <row r="136" spans="2:5" x14ac:dyDescent="0.25">
      <c r="B136" s="74"/>
      <c r="C136" s="74"/>
      <c r="D136" s="74"/>
      <c r="E136" s="36"/>
    </row>
    <row r="137" spans="2:5" x14ac:dyDescent="0.25">
      <c r="B137" s="74"/>
      <c r="C137" s="74"/>
      <c r="D137" s="74"/>
      <c r="E137" s="36"/>
    </row>
    <row r="138" spans="2:5" x14ac:dyDescent="0.25">
      <c r="B138" s="74"/>
      <c r="C138" s="74"/>
      <c r="D138" s="74"/>
      <c r="E138" s="36"/>
    </row>
    <row r="139" spans="2:5" x14ac:dyDescent="0.25">
      <c r="B139" s="74"/>
      <c r="C139" s="74"/>
      <c r="D139" s="74"/>
      <c r="E139" s="36"/>
    </row>
    <row r="140" spans="2:5" x14ac:dyDescent="0.25">
      <c r="B140" s="74"/>
      <c r="C140" s="74"/>
      <c r="D140" s="74"/>
      <c r="E140" s="36"/>
    </row>
    <row r="141" spans="2:5" x14ac:dyDescent="0.25">
      <c r="B141" s="74"/>
      <c r="C141" s="74"/>
      <c r="D141" s="74"/>
      <c r="E141" s="36"/>
    </row>
    <row r="142" spans="2:5" x14ac:dyDescent="0.25">
      <c r="B142" s="74"/>
      <c r="C142" s="74"/>
      <c r="D142" s="74"/>
      <c r="E142" s="36"/>
    </row>
    <row r="143" spans="2:5" x14ac:dyDescent="0.25">
      <c r="B143" s="74"/>
      <c r="C143" s="74"/>
      <c r="D143" s="74"/>
      <c r="E143" s="36"/>
    </row>
    <row r="144" spans="2:5" x14ac:dyDescent="0.25">
      <c r="B144" s="74"/>
      <c r="C144" s="74"/>
      <c r="D144" s="74"/>
      <c r="E144" s="36"/>
    </row>
    <row r="145" spans="2:5" x14ac:dyDescent="0.25">
      <c r="B145" s="74"/>
      <c r="C145" s="74"/>
      <c r="D145" s="74"/>
      <c r="E145" s="36"/>
    </row>
    <row r="146" spans="2:5" x14ac:dyDescent="0.25">
      <c r="B146" s="74"/>
      <c r="C146" s="74"/>
      <c r="D146" s="74"/>
      <c r="E146" s="36"/>
    </row>
    <row r="147" spans="2:5" x14ac:dyDescent="0.25">
      <c r="B147" s="74"/>
      <c r="C147" s="74"/>
      <c r="D147" s="74"/>
      <c r="E147" s="36"/>
    </row>
    <row r="148" spans="2:5" x14ac:dyDescent="0.25">
      <c r="B148" s="74"/>
      <c r="C148" s="74"/>
      <c r="D148" s="74"/>
      <c r="E148" s="36"/>
    </row>
    <row r="149" spans="2:5" x14ac:dyDescent="0.25">
      <c r="B149" s="74"/>
      <c r="C149" s="74"/>
      <c r="D149" s="74"/>
      <c r="E149" s="36"/>
    </row>
    <row r="150" spans="2:5" x14ac:dyDescent="0.25">
      <c r="B150" s="74"/>
      <c r="C150" s="74"/>
      <c r="D150" s="74"/>
      <c r="E150" s="36"/>
    </row>
    <row r="151" spans="2:5" x14ac:dyDescent="0.25">
      <c r="B151" s="74"/>
      <c r="C151" s="74"/>
      <c r="D151" s="74"/>
      <c r="E151" s="36"/>
    </row>
    <row r="152" spans="2:5" x14ac:dyDescent="0.25">
      <c r="B152" s="74"/>
      <c r="C152" s="74"/>
      <c r="D152" s="74"/>
      <c r="E152" s="36"/>
    </row>
    <row r="153" spans="2:5" x14ac:dyDescent="0.25">
      <c r="B153" s="74"/>
      <c r="C153" s="74"/>
      <c r="D153" s="74"/>
      <c r="E153" s="36"/>
    </row>
    <row r="154" spans="2:5" x14ac:dyDescent="0.25">
      <c r="B154" s="74"/>
      <c r="C154" s="74"/>
      <c r="D154" s="74"/>
      <c r="E154" s="36"/>
    </row>
    <row r="155" spans="2:5" x14ac:dyDescent="0.25">
      <c r="B155" s="74"/>
      <c r="C155" s="74"/>
      <c r="D155" s="74"/>
      <c r="E155" s="36"/>
    </row>
    <row r="156" spans="2:5" x14ac:dyDescent="0.25">
      <c r="B156" s="74"/>
      <c r="C156" s="74"/>
      <c r="D156" s="74"/>
      <c r="E156" s="36"/>
    </row>
    <row r="157" spans="2:5" x14ac:dyDescent="0.25">
      <c r="B157" s="74"/>
      <c r="C157" s="74"/>
      <c r="D157" s="74"/>
      <c r="E157" s="36"/>
    </row>
    <row r="158" spans="2:5" x14ac:dyDescent="0.25">
      <c r="B158" s="74"/>
      <c r="C158" s="74"/>
      <c r="D158" s="74"/>
      <c r="E158" s="36"/>
    </row>
    <row r="159" spans="2:5" x14ac:dyDescent="0.25">
      <c r="B159" s="74"/>
      <c r="C159" s="74"/>
      <c r="D159" s="74"/>
      <c r="E159" s="36"/>
    </row>
  </sheetData>
  <mergeCells count="2">
    <mergeCell ref="B30:F30"/>
    <mergeCell ref="B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2014-06-15T15:43:05Z</dcterms:modified>
</cp:coreProperties>
</file>