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defaultThemeVersion="166925"/>
  <mc:AlternateContent xmlns:mc="http://schemas.openxmlformats.org/markup-compatibility/2006">
    <mc:Choice Requires="x15">
      <x15ac:absPath xmlns:x15ac="http://schemas.microsoft.com/office/spreadsheetml/2010/11/ac" url="https://d.docs.live.net/5431ab5cb92e8cef/"/>
    </mc:Choice>
  </mc:AlternateContent>
  <xr:revisionPtr revIDLastSave="0" documentId="8_{CB9139D9-5DFB-4227-AA72-70CD0F38CF5A}" xr6:coauthVersionLast="47" xr6:coauthVersionMax="47" xr10:uidLastSave="{00000000-0000-0000-0000-000000000000}"/>
  <bookViews>
    <workbookView xWindow="25065" yWindow="2160" windowWidth="17820" windowHeight="18630" firstSheet="1" activeTab="1" xr2:uid="{F8C6AF4B-BF46-4449-B377-F9A0A1E3BB6D}"/>
  </bookViews>
  <sheets>
    <sheet name="Legacy Mastersheet" sheetId="1" state="hidden" r:id="rId1"/>
    <sheet name="Mastersheet" sheetId="6" r:id="rId2"/>
    <sheet name="Dropdowns" sheetId="2" r:id="rId3"/>
    <sheet name="Legacy Berekeningen" sheetId="4" state="hidden" r:id="rId4"/>
    <sheet name="Legacy Visualisaties" sheetId="3" state="hidden" r:id="rId5"/>
    <sheet name="Legacy Diversity" sheetId="5" state="hidden" r:id="rId6"/>
    <sheet name="berekeningen" sheetId="7" r:id="rId7"/>
    <sheet name="visualisaties" sheetId="8" r:id="rId8"/>
  </sheets>
  <definedNames>
    <definedName name="_xlchart.v1.0" hidden="1">berekeningen!$A$3:$A$21</definedName>
    <definedName name="_xlchart.v1.1" hidden="1">berekeningen!$B$2</definedName>
    <definedName name="_xlchart.v1.2" hidden="1">berekeningen!$B$3:$B$21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7" l="1"/>
  <c r="O166" i="6"/>
  <c r="C166" i="6"/>
  <c r="C165" i="6"/>
  <c r="C164" i="6"/>
  <c r="C163" i="6"/>
  <c r="C162" i="6"/>
  <c r="C161" i="6"/>
  <c r="C160"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O163" i="6"/>
  <c r="O161" i="6"/>
  <c r="O165" i="6"/>
  <c r="O164" i="6"/>
  <c r="O162" i="6"/>
  <c r="O160" i="6"/>
  <c r="C159" i="6"/>
  <c r="O159" i="6"/>
  <c r="O158" i="6"/>
  <c r="C158" i="6"/>
  <c r="C157" i="6"/>
  <c r="O157" i="6"/>
  <c r="O156" i="6"/>
  <c r="M20" i="7"/>
  <c r="O149" i="6"/>
  <c r="O152" i="6"/>
  <c r="O153" i="6"/>
  <c r="O154" i="6"/>
  <c r="O155" i="6"/>
  <c r="O148" i="6"/>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6" i="6"/>
  <c r="O147" i="6"/>
  <c r="O150" i="6"/>
  <c r="O151" i="6"/>
  <c r="O145" i="6"/>
  <c r="C137" i="6"/>
  <c r="C138" i="6" s="1"/>
  <c r="C139" i="6" s="1"/>
  <c r="C140" i="6" s="1"/>
  <c r="C141" i="6" s="1"/>
  <c r="C142" i="6" s="1"/>
  <c r="C46" i="6"/>
  <c r="C47" i="6"/>
  <c r="C54" i="6"/>
  <c r="C55" i="6"/>
  <c r="C56" i="6"/>
  <c r="C57" i="6"/>
  <c r="C58" i="6"/>
  <c r="C59" i="6"/>
  <c r="C60" i="6"/>
  <c r="C61" i="6"/>
  <c r="C62" i="6"/>
  <c r="C63" i="6"/>
  <c r="C64" i="6"/>
  <c r="C65" i="6"/>
  <c r="C66" i="6"/>
  <c r="C67" i="6"/>
  <c r="C68" i="6"/>
  <c r="C69" i="6"/>
  <c r="C70" i="6"/>
  <c r="C71" i="6"/>
  <c r="C72" i="6"/>
  <c r="C73" i="6"/>
  <c r="C74" i="6"/>
  <c r="C75" i="6"/>
  <c r="C76" i="6"/>
  <c r="C77" i="6"/>
  <c r="C78" i="6"/>
  <c r="C80" i="6"/>
  <c r="C79" i="6" s="1"/>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F9" i="7"/>
  <c r="L135" i="6"/>
  <c r="L134" i="6"/>
  <c r="F5" i="7"/>
  <c r="F19" i="7"/>
  <c r="L133" i="6"/>
  <c r="L132" i="6"/>
  <c r="D14" i="7" s="1"/>
  <c r="L131" i="6"/>
  <c r="D22" i="7"/>
  <c r="L125" i="6"/>
  <c r="L129" i="6"/>
  <c r="L130" i="6"/>
  <c r="L122" i="6"/>
  <c r="L123" i="6"/>
  <c r="L124" i="6"/>
  <c r="L126" i="6"/>
  <c r="L127" i="6"/>
  <c r="C22" i="7" s="1"/>
  <c r="L128" i="6"/>
  <c r="L120" i="6"/>
  <c r="L121" i="6"/>
  <c r="L119" i="6"/>
  <c r="L118" i="6"/>
  <c r="L114" i="6"/>
  <c r="L115" i="6"/>
  <c r="L116" i="6"/>
  <c r="L117" i="6"/>
  <c r="K3" i="7"/>
  <c r="L102" i="6"/>
  <c r="L103" i="6"/>
  <c r="L104" i="6"/>
  <c r="L105" i="6"/>
  <c r="L106" i="6"/>
  <c r="L107" i="6"/>
  <c r="L108" i="6"/>
  <c r="L109" i="6"/>
  <c r="L110" i="6"/>
  <c r="L111" i="6"/>
  <c r="L112" i="6"/>
  <c r="L113" i="6"/>
  <c r="L93" i="6"/>
  <c r="L94" i="6"/>
  <c r="L95" i="6"/>
  <c r="L96" i="6"/>
  <c r="L97" i="6"/>
  <c r="L98" i="6"/>
  <c r="L99" i="6"/>
  <c r="L100" i="6"/>
  <c r="L101" i="6"/>
  <c r="L92" i="6"/>
  <c r="L91" i="6"/>
  <c r="L90" i="6"/>
  <c r="L89" i="6"/>
  <c r="L88" i="6"/>
  <c r="L87" i="6"/>
  <c r="L86" i="6"/>
  <c r="L85" i="6"/>
  <c r="L83" i="6"/>
  <c r="L84" i="6"/>
  <c r="L82" i="6"/>
  <c r="D12" i="7" s="1"/>
  <c r="L81" i="6"/>
  <c r="L80" i="6"/>
  <c r="L79" i="6"/>
  <c r="E8" i="7"/>
  <c r="L78" i="6"/>
  <c r="L77" i="6"/>
  <c r="L76" i="6"/>
  <c r="L75" i="6"/>
  <c r="L74" i="6"/>
  <c r="L73" i="6"/>
  <c r="L72" i="6"/>
  <c r="L71" i="6"/>
  <c r="L69" i="6"/>
  <c r="L70" i="6"/>
  <c r="L59" i="6"/>
  <c r="L68" i="6"/>
  <c r="F22" i="7" s="1"/>
  <c r="L67" i="6"/>
  <c r="L66" i="6"/>
  <c r="L65" i="6"/>
  <c r="L64" i="6"/>
  <c r="A63" i="6"/>
  <c r="A64" i="6"/>
  <c r="A65" i="6"/>
  <c r="A66" i="6"/>
  <c r="A67" i="6"/>
  <c r="A68" i="6"/>
  <c r="A69" i="6"/>
  <c r="A70" i="6"/>
  <c r="A71" i="6"/>
  <c r="A72" i="6"/>
  <c r="A73" i="6"/>
  <c r="A74" i="6"/>
  <c r="A75" i="6"/>
  <c r="A76" i="6"/>
  <c r="A77" i="6"/>
  <c r="A78" i="6"/>
  <c r="A79" i="6"/>
  <c r="A80" i="6"/>
  <c r="A81" i="6"/>
  <c r="A82" i="6"/>
  <c r="A83" i="6"/>
  <c r="A84" i="6"/>
  <c r="L63" i="6"/>
  <c r="L62" i="6"/>
  <c r="L61" i="6"/>
  <c r="L60" i="6"/>
  <c r="L58" i="6"/>
  <c r="L57" i="6"/>
  <c r="L56" i="6"/>
  <c r="J3" i="7"/>
  <c r="L11" i="6"/>
  <c r="L55" i="6"/>
  <c r="L54" i="6"/>
  <c r="J20" i="7"/>
  <c r="L20" i="7"/>
  <c r="K20" i="7"/>
  <c r="L53" i="6"/>
  <c r="N29" i="5"/>
  <c r="N9" i="5"/>
  <c r="N2" i="5"/>
  <c r="N27" i="5"/>
  <c r="N26" i="5"/>
  <c r="N25" i="5"/>
  <c r="N24" i="5"/>
  <c r="N23" i="5"/>
  <c r="N22" i="5"/>
  <c r="N21" i="5"/>
  <c r="N20" i="5"/>
  <c r="N19" i="5"/>
  <c r="N18" i="5"/>
  <c r="N17" i="5"/>
  <c r="N16" i="5"/>
  <c r="N15" i="5"/>
  <c r="N14" i="5"/>
  <c r="N13" i="5"/>
  <c r="N12" i="5"/>
  <c r="N11" i="5"/>
  <c r="N10" i="5"/>
  <c r="N87" i="5"/>
  <c r="N86" i="5"/>
  <c r="N85" i="5"/>
  <c r="N84" i="5"/>
  <c r="N83" i="5"/>
  <c r="N82" i="5"/>
  <c r="N81" i="5"/>
  <c r="N80" i="5"/>
  <c r="N79" i="5"/>
  <c r="N78" i="5"/>
  <c r="N77" i="5"/>
  <c r="N76" i="5"/>
  <c r="N75" i="5"/>
  <c r="N74" i="5"/>
  <c r="N73" i="5"/>
  <c r="N72" i="5"/>
  <c r="N71" i="5"/>
  <c r="N70" i="5"/>
  <c r="N69" i="5"/>
  <c r="N67" i="5"/>
  <c r="N66" i="5"/>
  <c r="N65" i="5"/>
  <c r="N64" i="5"/>
  <c r="N63" i="5"/>
  <c r="N62" i="5"/>
  <c r="N61" i="5"/>
  <c r="N60" i="5"/>
  <c r="N59" i="5"/>
  <c r="N58" i="5"/>
  <c r="N57" i="5"/>
  <c r="N56" i="5"/>
  <c r="N55" i="5"/>
  <c r="N54" i="5"/>
  <c r="N53" i="5"/>
  <c r="N52" i="5"/>
  <c r="N51" i="5"/>
  <c r="N50" i="5"/>
  <c r="N49" i="5"/>
  <c r="N47" i="5"/>
  <c r="N46" i="5"/>
  <c r="N45" i="5"/>
  <c r="N44" i="5"/>
  <c r="N43" i="5"/>
  <c r="N42" i="5"/>
  <c r="N41" i="5"/>
  <c r="N40" i="5"/>
  <c r="N39" i="5"/>
  <c r="N38" i="5"/>
  <c r="N37" i="5"/>
  <c r="N36" i="5"/>
  <c r="N35" i="5"/>
  <c r="N34" i="5"/>
  <c r="N33" i="5"/>
  <c r="N32" i="5"/>
  <c r="N31" i="5"/>
  <c r="N30" i="5"/>
  <c r="N3" i="5"/>
  <c r="L52" i="6"/>
  <c r="B9" i="5"/>
  <c r="L51" i="6"/>
  <c r="M87" i="5"/>
  <c r="M86" i="5"/>
  <c r="M85" i="5"/>
  <c r="M84" i="5"/>
  <c r="M83" i="5"/>
  <c r="M82" i="5"/>
  <c r="M81" i="5"/>
  <c r="M80" i="5"/>
  <c r="M79" i="5"/>
  <c r="M78" i="5"/>
  <c r="M77" i="5"/>
  <c r="M76" i="5"/>
  <c r="M75" i="5"/>
  <c r="M74" i="5"/>
  <c r="M73" i="5"/>
  <c r="M72" i="5"/>
  <c r="M71" i="5"/>
  <c r="M70" i="5"/>
  <c r="M69" i="5"/>
  <c r="M67" i="5"/>
  <c r="M66" i="5"/>
  <c r="M65" i="5"/>
  <c r="M64" i="5"/>
  <c r="M63" i="5"/>
  <c r="M62" i="5"/>
  <c r="M61" i="5"/>
  <c r="M60" i="5"/>
  <c r="M59" i="5"/>
  <c r="M58" i="5"/>
  <c r="M57" i="5"/>
  <c r="M56" i="5"/>
  <c r="M55" i="5"/>
  <c r="M54" i="5"/>
  <c r="M53" i="5"/>
  <c r="M52" i="5"/>
  <c r="M51" i="5"/>
  <c r="M50" i="5"/>
  <c r="M49" i="5"/>
  <c r="M47" i="5"/>
  <c r="M46" i="5"/>
  <c r="M45" i="5"/>
  <c r="M44" i="5"/>
  <c r="M43" i="5"/>
  <c r="M42" i="5"/>
  <c r="M41" i="5"/>
  <c r="M40" i="5"/>
  <c r="M39" i="5"/>
  <c r="M38" i="5"/>
  <c r="M37" i="5"/>
  <c r="M36" i="5"/>
  <c r="M35" i="5"/>
  <c r="M34" i="5"/>
  <c r="M33" i="5"/>
  <c r="M32" i="5"/>
  <c r="M31" i="5"/>
  <c r="M30" i="5"/>
  <c r="M29" i="5"/>
  <c r="M27" i="5"/>
  <c r="M26" i="5"/>
  <c r="M25" i="5"/>
  <c r="M24" i="5"/>
  <c r="M23" i="5"/>
  <c r="M22" i="5"/>
  <c r="M21" i="5"/>
  <c r="M20" i="5"/>
  <c r="M19" i="5"/>
  <c r="M18" i="5"/>
  <c r="M17" i="5"/>
  <c r="M16" i="5"/>
  <c r="M15" i="5"/>
  <c r="M14" i="5"/>
  <c r="M13" i="5"/>
  <c r="M12" i="5"/>
  <c r="M11" i="5"/>
  <c r="M10" i="5"/>
  <c r="M9" i="5"/>
  <c r="L50" i="6"/>
  <c r="L49" i="6"/>
  <c r="L48" i="6"/>
  <c r="F21" i="7"/>
  <c r="C5" i="7"/>
  <c r="C9" i="7"/>
  <c r="E9" i="7"/>
  <c r="C11" i="7"/>
  <c r="D21" i="7"/>
  <c r="L47" i="6"/>
  <c r="L46" i="6"/>
  <c r="L45" i="6"/>
  <c r="L87" i="5"/>
  <c r="L86" i="5"/>
  <c r="L85" i="5"/>
  <c r="L84" i="5"/>
  <c r="L82" i="5"/>
  <c r="L81" i="5"/>
  <c r="L79" i="5"/>
  <c r="L78" i="5"/>
  <c r="L75" i="5"/>
  <c r="L74" i="5"/>
  <c r="L73" i="5"/>
  <c r="L71" i="5"/>
  <c r="L64" i="5"/>
  <c r="L61" i="5"/>
  <c r="L60" i="5"/>
  <c r="L57" i="5"/>
  <c r="L55" i="5"/>
  <c r="L54" i="5"/>
  <c r="L52" i="5"/>
  <c r="L47" i="5"/>
  <c r="L46" i="5"/>
  <c r="L45" i="5"/>
  <c r="L44" i="5"/>
  <c r="L41" i="5"/>
  <c r="L40" i="5"/>
  <c r="L39" i="5"/>
  <c r="L38" i="5"/>
  <c r="L37" i="5"/>
  <c r="L35" i="5"/>
  <c r="L32" i="5"/>
  <c r="L27" i="5"/>
  <c r="L24" i="5"/>
  <c r="L22" i="5"/>
  <c r="L20" i="5"/>
  <c r="L18" i="5"/>
  <c r="L17" i="5"/>
  <c r="L15" i="5"/>
  <c r="L11" i="5"/>
  <c r="L44" i="6"/>
  <c r="F8" i="7"/>
  <c r="N4" i="5"/>
  <c r="N5" i="5"/>
  <c r="M4" i="5"/>
  <c r="M5" i="5"/>
  <c r="M2" i="5"/>
  <c r="M3" i="5"/>
  <c r="M10" i="7" a="1"/>
  <c r="M10" i="7"/>
  <c r="L10" i="7" a="1"/>
  <c r="L10" i="7"/>
  <c r="K10" i="7" a="1"/>
  <c r="K10" i="7"/>
  <c r="J10" i="7" a="1"/>
  <c r="J10" i="7"/>
  <c r="M9" i="7"/>
  <c r="L9" i="7"/>
  <c r="K9" i="7"/>
  <c r="J9" i="7"/>
  <c r="M8" i="7"/>
  <c r="L8" i="7"/>
  <c r="K8" i="7"/>
  <c r="J8" i="7"/>
  <c r="M4" i="7"/>
  <c r="L4" i="7"/>
  <c r="K4" i="7"/>
  <c r="J4" i="7"/>
  <c r="O4" i="7"/>
  <c r="O5" i="7"/>
  <c r="O3" i="7"/>
  <c r="M5" i="7" a="1"/>
  <c r="M5" i="7"/>
  <c r="L5" i="7" a="1"/>
  <c r="L5" i="7"/>
  <c r="K5" i="7" a="1"/>
  <c r="K5" i="7"/>
  <c r="J5" i="7" a="1"/>
  <c r="J5" i="7"/>
  <c r="L3" i="7"/>
  <c r="M3" i="7"/>
  <c r="M22" i="7"/>
  <c r="L22" i="7"/>
  <c r="K22" i="7"/>
  <c r="B9" i="7"/>
  <c r="L2" i="6"/>
  <c r="L3" i="6"/>
  <c r="L4" i="6"/>
  <c r="C18" i="7" s="1"/>
  <c r="L5" i="6"/>
  <c r="L6" i="6"/>
  <c r="L7" i="6"/>
  <c r="L8" i="6"/>
  <c r="L9" i="6"/>
  <c r="L10" i="6"/>
  <c r="L12" i="6"/>
  <c r="L13" i="6"/>
  <c r="L14" i="6"/>
  <c r="L15" i="6"/>
  <c r="L16" i="6"/>
  <c r="L17" i="6"/>
  <c r="D15" i="7" s="1"/>
  <c r="L18" i="6"/>
  <c r="L19" i="6"/>
  <c r="L20" i="6"/>
  <c r="C21" i="7" s="1"/>
  <c r="L21" i="6"/>
  <c r="L22" i="6"/>
  <c r="L23" i="6"/>
  <c r="L24" i="6"/>
  <c r="L25" i="6"/>
  <c r="L26" i="6"/>
  <c r="L27" i="6"/>
  <c r="L28" i="6"/>
  <c r="L29" i="6"/>
  <c r="L30" i="6"/>
  <c r="L31" i="6"/>
  <c r="L32" i="6"/>
  <c r="L33" i="6"/>
  <c r="L34" i="6"/>
  <c r="L35" i="6"/>
  <c r="L36" i="6"/>
  <c r="L37" i="6"/>
  <c r="L38" i="6"/>
  <c r="L39" i="6"/>
  <c r="L40" i="6"/>
  <c r="L41" i="6"/>
  <c r="D17" i="7" s="1"/>
  <c r="L42" i="6"/>
  <c r="L43" i="6"/>
  <c r="C2" i="6"/>
  <c r="C3" i="6" s="1"/>
  <c r="C4" i="6" s="1"/>
  <c r="C5" i="6" s="1"/>
  <c r="L20" i="4"/>
  <c r="K20" i="4"/>
  <c r="M20" i="4"/>
  <c r="N20" i="4"/>
  <c r="K11" i="5"/>
  <c r="K15" i="5"/>
  <c r="K17" i="5"/>
  <c r="K18" i="5"/>
  <c r="K20" i="5"/>
  <c r="K22" i="5"/>
  <c r="K24" i="5"/>
  <c r="K27" i="5"/>
  <c r="K32" i="5"/>
  <c r="K35" i="5"/>
  <c r="K37" i="5"/>
  <c r="K38" i="5"/>
  <c r="K39" i="5"/>
  <c r="K40" i="5"/>
  <c r="K41" i="5"/>
  <c r="K44" i="5"/>
  <c r="K45" i="5"/>
  <c r="K46" i="5"/>
  <c r="K47" i="5"/>
  <c r="J52" i="5"/>
  <c r="J54" i="5"/>
  <c r="J55" i="5"/>
  <c r="J57" i="5"/>
  <c r="J60" i="5"/>
  <c r="J61" i="5"/>
  <c r="J64" i="5"/>
  <c r="J32" i="5"/>
  <c r="J35" i="5"/>
  <c r="J37" i="5"/>
  <c r="J38" i="5"/>
  <c r="J39" i="5"/>
  <c r="J40" i="5"/>
  <c r="J41" i="5"/>
  <c r="J44" i="5"/>
  <c r="J45" i="5"/>
  <c r="J46" i="5"/>
  <c r="J47" i="5"/>
  <c r="I32" i="5"/>
  <c r="I35" i="5"/>
  <c r="I37" i="5"/>
  <c r="I38" i="5"/>
  <c r="I39" i="5"/>
  <c r="I40" i="5"/>
  <c r="I41" i="5"/>
  <c r="I44" i="5"/>
  <c r="I45" i="5"/>
  <c r="I46" i="5"/>
  <c r="I47" i="5"/>
  <c r="J11" i="5"/>
  <c r="J15" i="5"/>
  <c r="J17" i="5"/>
  <c r="J18" i="5"/>
  <c r="J20" i="5"/>
  <c r="J22" i="5"/>
  <c r="J24" i="5"/>
  <c r="J27" i="5"/>
  <c r="K87" i="5"/>
  <c r="K86" i="5"/>
  <c r="K85" i="5"/>
  <c r="K84" i="5"/>
  <c r="K82" i="5"/>
  <c r="K81" i="5"/>
  <c r="K79" i="5"/>
  <c r="K78" i="5"/>
  <c r="K75" i="5"/>
  <c r="K74" i="5"/>
  <c r="K73" i="5"/>
  <c r="K71" i="5"/>
  <c r="K64" i="5"/>
  <c r="K61" i="5"/>
  <c r="K60" i="5"/>
  <c r="K57" i="5"/>
  <c r="K55" i="5"/>
  <c r="K54" i="5"/>
  <c r="K52" i="5"/>
  <c r="N22" i="4"/>
  <c r="M22" i="4"/>
  <c r="L22" i="4"/>
  <c r="K22" i="4"/>
  <c r="B11" i="5"/>
  <c r="C11" i="5"/>
  <c r="D11" i="5"/>
  <c r="E11" i="5"/>
  <c r="F11" i="5"/>
  <c r="G11" i="5"/>
  <c r="H11" i="5"/>
  <c r="I11" i="5"/>
  <c r="B15" i="5"/>
  <c r="C15" i="5"/>
  <c r="D15" i="5"/>
  <c r="E15" i="5"/>
  <c r="F15" i="5"/>
  <c r="G15" i="5"/>
  <c r="H15" i="5"/>
  <c r="I15" i="5"/>
  <c r="B17" i="5"/>
  <c r="C17" i="5"/>
  <c r="D17" i="5"/>
  <c r="E17" i="5"/>
  <c r="F17" i="5"/>
  <c r="G17" i="5"/>
  <c r="H17" i="5"/>
  <c r="I17" i="5"/>
  <c r="B18" i="5"/>
  <c r="C18" i="5"/>
  <c r="D18" i="5"/>
  <c r="E18" i="5"/>
  <c r="F18" i="5"/>
  <c r="G18" i="5"/>
  <c r="H18" i="5"/>
  <c r="I18" i="5"/>
  <c r="B20" i="5"/>
  <c r="C20" i="5"/>
  <c r="D20" i="5"/>
  <c r="E20" i="5"/>
  <c r="F20" i="5"/>
  <c r="G20" i="5"/>
  <c r="H20" i="5"/>
  <c r="I20" i="5"/>
  <c r="B22" i="5"/>
  <c r="C22" i="5"/>
  <c r="D22" i="5"/>
  <c r="E22" i="5"/>
  <c r="F22" i="5"/>
  <c r="G22" i="5"/>
  <c r="H22" i="5"/>
  <c r="I22" i="5"/>
  <c r="B24" i="5"/>
  <c r="C24" i="5"/>
  <c r="D24" i="5"/>
  <c r="E24" i="5"/>
  <c r="F24" i="5"/>
  <c r="G24" i="5"/>
  <c r="H24" i="5"/>
  <c r="I24" i="5"/>
  <c r="B27" i="5"/>
  <c r="C27" i="5"/>
  <c r="D27" i="5"/>
  <c r="E27" i="5"/>
  <c r="F27" i="5"/>
  <c r="G27" i="5"/>
  <c r="H27" i="5"/>
  <c r="I27" i="5"/>
  <c r="J87" i="5"/>
  <c r="I87" i="5"/>
  <c r="H87" i="5"/>
  <c r="G87" i="5"/>
  <c r="F87" i="5"/>
  <c r="E87" i="5"/>
  <c r="D87" i="5"/>
  <c r="C87" i="5"/>
  <c r="B87" i="5"/>
  <c r="J86" i="5"/>
  <c r="I86" i="5"/>
  <c r="H86" i="5"/>
  <c r="G86" i="5"/>
  <c r="F86" i="5"/>
  <c r="E86" i="5"/>
  <c r="D86" i="5"/>
  <c r="C86" i="5"/>
  <c r="B86" i="5"/>
  <c r="J85" i="5"/>
  <c r="I85" i="5"/>
  <c r="H85" i="5"/>
  <c r="G85" i="5"/>
  <c r="F85" i="5"/>
  <c r="E85" i="5"/>
  <c r="D85" i="5"/>
  <c r="C85" i="5"/>
  <c r="B85" i="5"/>
  <c r="J84" i="5"/>
  <c r="I84" i="5"/>
  <c r="H84" i="5"/>
  <c r="G84" i="5"/>
  <c r="F84" i="5"/>
  <c r="E84" i="5"/>
  <c r="D84" i="5"/>
  <c r="C84" i="5"/>
  <c r="B84" i="5"/>
  <c r="J82" i="5"/>
  <c r="I82" i="5"/>
  <c r="H82" i="5"/>
  <c r="G82" i="5"/>
  <c r="F82" i="5"/>
  <c r="E82" i="5"/>
  <c r="D82" i="5"/>
  <c r="C82" i="5"/>
  <c r="B82" i="5"/>
  <c r="J81" i="5"/>
  <c r="I81" i="5"/>
  <c r="H81" i="5"/>
  <c r="G81" i="5"/>
  <c r="F81" i="5"/>
  <c r="E81" i="5"/>
  <c r="D81" i="5"/>
  <c r="C81" i="5"/>
  <c r="B81" i="5"/>
  <c r="J79" i="5"/>
  <c r="I79" i="5"/>
  <c r="H79" i="5"/>
  <c r="G79" i="5"/>
  <c r="F79" i="5"/>
  <c r="E79" i="5"/>
  <c r="D79" i="5"/>
  <c r="C79" i="5"/>
  <c r="B79" i="5"/>
  <c r="J78" i="5"/>
  <c r="I78" i="5"/>
  <c r="H78" i="5"/>
  <c r="G78" i="5"/>
  <c r="F78" i="5"/>
  <c r="E78" i="5"/>
  <c r="D78" i="5"/>
  <c r="C78" i="5"/>
  <c r="B78" i="5"/>
  <c r="J75" i="5"/>
  <c r="I75" i="5"/>
  <c r="H75" i="5"/>
  <c r="G75" i="5"/>
  <c r="F75" i="5"/>
  <c r="E75" i="5"/>
  <c r="D75" i="5"/>
  <c r="C75" i="5"/>
  <c r="B75" i="5"/>
  <c r="J74" i="5"/>
  <c r="I74" i="5"/>
  <c r="H74" i="5"/>
  <c r="G74" i="5"/>
  <c r="F74" i="5"/>
  <c r="E74" i="5"/>
  <c r="D74" i="5"/>
  <c r="C74" i="5"/>
  <c r="B74" i="5"/>
  <c r="J73" i="5"/>
  <c r="I73" i="5"/>
  <c r="H73" i="5"/>
  <c r="G73" i="5"/>
  <c r="F73" i="5"/>
  <c r="E73" i="5"/>
  <c r="D73" i="5"/>
  <c r="C73" i="5"/>
  <c r="B73" i="5"/>
  <c r="J71" i="5"/>
  <c r="I71" i="5"/>
  <c r="H71" i="5"/>
  <c r="G71" i="5"/>
  <c r="F71" i="5"/>
  <c r="E71" i="5"/>
  <c r="D71" i="5"/>
  <c r="C71" i="5"/>
  <c r="B71" i="5"/>
  <c r="I64" i="5"/>
  <c r="H64" i="5"/>
  <c r="G64" i="5"/>
  <c r="F64" i="5"/>
  <c r="E64" i="5"/>
  <c r="D64" i="5"/>
  <c r="C64" i="5"/>
  <c r="B64" i="5"/>
  <c r="I61" i="5"/>
  <c r="H61" i="5"/>
  <c r="G61" i="5"/>
  <c r="F61" i="5"/>
  <c r="E61" i="5"/>
  <c r="D61" i="5"/>
  <c r="C61" i="5"/>
  <c r="B61" i="5"/>
  <c r="I60" i="5"/>
  <c r="H60" i="5"/>
  <c r="G60" i="5"/>
  <c r="F60" i="5"/>
  <c r="E60" i="5"/>
  <c r="D60" i="5"/>
  <c r="C60" i="5"/>
  <c r="B60" i="5"/>
  <c r="I57" i="5"/>
  <c r="H57" i="5"/>
  <c r="G57" i="5"/>
  <c r="F57" i="5"/>
  <c r="E57" i="5"/>
  <c r="D57" i="5"/>
  <c r="C57" i="5"/>
  <c r="B57" i="5"/>
  <c r="I55" i="5"/>
  <c r="H55" i="5"/>
  <c r="G55" i="5"/>
  <c r="F55" i="5"/>
  <c r="E55" i="5"/>
  <c r="D55" i="5"/>
  <c r="C55" i="5"/>
  <c r="B55" i="5"/>
  <c r="I54" i="5"/>
  <c r="H54" i="5"/>
  <c r="G54" i="5"/>
  <c r="F54" i="5"/>
  <c r="E54" i="5"/>
  <c r="D54" i="5"/>
  <c r="C54" i="5"/>
  <c r="B54" i="5"/>
  <c r="I52" i="5"/>
  <c r="H52" i="5"/>
  <c r="G52" i="5"/>
  <c r="F52" i="5"/>
  <c r="E52" i="5"/>
  <c r="D52" i="5"/>
  <c r="C52" i="5"/>
  <c r="B52" i="5"/>
  <c r="H47" i="5"/>
  <c r="G47" i="5"/>
  <c r="F47" i="5"/>
  <c r="E47" i="5"/>
  <c r="D47" i="5"/>
  <c r="C47" i="5"/>
  <c r="B47" i="5"/>
  <c r="H46" i="5"/>
  <c r="G46" i="5"/>
  <c r="F46" i="5"/>
  <c r="E46" i="5"/>
  <c r="D46" i="5"/>
  <c r="C46" i="5"/>
  <c r="B46" i="5"/>
  <c r="H45" i="5"/>
  <c r="G45" i="5"/>
  <c r="F45" i="5"/>
  <c r="E45" i="5"/>
  <c r="D45" i="5"/>
  <c r="C45" i="5"/>
  <c r="B45" i="5"/>
  <c r="H44" i="5"/>
  <c r="G44" i="5"/>
  <c r="F44" i="5"/>
  <c r="E44" i="5"/>
  <c r="D44" i="5"/>
  <c r="C44" i="5"/>
  <c r="B44" i="5"/>
  <c r="H41" i="5"/>
  <c r="G41" i="5"/>
  <c r="F41" i="5"/>
  <c r="E41" i="5"/>
  <c r="D41" i="5"/>
  <c r="C41" i="5"/>
  <c r="B41" i="5"/>
  <c r="H40" i="5"/>
  <c r="G40" i="5"/>
  <c r="F40" i="5"/>
  <c r="E40" i="5"/>
  <c r="D40" i="5"/>
  <c r="C40" i="5"/>
  <c r="B40" i="5"/>
  <c r="H39" i="5"/>
  <c r="G39" i="5"/>
  <c r="F39" i="5"/>
  <c r="E39" i="5"/>
  <c r="D39" i="5"/>
  <c r="C39" i="5"/>
  <c r="B39" i="5"/>
  <c r="H38" i="5"/>
  <c r="G38" i="5"/>
  <c r="F38" i="5"/>
  <c r="E38" i="5"/>
  <c r="D38" i="5"/>
  <c r="C38" i="5"/>
  <c r="B38" i="5"/>
  <c r="H37" i="5"/>
  <c r="G37" i="5"/>
  <c r="F37" i="5"/>
  <c r="E37" i="5"/>
  <c r="D37" i="5"/>
  <c r="C37" i="5"/>
  <c r="B37" i="5"/>
  <c r="H35" i="5"/>
  <c r="G35" i="5"/>
  <c r="F35" i="5"/>
  <c r="E35" i="5"/>
  <c r="D35" i="5"/>
  <c r="C35" i="5"/>
  <c r="B35" i="5"/>
  <c r="H32" i="5"/>
  <c r="G32" i="5"/>
  <c r="F32" i="5"/>
  <c r="E32" i="5"/>
  <c r="D32" i="5"/>
  <c r="C32" i="5"/>
  <c r="B32" i="5"/>
  <c r="E3" i="4"/>
  <c r="B2" i="1"/>
  <c r="B3" i="1"/>
  <c r="B4" i="1"/>
  <c r="J21" i="5"/>
  <c r="H7" i="4"/>
  <c r="E21" i="4"/>
  <c r="E20" i="4"/>
  <c r="E19" i="4"/>
  <c r="E18" i="4"/>
  <c r="E17" i="4"/>
  <c r="E16" i="4"/>
  <c r="E15" i="4"/>
  <c r="E14" i="4"/>
  <c r="E13" i="4"/>
  <c r="E12" i="4"/>
  <c r="E11" i="4"/>
  <c r="E10" i="4"/>
  <c r="E9" i="4"/>
  <c r="E8" i="4"/>
  <c r="E7" i="4"/>
  <c r="E6" i="4"/>
  <c r="E5" i="4"/>
  <c r="E4" i="4"/>
  <c r="H21" i="4"/>
  <c r="G21" i="4"/>
  <c r="F21" i="4"/>
  <c r="H20" i="4"/>
  <c r="G20" i="4"/>
  <c r="F20" i="4"/>
  <c r="H19" i="4"/>
  <c r="G19" i="4"/>
  <c r="F19" i="4"/>
  <c r="H18" i="4"/>
  <c r="G18" i="4"/>
  <c r="F18" i="4"/>
  <c r="H17" i="4"/>
  <c r="G17" i="4"/>
  <c r="F17" i="4"/>
  <c r="H16" i="4"/>
  <c r="G16" i="4"/>
  <c r="F16" i="4"/>
  <c r="H15" i="4"/>
  <c r="G15" i="4"/>
  <c r="F15" i="4"/>
  <c r="H14" i="4"/>
  <c r="G14" i="4"/>
  <c r="F14" i="4"/>
  <c r="H13" i="4"/>
  <c r="G13" i="4"/>
  <c r="F13" i="4"/>
  <c r="H12" i="4"/>
  <c r="G12" i="4"/>
  <c r="F12" i="4"/>
  <c r="H11" i="4"/>
  <c r="G11" i="4"/>
  <c r="F11" i="4"/>
  <c r="H10" i="4"/>
  <c r="G10" i="4"/>
  <c r="F10" i="4"/>
  <c r="H9" i="4"/>
  <c r="G9" i="4"/>
  <c r="F9" i="4"/>
  <c r="H8" i="4"/>
  <c r="G8" i="4"/>
  <c r="F8" i="4"/>
  <c r="G7" i="4"/>
  <c r="F7" i="4"/>
  <c r="H6" i="4"/>
  <c r="G6" i="4"/>
  <c r="F6" i="4"/>
  <c r="H5" i="4"/>
  <c r="G5" i="4"/>
  <c r="F5" i="4"/>
  <c r="H4" i="4"/>
  <c r="G4" i="4"/>
  <c r="F4" i="4"/>
  <c r="H3" i="4"/>
  <c r="G3" i="4"/>
  <c r="F3" i="4"/>
  <c r="C3" i="4"/>
  <c r="B3" i="4"/>
  <c r="K3" i="4"/>
  <c r="K8" i="4"/>
  <c r="B11" i="4"/>
  <c r="C11" i="4"/>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K10" i="4" a="1"/>
  <c r="K10" i="4"/>
  <c r="K9" i="4"/>
  <c r="N10" i="4" a="1"/>
  <c r="N10" i="4"/>
  <c r="M10" i="4" a="1"/>
  <c r="M10" i="4"/>
  <c r="L10" i="4" a="1"/>
  <c r="L10" i="4"/>
  <c r="N9" i="4"/>
  <c r="M9" i="4"/>
  <c r="L9" i="4"/>
  <c r="N8" i="4"/>
  <c r="M8" i="4"/>
  <c r="L8" i="4"/>
  <c r="K5" i="4" a="1"/>
  <c r="K5" i="4"/>
  <c r="K4" i="4"/>
  <c r="N5" i="4" a="1"/>
  <c r="N5" i="4"/>
  <c r="M5" i="4" a="1"/>
  <c r="M5" i="4"/>
  <c r="L5" i="4" a="1"/>
  <c r="L5" i="4"/>
  <c r="N4" i="4"/>
  <c r="M4" i="4"/>
  <c r="L4" i="4"/>
  <c r="N3" i="4"/>
  <c r="M3" i="4"/>
  <c r="L3" i="4"/>
  <c r="C21" i="4"/>
  <c r="C20" i="4"/>
  <c r="C19" i="4"/>
  <c r="C18" i="4"/>
  <c r="C17" i="4"/>
  <c r="C16" i="4"/>
  <c r="C15" i="4"/>
  <c r="C14" i="4"/>
  <c r="C13" i="4"/>
  <c r="C12" i="4"/>
  <c r="C10" i="4"/>
  <c r="C9" i="4"/>
  <c r="C8" i="4"/>
  <c r="C7" i="4"/>
  <c r="C6" i="4"/>
  <c r="C5" i="4"/>
  <c r="C4" i="4"/>
  <c r="B16" i="4"/>
  <c r="B19" i="4"/>
  <c r="B12" i="4"/>
  <c r="B9" i="4"/>
  <c r="B21" i="4"/>
  <c r="B20" i="4"/>
  <c r="B18" i="4"/>
  <c r="B17" i="4"/>
  <c r="B15" i="4"/>
  <c r="B14" i="4"/>
  <c r="B13" i="4"/>
  <c r="B10" i="4"/>
  <c r="B8" i="4"/>
  <c r="B7" i="4"/>
  <c r="B6" i="4"/>
  <c r="B5" i="4"/>
  <c r="B4" i="4"/>
  <c r="F4" i="7"/>
  <c r="F3" i="7"/>
  <c r="F17" i="7"/>
  <c r="D16" i="4"/>
  <c r="K13" i="4"/>
  <c r="N20" i="7"/>
  <c r="C20" i="7"/>
  <c r="E6" i="7"/>
  <c r="F6" i="7"/>
  <c r="F11" i="7"/>
  <c r="F14" i="7"/>
  <c r="C13" i="7"/>
  <c r="C6" i="7"/>
  <c r="F15" i="7"/>
  <c r="E21" i="7"/>
  <c r="D3" i="4"/>
  <c r="E11" i="7"/>
  <c r="E5" i="7"/>
  <c r="F13" i="7"/>
  <c r="F7" i="7"/>
  <c r="C8" i="7"/>
  <c r="C14" i="7"/>
  <c r="C15" i="7"/>
  <c r="C19" i="7"/>
  <c r="C17" i="7"/>
  <c r="C4" i="7"/>
  <c r="C16" i="7"/>
  <c r="C12" i="7"/>
  <c r="E13" i="7"/>
  <c r="E12" i="7"/>
  <c r="E7" i="7"/>
  <c r="E10" i="7"/>
  <c r="E16" i="7"/>
  <c r="C10" i="7"/>
  <c r="C7" i="7"/>
  <c r="F12" i="7"/>
  <c r="F10" i="7"/>
  <c r="F16" i="7"/>
  <c r="E3" i="7"/>
  <c r="E19" i="7"/>
  <c r="E4" i="7"/>
  <c r="E17" i="7"/>
  <c r="D19" i="7"/>
  <c r="B5" i="7"/>
  <c r="B6" i="7"/>
  <c r="B20" i="7"/>
  <c r="B7" i="7"/>
  <c r="B14" i="7"/>
  <c r="B16" i="7"/>
  <c r="B11" i="7"/>
  <c r="B13" i="7"/>
  <c r="F21" i="5"/>
  <c r="D23" i="5"/>
  <c r="C23" i="5"/>
  <c r="E23" i="5"/>
  <c r="B5" i="1"/>
  <c r="F23" i="5"/>
  <c r="I23" i="5"/>
  <c r="G23" i="5"/>
  <c r="D21" i="5"/>
  <c r="B21" i="5"/>
  <c r="E21" i="5"/>
  <c r="H23" i="5"/>
  <c r="C21" i="5"/>
  <c r="G21" i="5"/>
  <c r="J23" i="5"/>
  <c r="H21" i="5"/>
  <c r="K21" i="5"/>
  <c r="N5" i="7"/>
  <c r="K23" i="5"/>
  <c r="B23" i="5"/>
  <c r="L23" i="5"/>
  <c r="L21" i="5"/>
  <c r="I21" i="5"/>
  <c r="J22" i="7"/>
  <c r="N22" i="7"/>
  <c r="I12" i="4"/>
  <c r="I16" i="4"/>
  <c r="N3" i="7"/>
  <c r="N4" i="7"/>
  <c r="B12" i="7"/>
  <c r="B17" i="7"/>
  <c r="B21" i="7"/>
  <c r="B10" i="7"/>
  <c r="B15" i="7"/>
  <c r="B8" i="7"/>
  <c r="B19" i="7"/>
  <c r="B4" i="7"/>
  <c r="I4" i="4"/>
  <c r="N8" i="7"/>
  <c r="N9" i="7"/>
  <c r="D10" i="4"/>
  <c r="I18" i="4"/>
  <c r="D13" i="4"/>
  <c r="D18" i="4"/>
  <c r="I8" i="4"/>
  <c r="I20" i="4"/>
  <c r="D12" i="4"/>
  <c r="D14" i="4"/>
  <c r="N10" i="7"/>
  <c r="L13" i="4"/>
  <c r="I14" i="4"/>
  <c r="D7" i="4"/>
  <c r="D17" i="4"/>
  <c r="O3" i="4"/>
  <c r="D5" i="4"/>
  <c r="O4" i="4"/>
  <c r="D19" i="4"/>
  <c r="I10" i="4"/>
  <c r="I6" i="4"/>
  <c r="D20" i="4"/>
  <c r="D8" i="4"/>
  <c r="O8" i="4"/>
  <c r="I3" i="4"/>
  <c r="I7" i="4"/>
  <c r="I11" i="4"/>
  <c r="I15" i="4"/>
  <c r="I19" i="4"/>
  <c r="O22" i="4"/>
  <c r="O9" i="4"/>
  <c r="D11" i="4"/>
  <c r="I13" i="4"/>
  <c r="I17" i="4"/>
  <c r="O20" i="4"/>
  <c r="D15" i="4"/>
  <c r="L14" i="4"/>
  <c r="I21" i="4"/>
  <c r="D4" i="4"/>
  <c r="D21" i="4"/>
  <c r="D9" i="4"/>
  <c r="I5" i="4"/>
  <c r="N14" i="4"/>
  <c r="M13" i="4"/>
  <c r="D6" i="4"/>
  <c r="O10" i="4"/>
  <c r="O5" i="4"/>
  <c r="M14" i="4"/>
  <c r="I9" i="4"/>
  <c r="N13" i="4"/>
  <c r="K14" i="4"/>
  <c r="G19" i="7"/>
  <c r="G12" i="7"/>
  <c r="G13" i="7"/>
  <c r="B6" i="1"/>
  <c r="O14" i="4"/>
  <c r="O15" i="4"/>
  <c r="K15" i="4"/>
  <c r="O13" i="4"/>
  <c r="N15" i="4"/>
  <c r="L15" i="4"/>
  <c r="M15" i="4"/>
  <c r="L63" i="5"/>
  <c r="G63" i="5"/>
  <c r="C63" i="5"/>
  <c r="F63" i="5"/>
  <c r="E63" i="5"/>
  <c r="D63" i="5"/>
  <c r="B63" i="5"/>
  <c r="J63" i="5"/>
  <c r="I63" i="5"/>
  <c r="K63" i="5"/>
  <c r="H63" i="5"/>
  <c r="B7" i="1"/>
  <c r="B8" i="1"/>
  <c r="B9" i="1"/>
  <c r="B10" i="1"/>
  <c r="L50" i="5"/>
  <c r="B11" i="1"/>
  <c r="D50" i="5"/>
  <c r="C50" i="5"/>
  <c r="B50" i="5"/>
  <c r="J50" i="5"/>
  <c r="I50" i="5"/>
  <c r="F50" i="5"/>
  <c r="H50" i="5"/>
  <c r="G50" i="5"/>
  <c r="K50" i="5"/>
  <c r="E50" i="5"/>
  <c r="B12" i="1"/>
  <c r="B13" i="1"/>
  <c r="J13" i="5"/>
  <c r="L13" i="5"/>
  <c r="G13" i="5"/>
  <c r="H13" i="5"/>
  <c r="K13" i="5"/>
  <c r="E13" i="5"/>
  <c r="B13" i="5"/>
  <c r="F13" i="5"/>
  <c r="C13" i="5"/>
  <c r="D13" i="5"/>
  <c r="I13" i="5"/>
  <c r="B14" i="1"/>
  <c r="B15" i="1"/>
  <c r="B16" i="1"/>
  <c r="L12" i="5"/>
  <c r="D12" i="5"/>
  <c r="E12" i="5"/>
  <c r="J12" i="5"/>
  <c r="F12" i="5"/>
  <c r="G12" i="5"/>
  <c r="H12" i="5"/>
  <c r="B12" i="5"/>
  <c r="K12" i="5"/>
  <c r="I12" i="5"/>
  <c r="B17" i="1"/>
  <c r="C12" i="5"/>
  <c r="B18" i="1"/>
  <c r="L66" i="5"/>
  <c r="E66" i="5"/>
  <c r="K66" i="5"/>
  <c r="B19" i="1"/>
  <c r="D66" i="5"/>
  <c r="C66" i="5"/>
  <c r="B66" i="5"/>
  <c r="I66" i="5"/>
  <c r="J66" i="5"/>
  <c r="H66" i="5"/>
  <c r="F66" i="5"/>
  <c r="G66" i="5"/>
  <c r="L80" i="5"/>
  <c r="J80" i="5"/>
  <c r="K80" i="5"/>
  <c r="B20" i="1"/>
  <c r="H80" i="5"/>
  <c r="G80" i="5"/>
  <c r="F80" i="5"/>
  <c r="D80" i="5"/>
  <c r="E80" i="5"/>
  <c r="C80" i="5"/>
  <c r="B80" i="5"/>
  <c r="I80" i="5"/>
  <c r="L26" i="5"/>
  <c r="F26" i="5"/>
  <c r="G26" i="5"/>
  <c r="B21" i="1"/>
  <c r="H26" i="5"/>
  <c r="I26" i="5"/>
  <c r="C26" i="5"/>
  <c r="J26" i="5"/>
  <c r="D26" i="5"/>
  <c r="K26" i="5"/>
  <c r="E26" i="5"/>
  <c r="B26" i="5"/>
  <c r="L25" i="5"/>
  <c r="J25" i="5"/>
  <c r="C25" i="5"/>
  <c r="E25" i="5"/>
  <c r="G25" i="5"/>
  <c r="K25" i="5"/>
  <c r="D25" i="5"/>
  <c r="B25" i="5"/>
  <c r="F25" i="5"/>
  <c r="I25" i="5"/>
  <c r="H25" i="5"/>
  <c r="L31" i="5"/>
  <c r="L30" i="5"/>
  <c r="J30" i="5"/>
  <c r="H31" i="5"/>
  <c r="C30" i="5"/>
  <c r="J31" i="5"/>
  <c r="D30" i="5"/>
  <c r="F30" i="5"/>
  <c r="B30" i="5"/>
  <c r="F31" i="5"/>
  <c r="B22" i="1"/>
  <c r="D31" i="5"/>
  <c r="H30" i="5"/>
  <c r="C31" i="5"/>
  <c r="B31" i="5"/>
  <c r="I30" i="5"/>
  <c r="E30" i="5"/>
  <c r="I31" i="5"/>
  <c r="G30" i="5"/>
  <c r="K30" i="5"/>
  <c r="G31" i="5"/>
  <c r="K31" i="5"/>
  <c r="E31" i="5"/>
  <c r="B23" i="1"/>
  <c r="L51" i="5"/>
  <c r="L53" i="5"/>
  <c r="G51" i="5"/>
  <c r="G53" i="5"/>
  <c r="J51" i="5"/>
  <c r="H53" i="5"/>
  <c r="H51" i="5"/>
  <c r="J53" i="5"/>
  <c r="I51" i="5"/>
  <c r="F51" i="5"/>
  <c r="D53" i="5"/>
  <c r="E51" i="5"/>
  <c r="E53" i="5"/>
  <c r="K51" i="5"/>
  <c r="C51" i="5"/>
  <c r="C53" i="5"/>
  <c r="K53" i="5"/>
  <c r="D51" i="5"/>
  <c r="F53" i="5"/>
  <c r="I53" i="5"/>
  <c r="B51" i="5"/>
  <c r="B53" i="5"/>
  <c r="B24" i="1"/>
  <c r="K83" i="5"/>
  <c r="F83" i="5"/>
  <c r="J83" i="5"/>
  <c r="H83" i="5"/>
  <c r="B83" i="5"/>
  <c r="L83" i="5"/>
  <c r="D83" i="5"/>
  <c r="I83" i="5"/>
  <c r="E83" i="5"/>
  <c r="G83" i="5"/>
  <c r="C83" i="5"/>
  <c r="B25" i="1"/>
  <c r="B26" i="1"/>
  <c r="B27" i="1"/>
  <c r="B28" i="1"/>
  <c r="B29" i="1"/>
  <c r="L43" i="5"/>
  <c r="J43" i="5"/>
  <c r="B30" i="1"/>
  <c r="G43" i="5"/>
  <c r="H43" i="5"/>
  <c r="C43" i="5"/>
  <c r="F43" i="5"/>
  <c r="I43" i="5"/>
  <c r="E43" i="5"/>
  <c r="D43" i="5"/>
  <c r="K43" i="5"/>
  <c r="B43" i="5"/>
  <c r="L67" i="5"/>
  <c r="K67" i="5"/>
  <c r="B31" i="1"/>
  <c r="F67" i="5"/>
  <c r="G67" i="5"/>
  <c r="E67" i="5"/>
  <c r="C67" i="5"/>
  <c r="D67" i="5"/>
  <c r="B67" i="5"/>
  <c r="I67" i="5"/>
  <c r="J67" i="5"/>
  <c r="H67" i="5"/>
  <c r="B32" i="1"/>
  <c r="B33" i="1"/>
  <c r="B34" i="1"/>
  <c r="L29" i="5"/>
  <c r="J29" i="5"/>
  <c r="D29" i="5"/>
  <c r="F29" i="5"/>
  <c r="H29" i="5"/>
  <c r="G29" i="5"/>
  <c r="B29" i="5"/>
  <c r="I29" i="5"/>
  <c r="E29" i="5"/>
  <c r="K29" i="5"/>
  <c r="C29" i="5"/>
  <c r="L58" i="5"/>
  <c r="L59" i="5"/>
  <c r="F59" i="5"/>
  <c r="F58" i="5"/>
  <c r="J58" i="5"/>
  <c r="C58" i="5"/>
  <c r="I59" i="5"/>
  <c r="J59" i="5"/>
  <c r="C59" i="5"/>
  <c r="E58" i="5"/>
  <c r="E59" i="5"/>
  <c r="B58" i="5"/>
  <c r="D59" i="5"/>
  <c r="H59" i="5"/>
  <c r="K59" i="5"/>
  <c r="K58" i="5"/>
  <c r="B59" i="5"/>
  <c r="B35" i="1"/>
  <c r="I58" i="5"/>
  <c r="D58" i="5"/>
  <c r="H58" i="5"/>
  <c r="G58" i="5"/>
  <c r="G59" i="5"/>
  <c r="L72" i="5"/>
  <c r="B36" i="1"/>
  <c r="I72" i="5"/>
  <c r="K72" i="5"/>
  <c r="H72" i="5"/>
  <c r="C72" i="5"/>
  <c r="D72" i="5"/>
  <c r="G72" i="5"/>
  <c r="F72" i="5"/>
  <c r="E72" i="5"/>
  <c r="B72" i="5"/>
  <c r="J72" i="5"/>
  <c r="B37" i="1"/>
  <c r="L14" i="5"/>
  <c r="D14" i="5"/>
  <c r="G14" i="5"/>
  <c r="E14" i="5"/>
  <c r="K14" i="5"/>
  <c r="J14" i="5"/>
  <c r="H14" i="5"/>
  <c r="B14" i="5"/>
  <c r="I14" i="5"/>
  <c r="F14" i="5"/>
  <c r="C14" i="5"/>
  <c r="B38" i="1"/>
  <c r="I34" i="5"/>
  <c r="E34" i="5"/>
  <c r="F34" i="5"/>
  <c r="L34" i="5"/>
  <c r="J34" i="5"/>
  <c r="B34" i="5"/>
  <c r="C34" i="5"/>
  <c r="D34" i="5"/>
  <c r="K34" i="5"/>
  <c r="G34" i="5"/>
  <c r="H34" i="5"/>
  <c r="L62" i="5"/>
  <c r="I62" i="5"/>
  <c r="K62" i="5"/>
  <c r="C62" i="5"/>
  <c r="J62" i="5"/>
  <c r="E62" i="5"/>
  <c r="G62" i="5"/>
  <c r="H62" i="5"/>
  <c r="F62" i="5"/>
  <c r="D62" i="5"/>
  <c r="B62" i="5"/>
  <c r="B39" i="1"/>
  <c r="L56" i="5"/>
  <c r="G56" i="5"/>
  <c r="D56" i="5"/>
  <c r="H56" i="5"/>
  <c r="C56" i="5"/>
  <c r="F56" i="5"/>
  <c r="K56" i="5"/>
  <c r="J56" i="5"/>
  <c r="I56" i="5"/>
  <c r="B56" i="5"/>
  <c r="E56" i="5"/>
  <c r="B40" i="1"/>
  <c r="J69" i="5"/>
  <c r="K69" i="5"/>
  <c r="I69" i="5"/>
  <c r="E69" i="5"/>
  <c r="L69" i="5"/>
  <c r="G69" i="5"/>
  <c r="F69" i="5"/>
  <c r="D69" i="5"/>
  <c r="B69" i="5"/>
  <c r="C69" i="5"/>
  <c r="H69" i="5"/>
  <c r="L70" i="5"/>
  <c r="K70" i="5"/>
  <c r="F70" i="5"/>
  <c r="C70" i="5"/>
  <c r="E70" i="5"/>
  <c r="J70" i="5"/>
  <c r="H70" i="5"/>
  <c r="B70" i="5"/>
  <c r="D70" i="5"/>
  <c r="G70" i="5"/>
  <c r="I70" i="5"/>
  <c r="L19" i="5"/>
  <c r="K19" i="5"/>
  <c r="B41" i="1"/>
  <c r="B19" i="5"/>
  <c r="C19" i="5"/>
  <c r="H19" i="5"/>
  <c r="D19" i="5"/>
  <c r="E19" i="5"/>
  <c r="F19" i="5"/>
  <c r="G19" i="5"/>
  <c r="J19" i="5"/>
  <c r="I19" i="5"/>
  <c r="L16" i="5"/>
  <c r="H16" i="5"/>
  <c r="C16" i="5"/>
  <c r="K16" i="5"/>
  <c r="F16" i="5"/>
  <c r="D16" i="5"/>
  <c r="B16" i="5"/>
  <c r="I16" i="5"/>
  <c r="J16" i="5"/>
  <c r="G16" i="5"/>
  <c r="E16" i="5"/>
  <c r="L42" i="5"/>
  <c r="J42" i="5"/>
  <c r="C42" i="5"/>
  <c r="B42" i="1"/>
  <c r="H42" i="5"/>
  <c r="G42" i="5"/>
  <c r="I42" i="5"/>
  <c r="F42" i="5"/>
  <c r="K42" i="5"/>
  <c r="E42" i="5"/>
  <c r="D42" i="5"/>
  <c r="B42" i="5"/>
  <c r="B43" i="1"/>
  <c r="L65" i="5"/>
  <c r="I65" i="5"/>
  <c r="E65" i="5"/>
  <c r="D65" i="5"/>
  <c r="B65" i="5"/>
  <c r="H65" i="5"/>
  <c r="C65" i="5"/>
  <c r="J65" i="5"/>
  <c r="K65" i="5"/>
  <c r="G65" i="5"/>
  <c r="F65" i="5"/>
  <c r="H49" i="5"/>
  <c r="J49" i="5"/>
  <c r="J4" i="5"/>
  <c r="B49" i="5"/>
  <c r="B4" i="5"/>
  <c r="C49" i="5"/>
  <c r="F49" i="5"/>
  <c r="I49" i="5"/>
  <c r="I4" i="5"/>
  <c r="L49" i="5"/>
  <c r="L4" i="5"/>
  <c r="K49" i="5"/>
  <c r="D49" i="5"/>
  <c r="D4" i="5"/>
  <c r="G49" i="5"/>
  <c r="E49" i="5"/>
  <c r="E4" i="5"/>
  <c r="C4" i="5"/>
  <c r="K4" i="5"/>
  <c r="G4" i="5"/>
  <c r="F4" i="5"/>
  <c r="H4" i="5"/>
  <c r="L77" i="5"/>
  <c r="L76" i="5"/>
  <c r="L5" i="5"/>
  <c r="F77" i="5"/>
  <c r="B77" i="5"/>
  <c r="E77" i="5"/>
  <c r="K77" i="5"/>
  <c r="C76" i="5"/>
  <c r="C5" i="5"/>
  <c r="B76" i="5"/>
  <c r="D77" i="5"/>
  <c r="I76" i="5"/>
  <c r="C77" i="5"/>
  <c r="K76" i="5"/>
  <c r="E76" i="5"/>
  <c r="D76" i="5"/>
  <c r="H77" i="5"/>
  <c r="J76" i="5"/>
  <c r="G76" i="5"/>
  <c r="H76" i="5"/>
  <c r="H5" i="5"/>
  <c r="J77" i="5"/>
  <c r="F76" i="5"/>
  <c r="F5" i="5"/>
  <c r="I77" i="5"/>
  <c r="G77" i="5"/>
  <c r="B44" i="1"/>
  <c r="G5" i="5"/>
  <c r="K5" i="5"/>
  <c r="B5" i="5"/>
  <c r="E5" i="5"/>
  <c r="J5" i="5"/>
  <c r="D5" i="5"/>
  <c r="B45" i="1"/>
  <c r="C10" i="5"/>
  <c r="F10" i="5"/>
  <c r="L10" i="5"/>
  <c r="K9" i="5"/>
  <c r="K2" i="5"/>
  <c r="J9" i="5"/>
  <c r="E10" i="5"/>
  <c r="G9" i="5"/>
  <c r="G10" i="5"/>
  <c r="L9" i="5"/>
  <c r="L2" i="5"/>
  <c r="B10" i="5"/>
  <c r="B2" i="5"/>
  <c r="F9" i="5"/>
  <c r="K10" i="5"/>
  <c r="D10" i="5"/>
  <c r="I9" i="5"/>
  <c r="J10" i="5"/>
  <c r="D9" i="5"/>
  <c r="H9" i="5"/>
  <c r="I10" i="5"/>
  <c r="H10" i="5"/>
  <c r="E9" i="5"/>
  <c r="I5" i="5"/>
  <c r="B46" i="1"/>
  <c r="B47" i="1"/>
  <c r="B48" i="1"/>
  <c r="B49" i="1"/>
  <c r="B50" i="1"/>
  <c r="B51" i="1"/>
  <c r="B52" i="1"/>
  <c r="B53" i="1"/>
  <c r="B54" i="1"/>
  <c r="B55" i="1"/>
  <c r="B56" i="1"/>
  <c r="C9" i="5"/>
  <c r="D2" i="5"/>
  <c r="C2" i="5"/>
  <c r="H2" i="5"/>
  <c r="J2" i="5"/>
  <c r="G2" i="5"/>
  <c r="E2" i="5"/>
  <c r="F2" i="5"/>
  <c r="I2" i="5"/>
  <c r="L33" i="5"/>
  <c r="F33" i="5"/>
  <c r="I33" i="5"/>
  <c r="K33" i="5"/>
  <c r="H33" i="5"/>
  <c r="B33" i="5"/>
  <c r="D33" i="5"/>
  <c r="C33" i="5"/>
  <c r="G33" i="5"/>
  <c r="J33" i="5"/>
  <c r="E33" i="5"/>
  <c r="L36" i="5"/>
  <c r="J36" i="5"/>
  <c r="B36" i="5"/>
  <c r="C36" i="5"/>
  <c r="I36" i="5"/>
  <c r="I3" i="5"/>
  <c r="E36" i="5"/>
  <c r="D36" i="5"/>
  <c r="H36" i="5"/>
  <c r="H3" i="5"/>
  <c r="K36" i="5"/>
  <c r="F36" i="5"/>
  <c r="F3" i="5"/>
  <c r="G36" i="5"/>
  <c r="L3" i="5"/>
  <c r="C3" i="5"/>
  <c r="K3" i="5"/>
  <c r="D3" i="5"/>
  <c r="B3" i="5"/>
  <c r="E3" i="5"/>
  <c r="J3" i="5"/>
  <c r="G3" i="5"/>
  <c r="C6" i="6"/>
  <c r="C7" i="6"/>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D18" i="7" l="1"/>
  <c r="D11" i="7"/>
  <c r="G11" i="7" s="1"/>
  <c r="D5" i="7"/>
  <c r="G5" i="7" s="1"/>
  <c r="D4" i="7"/>
  <c r="G4" i="7" s="1"/>
  <c r="D7" i="7"/>
  <c r="G7" i="7" s="1"/>
  <c r="D3" i="7"/>
  <c r="D16" i="7"/>
  <c r="G16" i="7" s="1"/>
  <c r="D10" i="7"/>
  <c r="G10" i="7" s="1"/>
  <c r="D8" i="7"/>
  <c r="G8" i="7" s="1"/>
  <c r="B3" i="7"/>
  <c r="D9" i="7"/>
  <c r="G9" i="7" s="1"/>
  <c r="D6" i="7"/>
  <c r="G6" i="7" s="1"/>
  <c r="C143" i="6"/>
  <c r="C144" i="6" s="1"/>
  <c r="C145" i="6" s="1"/>
  <c r="C146" i="6" s="1"/>
  <c r="C147" i="6" s="1"/>
  <c r="C148" i="6" s="1"/>
  <c r="C149" i="6" s="1"/>
  <c r="C150" i="6" s="1"/>
  <c r="C151" i="6" s="1"/>
  <c r="C152" i="6" s="1"/>
  <c r="C153" i="6" s="1"/>
  <c r="C154" i="6" s="1"/>
  <c r="C155" i="6" s="1"/>
  <c r="C156" i="6"/>
  <c r="G21" i="7"/>
  <c r="E15" i="7"/>
  <c r="G15" i="7" s="1"/>
  <c r="E14" i="7"/>
  <c r="E22" i="7"/>
  <c r="G22" i="7" s="1"/>
  <c r="B22" i="7"/>
  <c r="F20" i="7"/>
  <c r="F18" i="7"/>
  <c r="E18" i="7"/>
  <c r="E20" i="7"/>
  <c r="D20" i="7"/>
  <c r="G20" i="7" s="1"/>
  <c r="B18" i="7"/>
  <c r="C3" i="7"/>
  <c r="G17" i="7"/>
  <c r="K13" i="7"/>
  <c r="B23" i="7" a="1"/>
  <c r="B23" i="7" s="1"/>
  <c r="J13" i="7" l="1"/>
  <c r="G3" i="7"/>
  <c r="D23" i="7" a="1"/>
  <c r="D23" i="7" s="1"/>
  <c r="J14" i="7"/>
  <c r="C23" i="7" a="1"/>
  <c r="C23" i="7" s="1"/>
  <c r="M13" i="7"/>
  <c r="F23" i="7" a="1"/>
  <c r="F23" i="7" s="1"/>
  <c r="E23" i="7" a="1"/>
  <c r="E23" i="7" s="1"/>
  <c r="L13" i="7"/>
  <c r="O13" i="7" a="1"/>
  <c r="O13" i="7" s="1"/>
  <c r="O14" i="7"/>
  <c r="K14" i="7"/>
  <c r="M14" i="7"/>
  <c r="G18" i="7"/>
  <c r="G14" i="7"/>
  <c r="L14" i="7"/>
  <c r="K15" i="7" l="1"/>
  <c r="L15" i="7"/>
  <c r="M15" i="7"/>
  <c r="O15" i="7"/>
  <c r="N15" i="7"/>
  <c r="J15" i="7"/>
  <c r="N14" i="7"/>
  <c r="N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<sst xmlns="http://schemas.openxmlformats.org/spreadsheetml/2006/main" count="1503" uniqueCount="611">
  <si>
    <t>Nr.</t>
  </si>
  <si>
    <t>Rnd</t>
  </si>
  <si>
    <t>Datum</t>
  </si>
  <si>
    <t>Meister</t>
  </si>
  <si>
    <t>Film</t>
  </si>
  <si>
    <t>Jaar</t>
  </si>
  <si>
    <t>Genre</t>
  </si>
  <si>
    <t>Optioneel genre</t>
  </si>
  <si>
    <t>Tijdsduur in min</t>
  </si>
  <si>
    <t>Al gezien?</t>
  </si>
  <si>
    <t>Democratisch</t>
  </si>
  <si>
    <t>Tenet</t>
  </si>
  <si>
    <t>Action</t>
  </si>
  <si>
    <t>Thriller</t>
  </si>
  <si>
    <t>Nee</t>
  </si>
  <si>
    <t>South Park pandemic special</t>
  </si>
  <si>
    <t>Animation</t>
  </si>
  <si>
    <t>Comedy</t>
  </si>
  <si>
    <t>Rick</t>
  </si>
  <si>
    <t>12 Monkies</t>
  </si>
  <si>
    <t>Mystery</t>
  </si>
  <si>
    <t>Sci-Fi</t>
  </si>
  <si>
    <t>Ja</t>
  </si>
  <si>
    <t>Berend</t>
  </si>
  <si>
    <t>The Devil All The Time</t>
  </si>
  <si>
    <t>Crime</t>
  </si>
  <si>
    <t>Drama</t>
  </si>
  <si>
    <t>Joris</t>
  </si>
  <si>
    <t>Battleship</t>
  </si>
  <si>
    <t>Jan</t>
  </si>
  <si>
    <t>Mr. Nobody</t>
  </si>
  <si>
    <t>Parasite</t>
  </si>
  <si>
    <t>Zodiac</t>
  </si>
  <si>
    <t>The Secret Life of Walter Mitty</t>
  </si>
  <si>
    <t>Adventure</t>
  </si>
  <si>
    <t>Blade Runner 1982</t>
  </si>
  <si>
    <t>Swiss Army Man</t>
  </si>
  <si>
    <t>Lock, Stock and Two Smoking Barrels</t>
  </si>
  <si>
    <t>The Mitchells Versus The Machines</t>
  </si>
  <si>
    <t>Total Recall</t>
  </si>
  <si>
    <t>Judas and the Black Messiah</t>
  </si>
  <si>
    <t>Biography</t>
  </si>
  <si>
    <t>Bo Burnham: Inside</t>
  </si>
  <si>
    <t>Red Dawn 2012</t>
  </si>
  <si>
    <t>War</t>
  </si>
  <si>
    <t>Once</t>
  </si>
  <si>
    <t>Music</t>
  </si>
  <si>
    <t>De Oost</t>
  </si>
  <si>
    <t>The Penguins of Madagascar</t>
  </si>
  <si>
    <t>Family Guy - Star Wars thrilogy</t>
  </si>
  <si>
    <t>Edge of Tomorrow</t>
  </si>
  <si>
    <t>13 Assassins</t>
  </si>
  <si>
    <t>Buster's Mal Heart</t>
  </si>
  <si>
    <t>Argo</t>
  </si>
  <si>
    <t>Blade Runner 2049</t>
  </si>
  <si>
    <t>Andhadhun</t>
  </si>
  <si>
    <t>Upgrade</t>
  </si>
  <si>
    <t>The Magnificent Seven</t>
  </si>
  <si>
    <t>Western</t>
  </si>
  <si>
    <t>Dune</t>
  </si>
  <si>
    <t>James Bond Casino Royale</t>
  </si>
  <si>
    <t>Sicario</t>
  </si>
  <si>
    <t>Fantasy</t>
  </si>
  <si>
    <t>Horror</t>
  </si>
  <si>
    <t>Hidden Figures</t>
  </si>
  <si>
    <t>Prisoners</t>
  </si>
  <si>
    <t>Drive</t>
  </si>
  <si>
    <t>Titanic</t>
  </si>
  <si>
    <t>Romance</t>
  </si>
  <si>
    <t>The Velocipastor</t>
  </si>
  <si>
    <t>Last Night in Soho</t>
  </si>
  <si>
    <t>Good Will Hunting</t>
  </si>
  <si>
    <t>Die Hard</t>
  </si>
  <si>
    <t>It's a Wonderfull Life</t>
  </si>
  <si>
    <t>Family</t>
  </si>
  <si>
    <t>Free Guy</t>
  </si>
  <si>
    <t>The French Dispatch</t>
  </si>
  <si>
    <t>Airplane!</t>
  </si>
  <si>
    <t>Guns Akimbo</t>
  </si>
  <si>
    <t>The Last Duel</t>
  </si>
  <si>
    <t>What's My Name: Muhammad Ali</t>
  </si>
  <si>
    <t>Documentary</t>
  </si>
  <si>
    <t>Jojo Rabbit</t>
  </si>
  <si>
    <t>Mirrors</t>
  </si>
  <si>
    <t>The Green Knight</t>
  </si>
  <si>
    <t>TT_Code</t>
  </si>
  <si>
    <t>Jaar2</t>
  </si>
  <si>
    <t>Genres</t>
  </si>
  <si>
    <t>Weging</t>
  </si>
  <si>
    <t>Tags</t>
  </si>
  <si>
    <t>Score</t>
  </si>
  <si>
    <t>Dag</t>
  </si>
  <si>
    <t>tt6723592</t>
  </si>
  <si>
    <t>['Action', 'Sci-Fi', 'Thriller']</t>
  </si>
  <si>
    <t>['time paradox', 'time reversal', 'car chase', 'espionage', 'bearded man', 'car crash', 'swat team', 'spy', 'written by director', 'produced by director', 'title spoken by character', 'terrorist attack', 'symphony hall', 'terrorism', 'propaganda', 'teamwork', 'gunfire', 'ambigram title', 'gun', 'skyscraper', 'silencer', 'train', 'time travel', 'wind farm', 'sea', 'norway', 'airport', 'repeated scene from a different perspective', 'final battle', 'saving the world mission', 'bootstrap paradox', 'driving in reverse', 'reverse entropy', 'temporal pincer movement', 'temporal agent', 'tactical team', 'palindrome as title', 'cheese grater used as weapon', 'face scraped with cheese grater', 'repeated scene', 'multiple versions of same scene', 'end of the world', 'title at the end', 'rescue', 'american propaganda', 'imperialist propaganda', 'surprise ending', 'ship', 'india', 'death', 'one word title', 'neo noir', 'surrealism', 'russian', 'hand to hand combat', 'mission', 'airplane', 'airplane crash', 'time rewind', 'mass murder', 'auditorium', 'explosion', 'wind turbine', 'boat', 'yacht', 'bullet', 'backwards time travel', 'goya painting', 'terrorist', 'final showdown', 'saving the world', 'suspense', 'electronic music score', 'apocalypse', 'no opening credits', 'altered version of studio logo', 'epic', 'blockbuster', 'opening action scene', 'bravery', 'man with no name', 'mysterious man', 'time loop', 'grandfather paradox', 'world ending time paradox', 'entropy', 'time', 'epic battle', 'spy mission', 'courage', 'showdown', 'god complex', 'sociopath', 'megalomaniac', 'intelligence officer', 'mass murderer', 'secret agent', 'spy hero', 'henchman', 'bodyguard', 'hero', 'fight with self', 'fistfight', 'fight', 'brawl', 'martial arts', 'mixed martial arts', 'heroism', 'violence', 'action hero', 'tough guy', 'warrior', 'american abroad', 'american in the uk', 'englishman', 'englishwoman', 'englishman abroad', 'englishwoman abroad', 'murder', 'brutality', 'mercilessness', 'kidnapping', 'hostage', 'held at gunpoint', 'escape', 'deception', 'betrayal', 'double cross', 'blood', 'chase', 'bullet wound', 'death threat', 'interrogation', 'forgery', 'fake painting', 'painting', 'art dealer', 'art gallery', 'montage', 'gunfight', 'shootout', 'street shootout', 'battle', 'battlefield', 'gun battle', 'punched in the chest', 'punched in the face', 'kicked in the stomach', 'hit in the face', 'beating', 'exploding car', 'car accident', 'car rollover', 'overturning car', 'car set on fire', 'fire', 'cigarette lighter', 'exploding building', 'collapsing building', 'suicide pill', 'terrorist group', 'sailboat', 'terrorist plot', 'opera house', 'ferry', 'disguise', 'undercover', 'undercover agent', 'fake drunkenness', 'cia agent', 'fade to black', 'subtitled scene', 'thrown from a boat', 'speedboat', 'kitchen', 'corpse', 'wife kills husband', 'woman kills a man', 'shot in the back', 'sunscreen', 'shot in the chest', 'jumping from a car', 'blockade', 'scar', 'domestic abuse', 'abusive husband', 'blackmail', 'manipulation', 'anger', 'revenge', 'restaurant', 'fear', 'danger', 'attempted murder', 'near death experience', 'race against time', 'survival', 'black hero', 'shooting range', 'police car', '18 wheeler', 'truck', 'fire truck', 'ambulance', 'walkie talkie', 'cell phone', 'indian', 'mumbai india', 'london england', 'oslo norway', 'kiev ukraine', 'abandoned city', 'siberia', 'military', 'army', 'soldier', 'mercenary', 'special forces', 'female soldier', 'female mercenary', 'commando', 'commando unit', 'commando mission', 'commando raid', 'hostage situation', 'impersonating a police officer', 'post cold war', 'plutonium', 'algorithm', 'technology', 'experimental technology', 'bomb', 'grenade', 'airplane pilot', 'rope', 'arms dealer', 'female arms dealer', 'husband wife relationship', 'mother son relationship', 'father son relationship', 'cockney accent', 'british soldier', 'tracking device', 'pilot', 'security guard', 'surveillance', 'sabotage', 'airplane accident', 'airplane hijacking', 'hostile takeover', 'sleeping gas', 'knocked out', 'knocked out with a gun butt', 'bungee jumping', 'hotel room', 'pistol', 'pistol whipped', 'reference to the manhattan project', 'machine gun', 'ak 47', 'assault rifle', 'bazooka', 'helicopter', 'shipping container', 'wristwatch', 'time machine', 'eavesdropping', "spitting in someone's face", 'man slaps a woman', 'face slap', 'armored car', 'helmet', 'oxygen mask', 'gas mask', 'masked man', 'climate change', 'investigation', 'alternate timeline', 'van', 'bulletproof vest', 'police raid', 'revelation', "dead man's switch", 'terminal illness', 'cancer', 'flare gun', 'tunnel', 'tripwire', 'booby trap', 'changing the past', 'time traveler', 'little boy', 'altering the past', 'nuclear weapons', 'reference to j robert oppenheimer', 'nuclear technology', 'seeing past self', 'time inversion', 'beaten to death', 'bus', 'gold', 'gold bar', 'ambush', 'apartment', 'aerial camera shot', 'red light', 'billionaire', 'thug', 'suspicion', 'false accusation', 'destruction', 'philosophy', 'moral dilemma', 'world war three', 'woman in jeopardy', 'wife beater', 'damsel in distress', 'warehouse', 'cargo ship', 'time manipulation', 'quantum physics', 'physics', 'science', 'slow motion scene', 'new age', 'oligarch', 'russian oligarch', 'suitcase', 'power outage', 'fire ladder', 'altering the future', 'changing the future', 'scientist', 'female scientist', 'symphony', 'car wreck', 'firefighter', 'ladder', 'sit ups', 'siege', 'mathematics', 'narcissist', 'evil man', 'good versus evil', 'power', 'kitchen fight', 'seeing the future', 'improvised weapon', 'falling down stairs', 'key', 'lockpick', 'suffocation', 'chloroform', 'metal detector', 'tour', 'screaming', 'abusive relationship', 'assassin', 'assassination attempt', 'flashback', 'radiation', 'radiation poisoning', 'radiation sickness', 'revolving door', 'alternate reality', 'husband wife estrangement', 'tied to a chair', 'despair', 'tied up', 'hatred', 'drawing', 'clock', 'paranoia', 'fight to the death', 'gunshot wound', 'running up a building', 'kicked in the face', 'top secret', 'explosive', 'hijacking', 'vault', 'dysfunctional marriage', 'disarming someone', 'truck driver', 'camera', 'target practice', 'bullet catching', 'crushed to death', 'map', 'product placement', 'fictional war', 'fictional spy agency', 'poetic justice', 'man kills a woman', 'cover up', 'tallinn estonia', 'hypothermia', 'ice', 'younger version of character', 'hypodermic needle', 'injection', 'offscreen killing', 'suicidal', 'vietnam', 'newspaper headline', 'cameo', 'hazmat suit', 'parking garage', 'arrow of time', 't symmetry', 'time bomb', 'male protagonist', 'nuclear radiation', 'head butt', 'alley', 'knife', 'threatened with a knife', 'waking up from a coma', 'female time traveler', 'male time traveler', 'fowards time travel', 'artifact', 'back from the dead', 'resurrection', 'psychotronic film', 'movie flop', 'cia central intelligence agency', 'butterfly effect', 'train yard', 'countdown timer', 'duct taped to a chair', 'waking up in a hospital', 'reference to brooks brothers', 'reference to francisco goya', 'free port', 'forged painting', 'techno thriller', 'tall woman', 'reverse', 'nameless protagonist', 'nameless character', 'shot to death', 'goya', "character repeats someone else's dialogue", 'moscow theater hostage crisis', 'knock out gas', 'sleeper hold', 'man changing clothes', 'railyard', 'freight train', 'fake suicide capsule', 'loyalty test', 'inverted bullet', 'impersonating a billionaire', 'art authenticator', 'boeing 747 freighter', 'boeing 747 crash', 'fire engine', 'tooth pulled', 'climbing between moving vehicles', 'pull ups', 'plutonium 241', 'mil mi 8 hip helicopter', 'time capsule', 'man hits woman', 'boxed in', 'repeated scene shown in reverse', 'dead man switch', 'ch 47 chinook helicopter', 'md 600 helicopter', 't s eliot quotation', 'woman wearing a bikini', 'diving off a boat', 'spy action', 'time travel sci fi', 'timeframe 2020s', 'postmodern', 'pancreatic cancer', 'reference to suicide', 'diving into water', 'dying man', 'windmill', 'one against many', 'two man army', 'torture', 'die hard scenario', 'babe scientist', 'actor shares first name with character']</t>
  </si>
  <si>
    <t>tt10965110</t>
  </si>
  <si>
    <t>South Park Pandemic Special</t>
  </si>
  <si>
    <t>['Animation', 'Comedy']</t>
  </si>
  <si>
    <t>['reference to disney', 'reference to donald trump', 'reference to the coronavirus', 'reference to joe biden', 'reference to china', 'covid 19', 'covid 19 outbreak in the us', 'global pandemic', 'marijuana farm', 'anthony fauci character', 'male rear nudity', 'grim reaper character', 'graphic bestiality', 'graphic bestiality rape', 'bestiality rape', 'man has sex with an animal', 'anthropomorphic bestiality', 'pangolin', 'anthropomorphic mouse', 'racist president', 'anthropomorphic animal has sex with an animal', 'child murdered', 'wearing a face mask', 'wearing a face mask over the chin', 'mutation', 'flame thrower', 'burned by a flame thrower', 'evil president', 'murderous president', 'bat the animal', 'scientist killed', 'social distancing', 'man masturbating', 'male masturbation', 'pot dealer', 'patient zero', 'viral outbreak', 'ingesting semen', 'unknowingly spreading a disease', 'racist police', 'child shot', 'pandemic']</t>
  </si>
  <si>
    <t>tt0114746</t>
  </si>
  <si>
    <t>['Mystery', 'Sci-Fi', 'Thriller']</t>
  </si>
  <si>
    <t>['time travel', 'virus', 'mental institution', 'plague', 'underground', 'epidemic', 'psychiatrist', 'future', 'ecoterrorism', 'psychiatric hospital', 'madness', 'bald man', 'psychiatric disorder', 'time traveler', 'kidnapping', 'year 1996', 'recurring dream', 'year 1917', 'year 1990', 'reference to cassandra', 'stockholm syndrome', 'pantyhose', 'activism', 'time loop', 'alternate timeline', 'alternate reality', 'public nudity', 'alternate history', 'altering history', 'remake', 'remake of french film', 'volunteer', 'black pantyhose', 'nude pantyhose', 'dystopia', 'animal in title', 'male time traveler', 'brunette woman', 'white coat', 'smoking man', 'black and white television', 'long haired woman', 'sanatorium', 'tattoo on head', 'feather', 'gurney', 'solitary', 'solitary confinement', 'airport terminal', 'airport personnel', 'airport police', 'gun in airport', 'airport security checkpoint', 'reduced sentence', 'steam', 'musket', 'presentation', 'book of revelations', 'soothsayer', 'foreknowledge', 'crying woman', 'tears', 'cry wolf', 'vending machine', 'car radio', 'listening to a car radio', 'listening to music on a car radio', 'listening to car radio', 'listening to music on car radio', 'country road', 'bumper sticker', 'reference to dr strangelove', 'ponytail', 'fire place', 'running through the woods', 'clearing in wood', 'tv rabbit ears', 'rabbit ear antenna', 'mine shaft', 'poor neighborhood', 'disembodied voice', 'white telephone', 'animal welfare', 'newspaper covered window', 'hotel reception', 'elevator malfunction', 'cleavage', 'public transit', 'city bus', 'department store', 'hawaiian shirt', 'woods', 'running', 'thumbs up gesture', 'watching tv', 'taxi', 'psychotronic film', 'steampunk', 'agonizing', 'reference to woody woodpecker', 'bare chested male bondage', 'man uses a wheelchair', 'man punches a woman', 'time machine', 'backwards time travel', 'fowards time travel', 'spiderweb', 'two word title', 'multiple timelines', 'stelazine', 'stuck in a well', 'telephone as a weapon', 'teeth', 'car', 'automobile', 'us car', 'ford', 'ford motor vehicle', 'ford car', 'ford ltd crown victoria', 'british car', 'jaguar motor vehicle', 'jaguar car', 'jaguar the car', 'jaguar xj6', 'male police officer', 'police officer', 'forced drug use', 'timeframe 1910s', 'timeframe 1990s', 'dystopian sci fi', 'time travel sci fi', 'steampunk sci fi', '1910s', 'male full rear nudity', 'kicked in the face', 'male nudity', 'talking to oneself', 'monkey', 'animal', 'mental illness', 'past', 'murder', 'disease', 'animal rights', 'bad guys win', 'slow motion action scene', 'long barreled revolver', 'newspaper', 'public restroom', 'wearing sunglasses indoors', 'kidnapping of father', 'wanted poster', 'pay phone', 'imitating an ape', 'imagination', 'fake mustache', 'depopulation', 'reference to albert einstein', 'tooth', 'police surveillance', 'psychiatric care', 'cockroach', 'grizzly bear', 'newspaper headline', 'lab animal', 'decontamination', 'disguise', 'asylum', 'medical research', 'mri', 'homeless man', 'pulling tooth', 'lab rabbit', 'dutch angle', 'wig', 'biblical quote', 'reference to harry houdini', 'trench warfare', 'sedative', 'animal rights activist', 'slow motion scene', 'environment', 'haunted by the past', 'watching a movie', 'virologist', 'tv news', 'trapped', 'trapped inside a pipe', 'tiger', 'tied to a bed', 'telephone call', 'taxi driver', 'street life', 'stream', 'stairway', 'spray paint', 'speech', 'spacesuit', 'snow', 'shooting', 'secret', 'secret army', 'science', 'santa claus suit', 'revolver', 'recording', 'pursuit', 'psycho ward', 'prisoner', 'prison cell', 'prank', 'police', 'police van', 'pillow feathers', 'party', 'obscene finger gesture', 'nightmare', 'mental ward', 'leopard', 'lecture', 'laboratory', 'jail', 'jail cell', 'insane asylum', 'hospital', 'hobo', 'hiding in a barn', 'gun', 'germ', 'fresno california', 'florida keys', 'flashback within a flashback', 'falling down stairs', 'elevator', 'elephant', 'eating spider', 'drug use', 'dream', 'dormitory', 'doomsday', 'dinner', 'cross', 'christmas', 'chase', 'chains', 'cell phone', 'cassandra complex', 'cartoon on tv', 'bum', 'boy', 'blood', 'barn', 'animal noises', 'person in a car trunk', 'male female relationship', 'older version of self', "child's point of view", 'obsession', 'mistaken identity', 'mental breakdown', 'surrealism', 'post apocalypse', 'flashback', 'battle', 'real movie shown in fictional situation', 'street preacher', 'pandemic', 'memory', 'lazy eye', 'sadness', 'shot to death', 'shot in the leg', 'shot in the back', 'lion', 'gas mask', 'spider', 'seedy motel', 'red eyes', 'drooling', 'activist', 'bare butt', 'tango music', 'nuevo tango', 'psychosis', 'giraffe', 'bullet', 'beaten to death', 'bear', 'mooning', 'paranoia', 'violence', 'desolation', 'black comedy', 'key', 'microbiologist', 'cult film', 'rescue', 'therapist', 'pardon', 'prison', 'metal detector', 'voice mail', 'banquet', 'fugitive', 'airplane', 'baltimore maryland', 'deja vu', 'zoo', 'axe', 'father son relationship', 'nonlinear timeline', 'based on short film', 'graffiti', 'hearing voices', 'pimp', 'insanity', 'tooth extraction', 'shower', 'biological research', 'endless loop', 'movie theater', 'airport', 'biological weapon', 'eating insect', 'paradox', 'death', 'abandoned theater', 'vivisection', 'escaped animal', 'philadelphia pennsylvania', 'escaped mental patient', 'crotch grab', 'wheelchair', 'auto theft', 'sanitarium', 'contamination suit', 'flophouse', 'psychology', 'subterranean', 'hit in the crotch', 'skid row', 'self dentistry', 'title spoken by character', 'surprise ending', 'trippy', 'bad breath', 'world war one']</t>
  </si>
  <si>
    <t>tt7395114</t>
  </si>
  <si>
    <t>['Crime', 'Drama', 'Thriller']</t>
  </si>
  <si>
    <t>['male full frontal nudity', 'luger', 'erection', 'fellatio', 'neo noir', 'male rear nudity', 'evil', 'post war', 'hitch hiking', 'negative film', 'abused', 'cross', 'grave site', 'solomon islands', 'dog tags', 'riding a bus', 'flashback', 'war scene', 'coffee', 'reference to adolf hitler', 'guitar', 'singing', 'singing in church', 'church', 'church sermon', 'spiders', 'black eye', 'poachers', 'beating someone up', 'cancer', 'house call', 'doctor', 'praying', 'eating a pie', 'narrator', 'death of a parent', 'hand job', 'baby', 'flashlight', 'wet stone', 'wheelchair', 'stabbed in the neck', 'shot to death', 'shot in the head', 'west virginia', 'hand gun', 'present', 'birthday present', 'step sister', 'step brother', "bag over someone's head", 'step brother step sister relationship', 'father son relationship', 'cursing', 'reference to ava gardner', 'raining', 'running in the rain', 'camera', 'picnic', 'singing along with the radio', 'motel', 'photographing a crime scene', 'puking', 'throwing up', 'sick in bed', 'suicide', 'hanging', 'funeral', 'casket', 'cemetery', 'pregnant', 'sex in a car', 'confession', 'held at gun point', 'hitchhiking', 'reference to chicago illinois', 'road map', 'lighting a cigarette', 'death of sister', 'photographic negative', 'erotic photograph', 'destroying evidence', 'walking in the woods', 'reference to cincinnati', 'bib overalls', 'male frontal nudity', 'male nudity', 'suicide by hanging', 'suicide of father', 'suicide of daughter', 'scene of the crime', 'boy', 'f word', 'blow job', 'murder', 'blood', 'psycho', 'weirdo', 'spider', 'preacher', 'sex in car', 'pervert', 'double homicide', 'male objectification', 'gunshot', 'cigarette smoking', 'cigarette', 'psychological thriller', 'netflix original', 'world war two', 'world war', '1950s', 'year 1950', 'year 1957', '1960s', 'year 1965', 'timeframe 1940s', 'death of father', 'death of mother', 'based on novel', 'death after sex']</t>
  </si>
  <si>
    <t>tt1440129</t>
  </si>
  <si>
    <t>['Action', 'Adventure', 'Sci-Fi', 'Thriller']</t>
  </si>
  <si>
    <t>['alien', 'battleship', 'alien invasion', 'wargames', 'based on board game', 'oahu hawaii', 'lens flare', 'hawaii', 'ddg 102 uss sampson guided missile destroyer', 'male commanding officer', 'taser pistol', 'japan country flag', 'commanding officer', 'extraterrestrial alien', 'cctv video footage', 'tasered', 'kicked in the face', 'soccer goalkeeper', 'pickup truck', 'navy veteran', 'tasered in the back', 'extraterrestrial', 'male lieutenant', 'goalkeeper', 'missing a penalty kick', 'ford pickup truck', 'japanese captain', 'reference to the terminator', 'female sailor', 'naval commander', 'ford f250 pickup truck', 'male captain', 'scoring a goal', 'salute', 'naval admiral', 'reference to kentucky fried chicken', 'male commander', 'military salute', 'female physical therapist', 'male admiral', 'naval destroyer', 'weapons officer', 'double amputee', 'reflection in a mirror', 'naval war game', 'reference to mike tyson', 'male officer', 'doctor', 'pentagon building', 'three member team', 'view through binoculars', 'warning shot', 'naval petty officer', 'massive explosion', 'targeting screen', 'sheriff jeep', 'petty officer', 'bearded man', 'alien attack', 'baseball game', 'jeep', 'female petty officer', 'naval warship', 'weapons fire', 'japanese warship', 'loss of brother', 'us navy petty officer', 'us marines helicopter', 'suv', 'firearm', 'gun turret', 'brother killed', 'japanese naval warship', 'vision', 'evasive maneuver', 'horse', 'burning vehicle', 'mountain', 'asking permission to marry daughter', 'sheriff suv', 'japanese naval captain', 'handgun', 'military aircraft', 'burning jeep', 'nighttime', 'torpedo attack', 'turret', 'male sheriff', "asking father's permission to marry daughter", 'aircraft', 'male amputee', 'prosthetic limb', 'leg amputee', 'weapon', 'watercraft', 'law enforcement officer', 'afghanistan war veteran', 'anger', 'antihero', 'elderly man', 'navy commander', 'navy admiral', 'navy lieutenant', 'projectile weapon', 'naval captain', 'vehicle', 'motor vehicle', 'man in a bathtub', 'man wrapped in a towel', 'man wears eyeglasses', 'psychotronic film', 'machismo', 'black comedy', 'bombardment', 'bravery', 'heroism', 'fear', 'panic', 'danger', 'human alien', 'boyfriend girlfriend relationship', 'alien race', 'us navy', 'unidentified flying object', 'cult film', 'blockbuster', 'suspense', '2010s', 'leader', 'leadership', 'mission', 'disaster', 'president of the united states', 'reference to et the extraterrestrial', 'cell phone', 'waterborne ship', 'movie flop', 'sport utility vehicle', 'underwater scene', 'eye', 'human versus extraterrestrial', 'child in jeopardy', '2000s', 'bipedal alien', 'jeep motor vehicle', 'gun', 'military helicopter', 'rotorcraft', 'night', 'humanoid alien', 'military rotorcraft', 'missile attack', "ship's bridge", 'extraterrestrial attack', 'naval lieutenant', 'sea vessel', 'sea to surface attack', 'us navy uniform', 'american naval ship', 'bridge of a ship', "character repeats someone else's dialogue", 'timeframe 2000s', 'timeframe 2010s', 'disaster action', 'techno thriller', 'alien invasion sci fi', 'naval', 'ship', 'armada', 'battle', 'sea', 'naval combat', 'combat', 'gym', 'survival', 'assault rifle', 'axe', 'flash forward', 'destruction', 'chaos', 'barrage', 'veteran', 'force field', 'naval battleship', 'naval ship', 'human versus alien', 'lieutenant colonel', 'cannon', 'silver star', 'navy cross', 'air strike', 'reference to the art of war', 'broadside', 'cutting torch', 'ship propeller', 'blinded', 'cruise missile', 'night combat', 'surface to surface missle', 'newscast', 'panic attack', 'wreckage', 'shot point blank', 'little league', 'sikorsky ch 53 sea stallion', 'zodiac boat', 'building toppling', 'buddha statue', 'invasion of earth', 'physical therapy', 'physical therapist', 'sikorsky sh 60 seahawk', 'artificial leg', 'naval exercise', 'model ship', 'ceremony', 'jet fly over', 'sunglasses', 'penalty kick', 'kicked in the head', 'year 2012', 'microwave oven', 'radio dish antenna', 'exoplanet', 'year 2006', 'year 2005', 'begins with text', 'reference to jerry lewis', 'reference to donald trump', 'subjective camera', 'ham radio', 'riot', 'looting', 'beaten to death', 'news report', 'tooth knocked out', 'unknown enemy', 'us naval officer', 'sea victory', 'sea captain', 'navy ship', 'navy sea air and land force', 'navy pilot', 'navy captain', 'naval uniform', 'naval ships', 'naval battle', 'naval aviation', 'naval assault', 'naval aircraft', 'joint chiefs of staff', 'big gun', 'american navy', 'camera phone', 'telepathy', 'anchor', 'shot in the head', 'shot to death', 'shot in the back', 'shot in the chest', 'missile launcher', 'redemption', 'courage', 'car crash', 'car accident', 'violence', 'long take', 'power outage', 'slow motion scene', 'race against time', 'helicopter crash', 'marine base', 'punched in the chest', 'punched in the face', 'beating', 'subtitled scene', 'death of brother', 'sinking ship', 'physiotherapist', 'x rayed skeleton', 'electromagnetic pulse', 'helmet', 'world domination', 'flashlight', 'raft', 'torpedo', 'binoculars', 'underwater explosion', 'shark', 'collapsing building', 'crash landing', 'tokyo japan', 'times square manhattan new york city', 'new york city', 'piccadilly circus london', 'london england', 'japanese flag', 'american flag', 'ship captain', 'commander', 'captain', 'lieutenant', 'admiral', 'military', 'ice bath', 'bathtub', 'electrocution', 'chase', 'police chase', 'gas station', 'drunkenness', 'pool table', 'birthday', 'pentagon', 'prosthetic leg', 'war hero', 'korean war veteran', 'spacecraft', 'spaceship', 'aircraft carrier', 'fighter jet', 'fictional war', 'fight', 'brawl', 'water', 'ocean', 'sniper', 'pistol', 'shotgun', 'machine gun', 'outer space', 'space travel', 'nasa', 'scientist', 'product placement', 'exploding body', 'explosion', 'exploding building', 'exploding airplane', 'exploding helicopter', 'exploding ship', 'lost communication', 'communications equipment', 'communications center', 'communications expert', 'lizard', 'armor', 'communications', 'jet fighter pilot', 'fighter pilot', 'energy shield', 'pacific', 'wargame', 'naval base', 'burrito', 'displacement', 'buoy', 'air base', 'helicopter', 'bridge collapse', 'viaduct', 'overpass', 'baseball', 'sinking', 'sheriff killed', 'sea battle', 'sheriff', 'satellite dish', 'taser', 'convenience store', 'break in', 'award ceremony', 'naval officer', 'uss sampson', 'uss john paul jones', 'police van', 'death of police officer', 'police officer killed', 'police officer', 'american sailor', 'japanese sailor', 'japan', 'japanese', 'japanese navy', 'japan self defense forces', 'soccer game', 'soccer', 'missile', 'destroyer', 'fighter plane', 'board game', 'uss missouri', 'ex sailor', 'medal ceremony', 'sonar', 'radar', 'battle plan', 'soldier', 'artificial limb', 'amputee', 'physiotherapy', 'spacesuit', 'airplane crash', 'permission to marry', 'hong kong', 'building destruction', 'alien contact', 'satellite', 'brother brother relationship', 'father daughter relationship', 'hangover', 'engagement', 'arrest', 'taser gun', 'security footage', 'pickup bar', 'navy', 'bar', 'military exercise', 'pearl harbor', 'surprise ending', 'one word title', 'thumbs up gesture', 'four fingered hand', 'close up of eyes', '50 calibre sniper rifle', 'martial law', 'mk 15 phalanx gun', 'ddg 53 uss john paul jones guided missile destroyer', 'cvn 76 uss ronald regan', 'f 18 hornet', 'scene during end credits', 'media coverage', 'mind reading', 'bare chested male', 'end of the world scenario', 'foot chase', 'no opening credits', 'good versus evil', 'fistfight', 'martial arts', 'hand to hand combat', 'gatling gun', 'prologue', 'film starts with text', 'formation', 'dead sheriff', 'jds myoko', 'bank of china', 'title spoken by character']</t>
  </si>
  <si>
    <t>tt0485947</t>
  </si>
  <si>
    <t>['Drama', 'Fantasy', 'Romance', 'Sci-Fi']</t>
  </si>
  <si>
    <t>['multiple outcomes', 'nonlinear timeline', 'mother spanking child', 'butterfly effect', 'quantum physics', 'time', 'future', 'reference to china', 'cult film', 'borderline personality disorder', 'last words', 'fortune cookie', 'rorschach inkblot', 'entropy', 'car fire', 'telepathy', 'reverse motion', 'party', 'time lapse photography', 'saying i love you', 'looking through a keyhole', 'school dance', 'submerged in car', 'sexual reproduction', 'typing', 'two in a shower', 'suspended animation', 'kissing in public', 'remembering the future', 'car train crash', 'attempted suicide', 'shoe factory', 'passenger train', 'indecision', 'swimming underwater', 'backstroke', 'jacknife dive', 'tear on cheek', 'freak accident', 'run over by a car', 'domino fall', 'levitation', 'refracting telescope', 'wedding', 'philosophy', 'string theory', 'interview', 'tape recorder', 'caught in the rain', 'brushing hair', 'slip and fall', 'choosing parents', 'life before conception', 'extreme closeup', 'close up of eyes', 'counting to three', 'obscene finger gesture', 'tanker truck explosion', 'basketball', 'year 1975', 'nightmare', 'space station explosion', 'male in a bathtub', 'starts with narration', 'flapping wings', 'unicorn', 'car falls into water', 'blue dress', 'nipples', 'brief female nudity', 'teenage girl in underwear', 'teenage girl in swimwear', 'mars colony', 'immortal', 'birthday party', 'car accident', 'murder', 'held at gunpoint', 'space voyage', 'technology', 'evolution', 'memory', 'kiss', 'photograph', 'chance meeting', 'lost love', 'surrealism', 'year 2092', 'sikorsky sh 3 sea king helicopter', 'wetting oneself', 'bedwetting', 'camera zoom into nose', 'young boy', 'coin flip', 'crying', 'typewriter', 'time travel', 'time traveler', 'mars the planet', 'outer space', 'sideways time travel', 'underwater scene', 'bare breasts', 'depressed woman', 'death by drowning', 'life choices', 'chance', 'repeated dialogue', 'death of wife', 'multiple timelines', 'assumed identity', 'stepbrother stepsister romance', 'assassination', 'scattering ashes', 'fear of drowning', 'game over', 'reel to reel tape recorder', 'reference to tennessee williams', 'teen sex', 'sex scene', 'dark romance', 'interdimensional sci fi', 'punctuation in title', 'close up of lips', 'close up of mouth', 'in medias res', 'alternate reality', 'straitjacket', 'looking at oneself in a mirror', 'tattoo on face', 'two word title', 'pay phone', 'title spoken by character']</t>
  </si>
  <si>
    <t>tt6751668</t>
  </si>
  <si>
    <t>['Comedy', 'Drama', 'Thriller']</t>
  </si>
  <si>
    <t>['class differences', 'social satire', 'fraud', 'scam', 'house', 'plot twist', 'housekeeper', 'murder', 'fake identity', 'tutor', 'maid', 'wealth', 'rich family', 'class struggle', 'chauffeur', 'birthday', 'poor family', 'rain', 'driver', 'heavy rain', 'basement', 'morse code', 'south korea', 'peach', 'poverty', 'sex scene', 'wifi', 'toilet', 'forgery', 'english lesson', 'husband wife relationship', 'allergy', 'camping', 'bunker', 'hiding under a table', 'flood', 'stabbing', 'secret door', 'cellar hideout', 'secret cellar', 'flooded city', 'teenage girl', 'flooded apartment', 'social class', 'rich snob', 'satire of capitalist society', 'walkie talkie', 'slum', "child's painting", 'reference to kim jong un', 'breast fondling', 'one word title', 'dog', 'family relationships', 'public urination', 'human eats dog food', 'thunderstorm', 'blood', 'hiding', 'hiding under a bed', 'tent', 'birthday party', 'police', 'pizza box', "reading someone else's diary", 'locked in a cellar', 'skewer', 'bug', 'concussion', 'villa', 'garden', 'flooded road', 'tomahawk', 'axe', 'big knife', 'personal tutor', 'false credentials', 'teenager', 'secret underground bunker', 'hiding in the basement', 'peach allergy', 'head injury', 'hired help', 'loss of father', 'killing a witness', 'lucky rock', 'mistaken for a ghost', "secretly living in someone's home", 'grifting family', 'getting someone fired', 'american indian costume', 'joblessness', 'food', 'art therapy', 'video surveillance', 'toy teepee', 'toy bow and arrow', 'security system', 'camping trip', 'looking out a window', 'sewage', 'urinating in public', 'bomb shelter', 'stink bug', 'smell', 'fumigation', 'money', 'flickering light', 'underground bunker', 'hit with a rock', 'bathroom', 'black comedy', 'reference to admiral yi sun sin', 'reference to the battle of hansan island', 'cell phone', 'english teacher', 'kiss', 'little boy', 'pet dog', 'drawing', 'fired from a job', 'bathtub', 'diary', 'alcohol', 'drinking alcohol', 'dog food', 'raining', 'hidden door', 'secret', 'hunger', 'making a video', 'cell phone video', 'telephone call', 'hospital', 'death of daughter', 'loss of daughter', 'letter', 'fake diploma', 'home invasion', "architect's house", 'tuberculosis', 'allergen', 'first person narration', 'stabbed to death', 'employee dismissal', 'penniless', 'apartment living', 'apartment', 'cricket', 'signal', 'mercedes', 'message', 'instructor', 'plan', 'english', 'cement', 'corporate', 'ambition', 'scheme', 'lawn', 'attack', 'knife', 'kitchen knife', 'plum', 'rock', 'class war', 'unemployment', 'fraudster', 'hustle', 'flashback', 'battle of wills', 'torrential rain', 'loss of sister', 'loss of a child', 'social parasite', 'desperate behavior', 'blackmail attempt', 'pet rock', 'plan backfires', 'ironic ending', 'traumatized child', 'swindling scheme', 'swindling family', 'nepotism', 'house party', 'murder of daughter', 'drunkenness', 'employee murders employer', 'odor', 'murder of sister', 'sense of smell', 'snowing', 'murder of wife', 'father daughter relationship', 'father son relationship', 'mother daughter relationship', 'brother sister relationship', 'mother son relationship', 'eating', 'valet', 'belief in ghosts', 'feeling for a pulse', 'gullibility', 'naivety', 'stairway', 'falling down stairs', 'escape room', 'murder of father', 'coma', 'dark comedy', 'upstairs downstairs', 'naive woman', 'pizza', 'noodles', 'steak', 'family as protagonists', 'violence', 'bloody violence', 'death of sister', 'brutal violence', 'social commentary', 'voice over letter', 'voice over narration', 'mobile phone', 'education', 'drinking', 'raincoat', 'sofa', 'art', 'native american', 'hidden basement', 'kitchen', 'metaphorical title', 'costume', 'business', 'car', 'cooking', 'fruit', 'deception', 'lamp', 'asia', 'modern house', 'street', 'child', 'tragic ending', 'tragedy', 'view from a window', 'planting evidence', 'south korean woman', 'wifi password', 'sitting on floor', 'medal', 'lie', 'liar', 'south korean girl', 'south korean school girl', 'exam', 'examination', 'simpleton', 'bowing', 'kiss on the lips', 'kissing on the lip', 'feeding someone', 'transcript', 'betrayer', 'betrayal', 'kiss on the mouth', 'worry', 'shopping', "confiding in one's servant", 'ribs', 'korean food', 'siblings', 'husband wife sex', 'horniness', 'trophy wife', 'brain damage', 'family photograph', 'photograph', 'cult film', 'sleeping on the floor', 'high school teacher', 'forged document', 'reference to jean michel basquiat', 'job interview', 'secret room', 'accidental death', 'waking up in a hospital', 'kitchen knife as weapon', 'stabbed in the chest', 'fainting', 'tv news', 'view through binoculars', 'dead body buried in a garden', 'bourgeoisie', 'impostor', 'absurdism', 'nihilism', 'bathing', 'domestic drama', 'timeframe 2010s', 'comedic scene', 'bare feet', 'urination', 'hog tied', 'surprise ending']</t>
  </si>
  <si>
    <t>tt0443706</t>
  </si>
  <si>
    <t>['Crime', 'Drama', 'Mystery', 'Thriller']</t>
  </si>
  <si>
    <t>['zodiac killer', 'serial killer', 'mysterious murderer', 'true crime', 'reporter', 'zodiac', 'cartoonist', 'year 1991', 'year 1983', 'year 1979', 'year 1978', 'year 1977', 'year 1971', 'year 1970', 'year 1969', 'san francisco chronicle the newspaper', 'san francisco police department', 'cigarette smoking', 'investigation', 'neo noir', 'female stockinged feet', 'female stockinged legs', 'pantyhose', 'man wears eyeglasses', 'masked murderer', 'mass murder', 'ambidextrous', 'karmann ghia', 'firearms', 'cinema', 'masked killer', 'film fan', 'organist', 'woman wears eyeglasses', 'nylon leg', 'overalls', 'scene of the crime', 'movie flop', 'fbi federal bureau of investigation', 'retro version of studio logo', 'cia central intelligence agency', 'psychopath', 'male police officer', 'police officer', 'cigarette', 'motor vehicle', 'car', 'automobile', 'us car', 'chevrolet', 'chevrolet motor vehicle', 'chevrolet car', 'chevrolet corvair', 'ford', 'ford motor vehicle', 'ford car', 'german car', 'volkswagen', 'volkswagen motor vehicle', 'volkswagen car', '20th century', 'united states of america', 'usa', 'serial killer crime', 'police procedural crime', 'epic drama', 'cop drama', 'whodunnit mystery', 'timeframe 20th century', 'child in jeopardy', 'police inspector', 'book', 'search', 'children', 'handwriting', 'newspaper', 'letter', 'department of motor vehicles', 'bloodstain', 'photo lineup', 'sleeping on couch', 'blood splatter', 'sociological', 'sociology of film', 'sociology student', 'sociology', 'sociologist', 'stabbed in the stomach', 'woman stabbed', 'transamerica pyramid', 'scene before opening credits', 'post office', 'postal service', 'slave', 'water', 'personality change', 'cookie', 'doughnut', 'coffee', 'movie theatre marquee letters', 'school desk', 'bomb', 'aqua velva', 'bridge', 'pain', 'waiter', 'gardening', 'painting', 'ambidexterity', 'limping', 'due process', 'circumstantial evidence', 'pedophilia', 'pedophile', 'housekeeper', 'maid', 'ontario california', "countdown at a film's beginning", 'film canister', 'door key', 'door lock', 'cross', "driver's license", 'scrapbook', 'vallejo times the newspaper', 'mailroom', 'mailman', 'motorcycle', 'highway patrolman', 'parking', 'drive in restaurant', 'newspaper clipping', 'latent homosexuality', 'robbery', 'theft', 'thief', 'japanese food', 'writing on a car', 'sociology major', 'pre law student', 'afterlife', 'photo enlargement', 'military boots', 'military', 'fax', 'chiropractor', 'headache', 'helicopter', 'wiretapping', 'tape recorder', 'mental institution', 'rodeo california', 'child abuse', 'drag queen', 'movie poster', 'watching a movie', 'candlestick park san francisco', 'trailer park', 'animal cage', 'porn magazine', 'jumping from a car', 'rope', 'presidio san francisco', 'firecracker', 'fireworks', 'eagle scout', 'boy scout', 'stepbrother stepsister relationship', 'stepmother stepson relationship', 'brother in law sister in law relationship', 'brother brother relationship', 'briefcase', 'riverside community college', 'riverside california', 'modesto bee the newspaper', 'santa rosa california', 'san francisco examiner the newspaper', 'school bus', 'school', 'park', 'luger', 'napa california', 'salinas california', 'overhead projector', 'code breaking', 'code', 'puzzle', 'running', "women's prison", 'prison visitation', 'sister sister relationship', 'vallejo california', 'pickup truck', 'tv commercial', 'wine', 'firing range', 'target practice', 'interview', 'brushing teeth', 'police call box', 'obscene finger gesture', 'judge', 'false lead', 'false confession', 'modesto california', 'happy birthday', 'birthday', 'double murder', 'teenage girl', 'teenage boy', 'flashlight', 'manhunt', 'photograph', 'photographer', 'camera', 'watching tv', 'tv news', 'radio show', 'radio talk show', 'christmas tree', 'alphabet', 'halloween', 'election', 'governor', 'mayor', 'oakland california', 'writing', 'writer', 'time lapse photography', 'flash forward', 'attorney', 'drink', 'handwriting analysis', 'taxi driver', 'mother son relationship', 'mother daughter relationship', 'arrest', 'pay phone', 'rain', 'newspaper headline', 'sfpd', 'boyfriend girlfriend relationship', 'telephone call', 'journalist', 'male female relationship', 'underwear', 'fingerprint', 'footprint', 'montage', 'prologue', 'newspaper cartoon', 'restaurant', 'cafe', 'family relationships', 'blood', 'violence', 'stabbing', 'shooting', 'rifle', 'gun', 'death', 'talking while driving', 'witness', 'mysterious voice', 'trauma', 'tied up', 'searching', 'search for a killer', 'screaming', 'sadism', 'psychological trauma', 'psycho thriller', 'psycho killer', 'police psychologist', 'package', 'note', 'mysterious man', 'witness to a murder', 'murder investigation', 'murder for hire', 'multiple suspects', 'masked man', 'maniac', 'homicidal maniac', 'hired killer', 'gun for hire', 'framed for murder', 'female victim', 'dead woman', 'dead man', 'dead girl', 'dead body', 'cruelty', 'criminal investigation', 'anonymous telephone call', 'red herring', 'library book', 'husband wife relationship', 'father daughter relationship', 'drunkenness', 'cipher', 'animal crackers', 'wristwatch', 'trailer home', 'television station', 'squirrel', 'shooting range', 'sex offender', 'sacramento california', 'rainstorm', 'prison', 'picnic', 'marital separation', 'lawyer', 'interrogation', 'houseboat', 'hardware store', 'gloves', 'father son relationship', 'divorce', 'car trouble', 'blind date', 'basement', 'bar', 'airport', 'airplane', 'unknown killer', 'symbol', 'stalking', 'shot in the neck', 'film projectionist', 'police station', 'phone booth', 'movie theater', 'lake', 'fourth of july', 'encryption', 'encoded message', 'drug addiction', 'diner', 'confession', 'christmas', 'california', 'what happened to epilogue', 'taxi', 'police detective', 'unsolved crime', 'cryptography', 'stabbed to death', 'stabbed in the chest', 'stabbed in the back', 'shot to death', 'shot in the head', 'shot in the chest', 'pistol', 'paranoia', 'obsession', 'murder', 'alcoholism', 'golden gate bridge', 'bag over head', 'san francisco california', 'based on true story', 'based on book', 'title spoken by character', 'police', 'drinking', 'cult film', 'gas chamber', 'murder of a baby', 'baby', 'politics', 'girl', 'boy', 'one word title']</t>
  </si>
  <si>
    <t>tt0359950</t>
  </si>
  <si>
    <t>['Adventure', 'Comedy', 'Drama', 'Fantasy', 'Romance']</t>
  </si>
  <si>
    <t>['life magazine', 'magazine', 'photographer', 'daydream', 'x rayed skeleton', 'snow leopard', 'iceland', 'remake', 'based on short story', 'new york city', 'greenland', 'fantasy sequence', 'flock of birds', 'bell 47 helicopter with pontoons', 'reference to benjamin button', 'sculpture', 'stretch armstrong', 'reference to eharmony', 'waiting for a train', 'crashing through a window', 'building explosion', 'loss of job', 'airport', 'himalaya', 'himalayas', 'volcanic eruption', 'volcano', 'bicycle', 'sea', 'boat', 'shark', 'jumping from a helicopter', 'helicopter', 'drunk', 'song', 'bar', 'skateboard', 'piano', 'cake', 'birthday', 'dating website', 'photojournalism', 'photojournalist', 'photograph negative', 'photograph', 'dreamer', 'directed by star', 'character name in title', 'firm', 'company', 'organization', 'public', 'publication', 'edition', 'family photo', 'periodic', 'cover', 'image', 'magazine cover photo', 'globe', 'issue', 'last', 'end', 'adventurer', 'online', 'focus', 'market', 'snowy landscape', 'moving', 'change', 'zone', 'comfort', 'comfort zone', 'leopard', 'quiet', 'great dreamer', 'daydreamer', 'crush', 'secretly in love', 'reputation', 'speed', 'leather', 'engraving', 'motto', 'determination', 'booze', 'volcanic', 'inebriated', 'beer', 'ale', 'heli', 'chopper', 'pilot', 'ash', 'longboard', 'american', 'gift', 'psychotronic film', 'drunkenness', 'deck hand', 'aerial camera shot', 'modern day adaptation', 'literature on screen', 'american literature on screen', 'humoristic literature on screen', 'american humoristic literature on screen', '20th century literature on screen', 'globetrotting adventure', 'manager', 'wallet', 'still images during end credits', 'motivational', 'waterfall', 'revelation', 'ex husband ex wife relationship', 'panic', 'texting', 'alarm', 'escape', 'evacuation', 'village', 'courage', 'bravery', 'car rental', 'bartender', 'google', 'poster', 'social commentary', 'single mother', 'single parent', 'unrequited love', 'midlife crisis', 'office', 'motel', 'hotel', 'ocean', 'investigation', 'karaoke', 'female bartender', 'helicopter pilot', 'underwater scene', 'snow', 'slow motion scene', 'fishing boat', 'ship captain', 'guitar', 'jumping through a window', 'apartment', 'journey shown on map', 'map', 'soccer', 'mountain', 'employee dismissal', 'elevator', 'employer employee relationship', 'employee employee relationship', 'surrealism', 'whimsical', 'widow', 'mother daughter relationship', 'mother son relationship', 'brother sister relationship', 'pizza parlor', 'central park manhattan new york city', 'los angeles california', 'airport security', 'metal detector', 'airplane', 'taxi driver', 'train', 'train station', 'el train', 'alchemy', 'taxi', 'dream', 'hallucination', 'punched in the face', 'brawl', 'fight', 'fistfight', 'jumping from height', 'rescue', 'warlord', 'montage', 'journal', 'cell phone', 'e mail', 'product placement', 'internet', 'exploding building', 'no opening credits', 'biplane', 'pyroclastic flow', 'playing acoustic guitar', 'land surfing', 'corporate acquisition', 'check ledger', 'reference to marilyn monroe', 'reference to peter sellers', 'fired from a job', 'volcano eruption', 'surprise ending', 'female singer']</t>
  </si>
  <si>
    <t>tt0083658</t>
  </si>
  <si>
    <t>['Action', 'Drama', 'Sci-Fi', 'Thriller']</t>
  </si>
  <si>
    <t>['tech noir', 'cyberpunk', 'police detective', 'human android relationship', 'female android', 'existentialism', 'megacorporation', 'neo noir', 'fugitive', 'dystopia', 'replicant', 'android', 'legal rights of artificial life form', 'artificial intelligence', 'blade runner', 'future', 'police', 'artificial lifeform', 'bradbury building', 'fragments of memory', 'photo enhancement', 'night cityscape', 'cleavage', 'foot chase', 'year 2019', 'retro future', 'rainstorm', 'chess', 'female nudity', 'owl', 'based on novel', 'male android', 'future noir', '4 year lifespan', 'handheld weapon', 'false memory', 'slave', 'film starts with text', 'stripper', 'rainy night', 'artificial human', 'artificially created woman', 'cogito ergo sum', 'jumping between buildings', 'shot in the back', "android thinks it's human", 'voight kampff test', 'empathy test', 'occupation in title', 'futuristic police car', 'kiss from upside down person', 'shot to death', 'chinatown', 'memory', 'midnight movie', 'snake dancer', 'backflip', 'dream', 'slavery', 'self awareness', 'gothic', 'technology gone amok', 'implanted memory', 'rooftop', 'police chase', 'photograph', 'genetic engineer', 'eyeball', 'electronic music score', 'melancholy', 'man versus machine', 'eye gouging', 'mercy', 'dove', 'flying car', 'exotic dancer', 'los angeles california', 'voyeur', 'origami unicorn', 'snake scale', 'voice over narration', 'cyborg', 'cult film', 'snake', 'human versus android', 'reference to atari', 'first part', 'mustached man', 'gynoid', 'android villain', 'watching tv', 'corporatism', 'censored profanity', 'f word', 'bloody violence', 'philosophical conversation', 'weapon', 'weapons fire', 'psychotronic film', 'vehicle', 'cult classic', 'national film registry', 'man wears eyeglasses', 'close up of iris', 'close up of eyes', 'ramen', 'ramen noodles', 'bowtie', 'industrialist', 'capitalist', 'japanese food', 'japanese chef', 'flame', 'skyscraper', 'cigarette smoking', 'hero murders a woman', 'woman wears an eyepatch', 'self injury', 'hard boiled egg', 'movie flop', 'taxi', 'zebra crossing', 'running over a car', 'neon sign', 'tattooed criminal', 'tattooed face', 'naked woman', 'autism', 'futuristic', 'candy cinema', 'part of duology', 'biopunk', 'postmodern', 'gritty', 'dystopian sci fi', 'timeframe 2010s', 'timeframe 21st century', 'cyborg sci fi', 'robot sci fi', 'cyberpunk sci fi', 'retirement', 'police officer', 'short lifespan', 'troubled production', 'fembot', 'playing chess', 'artificially created man', 'homicidal android', 'disarming someone', 'kiss on the cheek', 'bloody corpse', 'hide and seek', 'gymnastics', "head crushed between woman's legs", 'shot multiple times', 'head crushed with bare hands', "breaking someone's fingers", 'front flip', 'back walkover', 'plunging hand into boiling water', 'face painting', 'candelabra', 'tattoo on face', 'go go dancer', 'crashing through a window', 'noodle', 'walking in the rain', 'close up of eye', 'police shootout', 'malfunctioning android', 'overpopulation', 'genius', 'beating', 'dancer', 'pursuit', 'performer', 'costume', 'bartender', 'pianist', 'siren', 'nightclub', 'ostrich', 'sheet music', 'tears', 'microscope', 'riding a bicycle', 'robot', 'test', 'doctor', 'lens flare', 'objectification', 'non human', 'bigotry', 'bigot', 'assumed superiority', 'alternate version', 'pistol', 'gunfight', 'shootout', 'tough guy', 'hand to hand combat', 'fistfight', 'brawl', 'showdown', 'woman shot', 'dead woman on ground', 'dead woman on floor', 'dead woman with protruding tongue', 'pastiche', 'stock trading', 'person', 'famous score', 'defenestration', 'action hero', 'robot as pathos', 'walkover', 'serial number', 'playing piano', 'mannequin', 'hare krishna', 'handspring', 'great horned owl', 'fez', 'convulsion', 'candle', 'blood splatter', 'self consciousness', 'property', 'non person', 'exclusion', 'choice', 'slow motion scene', 'controversy', 'villain turns good', 'rooftop fight', 'tycoon', 'tattoo', 'shower', 'piano', 'little person', 'ledge', 'hotel', 'fight', 'eye scanning', 'elevator', 'disguise', 'diner', 'airship', 'veil', 'shot in the head', 'shot in the chest', 'cult director', '555 phone number', 'murder', 'killer robot', 'skull crushing', 'nail through hand', 'stabbed in the hand', 'love', 'gene manipulation', 'compassion', 'product placement', 'run through plate glass window', 'eye', 'martial arts', 'bearded man', 'ramen noodle restaurant', 'video call', 'video phone', 'video recording', 'hit with a pipe', 'boiled egg', 'toy', 'matchstick man', 'bechdel test failed', 'cuckoo clock', 'trenchcoat', 'two word title', 'critique of capitalism', 'hair dryer', 'egg', 'bar', 'broken finger', 'nihilism', 'origami', 'racial slur', 'unicorn', 'christ allegory', 'title spoken by character']</t>
  </si>
  <si>
    <t>tt4034354</t>
  </si>
  <si>
    <t>['Comedy', 'Drama', 'Fantasy', 'Romance']</t>
  </si>
  <si>
    <t>['dead body', 'talking to a dead body', 'dead body washed ashore', 'island', 'corpse', 'talking corpse', 'fart', 'flatulence', 'considering suicide', 'homoeroticism', 'underwater kiss', 'buddy comedy', 'gross out comedy', 'unreliable narrator', 'deserted island', 'friend', 'law of diminishing returns', 'carrying a dead body', 'suicide attempt', 'male male kiss', 'male dresses as a female', 'father son relationship', 'montage', 'forest', 'underwater scene', 'bear', 'erection', 'cell phone', 'friendship between men', 'loneliness', 'three word title', 'buddy movie', 'grotesque', 'wild comedy', 'gross out', 'crazy humor', 'surrealist', 'bizarre', 'controversial', 'wilderness survival', 'pacific island', 'special relationship', 'farting corpse', 'psychosis', 'mental illness', 'delusional man', 'delusion', 'fear of death', 'woods', 'story telling', 'berries', 'hallucination', 'hearing voices', 'singing', 'cheese puffs', 'bridge', 'crawling on hands and knees', 'wig', 'falling in love', 'beheading a raccoon', 'campfire', 'listening to music', 'imitating a bus', 'killing an animal', 'reference to laura dern', 'mother son relationship', 'necrophilia subtext', 'tv cameraman', 'tv reporter', 'ambulance', 'brought back to life', 'dragged by a bear', 'surrealism', 'two directors', 'bear attack', 'man in drag', 'botched suicide', 'magazine', 'trash', 'survivor', 'friendship', 'talking about masturbation', 'independent film', 'black comedy', 'dark comedy', 'magical realism', 'imaginary friend', 'joie de vivre', 'fart joke', 'suicide attempt by hanging', 'attempted suicide by hanging', 'kissing the lips of a dead body', 'kissing a dead body', 'uninhabited island', 'psychotronic film', 'closing eyes of dead person', 'gender in title', 'abusive father', 'male police officer', 'police', 'dead body on a beach', 'surreal comedy', 'beach', 'sex', 'cork', 'penis', 'boyfriend girlfriend relationship', 'lost', 'defecation', 'memory', 'name calling', 'face slap', 'gagging', 'thirst', 'apology', 'raccoon', 'f word', 'sleeplessness', 'cave', 'rain', 'singer', 'song', 'decomposition', 'jet ski', 'harmonizing', 'prologue', 'humming', 'belt', 'flash forward', 'earphones', 'hanging', 'fear', 'scene during opening credits', 'masturbation', 'call for help', 'leg wound', 'embarrassment', 'jealousy', 'cowardice', 'photograph', 'texting', 'urination', 'birthday', 'website', 'swimming underwater', 'pipeline bridge', 'levitation', 'sleeping', 'fish', 'drunkenness', 'party', 'vodka', 'shower', 'killing a bird', 'killing a raccoon', 'shadow play', 'popcorn', 'sunglasses', 'slow motion scene', 'eating', 'food', 'trust', 'falling from height', 'stepping in defecation', 'dead mother', '11 year old', '40 year old', 'lullaby', 'laughter', 'handcuffs', 'book', 'mistaken identity', 'pursuit', 'chase', 'husband wife relationship', 'body bag', 'microphone', 'head bandage', 'gurney', 'fade to black', 'nickname', 'crutch', 'fight', 'punched in the mouth', 'looking in a window', 'fantasy sequence', 'explosion', 'man on fire', 'crawling on the ground', 'fast motion scene', 'defecating on oneself', 'skeleton', 'flashback montage', 'crying man', 'flashback', 'little girl', 'singing on a bus', 'singing in a cave', 'singing in the woods', 'falling into water', 'bus', 'fire', 'grappling hook', 'noose', 'survival', 'coroner', 'mother daughter relationship']</t>
  </si>
  <si>
    <t>tt0120735</t>
  </si>
  <si>
    <t>['Action', 'Comedy', 'Crime']</t>
  </si>
  <si>
    <t>['gangster', 'dark comedy', 'violence', 'united kingdom', 'shotgun', 'money', 'gang', 'debt', 'drugs', 'drug dealer', 'tough guy', 'dead body', 'smoking marijuana', 'friendship between men', 'liverpool accent', '1990s', 'corpse', 'stealing a car', 'held at gunpoint', 'punched in the face', 'bag of money', 'friendship', 'gangster comedy', 'cockney accent', 'dildo used as weapon', 'murder', 'bar', 'robbery', 'person on fire', 'low budget film', 'knocked out from characters point of view', 'car', 'automobile', 'german car', 'ford', 'ford motor vehicle', 'ford car', 'ford escort', 'ford granada', 'ford van', 'ford transit', 'british car', 'rover', 'rover motor vehicle', 'cigarette', 'ends with freeze frame', "character repeats someone else's dialogue", 'child in jeopardy', 'timeframe 1990s', 'heist', 'hatchet', 'antique', 'cardsharp', 'pun in title', 'punctuation in title', 'vomiting', 'walking', 'europe', 'deliberate cruelty', 'carjacking', 'tea', 'wall of tv screens', 'night', 'homicide', 'elevator', 'black man', 'anger', 'slow motion action scene', 'public phone', 'alcohol', 'telephone call', 'high stakes', 'high stakes poker game', 'cocktail', 'camera focus on female butt', 'strip show', 'machismo', 'accidental killing', 'rifle', 'race against time', 'drug addict', 'fixed game', 'based on short film', 'book catalog', 'f word', 'torture', 'comma in title', 'six word title', 'directorial debut', 'subjective camera', 'slow motion scene', "character's point of view camera shot", 'rhyme in title', 'child swearing', 'duffel bag', 'grow op', 'female nudity', 'axe in the back', 'sawed off shotgun', 'police station', 'bridge', 'kicked in the head', 'hit with a car door', 'car crash', 'hit by a car', 'hiding under a bed', 'kicking in a door', 'telling a joke', 'reference to james bond', 'split screen', 'thrown through a wall', 'ambush', 'piano', 'passed out drunk', "drink thrown into someone's face", 'bound and gagged', 'reference to snow white', 'drunkenness', 'beating', 'hit with a rifle butt', 'duct tape over mouth', 'threatened with a knife', 'man punching a woman', 'knocked out', 'head butt', 'severed toe', 'shot in the chest', 'air rifle', 'fainting', 'trenchcoat', 'masked man', "spitting in someone's face", 'storytelling', 'subtitled scene', 'ensemble cast', 'stoner', 'knife throwing', 'hit with a golf club', 'hanging upside down', 'reference to winston churchill', 'golf', 'beaten to death', 'cigar smoking', 'phone booth', 'hidden camera', 'creaking floor boards', 'home invasion', 'boxing ring', 'thief', 'fast motion scene', 'strip club', 'thong', 'double barreled shotgun', 'antique gun', 'bartender', 'punch into the camera', 'bare chested male', 'tanning bed', 'face slap', 'counting money', 'cage', 'marijuana joint', 'van', 'eavesdropping', 'neighbor', 'flashback', 'drowning', 'dildo', 'nickname', 'chef', 'wad of cash', 'cigarette smoking', 'voice over narration', 'foot chase', 'cell phone', 'freeze frame', 'ambiguous ending', 'cult film', 'stripper', 'sex shop', 'pub', 'organized crime', 'mob enforcer', 'marijuana', 'dumb criminal', 'drug lord', 'crime boss', 'burglary', 'black market', 'female rear nudity', 'snorricam', 'london england', 'british', 'poker', 'poker player', 'stabbed in the back', 'stabbed in the arm', 'skull crushing', 'shot to death', 'shot in the stomach', 'shot in the neck', 'shot in the foot', 'pistol', 'machine gun', 'machete', 'death', 'gambling', 'rhyming slang', 'shootout', 'switchblade', 'gay slur', 'black comedy', 'cheating at cards', 'card playing', 'liverpudlian', 'father son relationship', 'independent film', 'surprise ending']</t>
  </si>
  <si>
    <t>tt7979580</t>
  </si>
  <si>
    <t>The Mitchells vs. The Machines</t>
  </si>
  <si>
    <t>['Animation', 'Adventure', 'Comedy', 'Family', 'Sci-Fi']</t>
  </si>
  <si>
    <t>['robot', 'road trip', 'dog', 'furby', 'family road trip', 'father daughter relationship', 'cgi animation', 'computer animation', 'evil robot', 'robot army', 'pet dog', 'virtual assistant', 'altered version of studio logo', 'family relationships', 'brother sister relationship', 'husband wife relationship', 'five word title', 'family pet', 'lgbt', 'lesbian', 'aspiring filmmaker', 'pug', 'robot apocalypse', 'columbia tristar', 'war against machines', 'man against machine', 'versus in title', 'mother son relationship', 'mother daughter relationship', 'father son relationship', 'netflix original', 'netflix original film', 'dysfunctional family', 'smartphone', 'female heroine', 'heroine', 'female hero', 'human machine relation', 'human robot team', 'one woman army', 'robot human friendship', 'human versus machine', 'disguised as robot', 'villain turns good', 'family as protagonists', 'eyeglasses', 'technology', 'cartoon dog', 'psychotronic film', 'robot uprising', 'ai takeover', 'cg animation', 'road trip adventure', 'quirky comedy', 'artificial intelligence sci fi', 'robot sci fi', 'reference to yelp', 'vomiting on the side of the road', 'scenic overlook', 'mule', 'cafe', 'hoodie', 'reference to instagram', 'people magazine', 'youtube', 'video call', 'dorm room', 'co written by director', 'actor director writer', 'co written by cast member', 'character name in title']</t>
  </si>
  <si>
    <t>tt0100802</t>
  </si>
  <si>
    <t>Total Recall 1990</t>
  </si>
  <si>
    <t>['Action', 'Adventure', 'Sci-Fi']</t>
  </si>
  <si>
    <t>['implanted memory', 'false memory', 'space colony', 'ambiguous ending', 'memory', 'three breasted woman', 'mutant', 'future', 'secret agent', 'dystopia', 'cyberpunk', 'torture', 'rebel', 'happy ending', 'self driving car', 'breast fondling', 'female frontal nudity', 'breasts', 'hotel', 'bar', 'brothel', 'human shield', 'robot', 'betrayal', 'alien', 'based on short story', 'conspiracy', 'rebellion', 'utopia', 'misunderstanding', 'evil man', 'evil woman', 'villain', 'hero', 'heroine', 'good man', 'good woman', 'woman fights a woman', 'vehicle', 'weapon', 'psychotronic film', 'mercilessness', 'kidnapping', 'resistance fighter', 'neo noir', 'implant', 'fear', 'hostage', 'fighting the system', 'undercover', 'undercover agent', 'femme fatale', 'gunfight', 'rescue', 'street shootout', 'battle', 'gun battle', 'combat', 'escape', 'ambiguity', 'wisecrack humor', 'deception', 'double cross', 'blood', 'mercenary', 'warrior', 'one against many', 'subway station', 'opening action scene', 'unlikely hero', 'apartment', 'profanity', 'car crash', 'car accident', 'female warrior', 'female fighter', 'massacre', 'ambush', 'home invasion', 'nightclub', 'stripper', 'strip club', 'futuristic', 'death', 'attempted murder', 'brutality', 'dream', 'electronic music score', 'video phone', 'corporate crime', 'doctor', 'scientist', 'doppelganger', 'near death experience', 'virtual world', 'reference to a zodiac sign', 'taurus the astrological sign', 'reference to taurus the constellation', 'taurus constellation', 'blonde defeats brunette', 'kiss', 'kissing', 'ring', 'glasses', 'blonde woman', 'eyeglasses', 'woman wears eyeglasses', 'man dresses as a woman', 'man murders a woman', 'man punches a woman', 'woman punches a man', 'admitting a mistake', 'actress shares first and last name with character', "character repeats someone else's dialogue", 'virtual reality', 'biopunk', 'spy action', 'timeframe 1990s', 'timeframe 2080s', 'timeframe 21st century', 'biotech sci fi', 'colony', 'construction worker', 'vacation', 'mining', 'nightmare', 'female mutant', 'total recall', 'video telephone', 'mutant human', 'holographic decoy', 'decoy', 'one liner', 'severed limb', 'black woman', 'black man', 'latina', 'cold blooded murder', 'lack of oxygen', 'air leak', 'female nudity', 'android', 'self driving vehicle', 'taxi ride', 'sweating', 'man disguised as a woman', 'lying', 'mutant woman', 'drill tank', 'chase', 'fictional war', 'machismo', 'space travel', 'security guard', 'blood splatter', 'stabbed in the face', 'interracial relationship', 'interracial kiss', 'jumping through a window', 'shot in the shoulder', 'stabbed in the chest', 'hit by a car', 'safe deposit box', 'shot in the arm', 'one man army', 'woman slaps a man', 'shot in the back', 'shot in the chest', 'bare chested male', 'kicked in the crotch', 'punched in the crotch', 'falling to death', 'dream sequence', 'pay phone', 'police shootout', 'tunnel boring machine', 'vestigial twin', 'male protagonist', 'spaceship', 'explosion', 'remote control', 'pistol', 'spacesuit', 'news report', 'gadget', 'handcuffs', 'resistance', 'car chase', 'kicked in the face', 'held at gunpoint', 'foot chase', 'corpse', 'knife', 'martial law', 'face slap', 'husband murders wife', 'action hero', 'showdown', 'bar fight', 'fistfight', 'hand to hand combat', 'tough guy', 'tough girl', 'woman shot in the forehead', 'social commentary', 'good versus evil', 'anti hero', 'on the run', 'shootout', 'megacorporation', 'exploding car', 'construction site', 'uzi', 'outer space', 'reference to george washington', 'punched in the face', 'mutation', 'disfigurement', 'alien technology', 'surrealism', 'neck breaking', 'taxi driver', 'stabbed to death', 'stabbed in the throat', 'oppression', 'impalement', 'towel', 'suitcase', 'pill', 'elevator', 'corruption', 'commercial', 'black comedy', 'cult film', 'oxygen', 'tracking device', 'subway', 'severed arm', 'rat', 'prostitute', 'mine', 'machine gun', 'little person', 'catacomb', 'brainwashing', 'trans world airline', 'erased memory', 'asphyxiation', 'famous line', "spitting in someone's face", 'shot to death', 'raised middle finger', 'simulated reality', 'futuristic train', 'poetic justice', 'blockbuster', 'shot in the forehead', 'hologram', 'aquarium', 'villainess', 'exploding head', 'taxi', 'generator', 'psychic', 'catfight', 'drilling machine', 'paranoia', 'product placement', 'explosive decompression', 'telepathy', 'gore', 'terraforming', 'mars the planet', 'murder', 'crotch grab', 'redemption', 'x rayed skeleton', 'amnesia', 'reverse footage', 'credits as currency', 'murdered with an axe', 'violence', 'independent film', 'title spoken by character', 'surprise ending', 'f word', 'mind reading', 'two word title']</t>
  </si>
  <si>
    <t>tt9784798</t>
  </si>
  <si>
    <t>['Biography', 'Drama', 'History']</t>
  </si>
  <si>
    <t>['black panther party', 'fbi federal bureau of investigation', 'reference to malcolm x', '1960s', 'reference to martin luther king jr', 'based on true story', 'fred hampton character', 'reference to mohammed ali', 'playing pool', 'car theft', 'fbi informant', 'chicago illinois', 'race relations', 'civil rights', 'politics', 'police', 'trust', 'ku klux klan', 'man wears a beret', 'fbi special agent', 'confederate flag', 'activism', 'restaurant', 'murder', 'shootout', 'free breakfast program', 'justice', 'prison', 'stealing a car', 'hot wiring a car', 'stairway', 'informant', 'impersonating a federal agent', 'badge', 'impersonating a fbi agent', 'death of son', 'hospital', 'black american', 'african american', 'reference to michael schwerner', 'reference to andrew goodman', 'reference to james chaney', 'mother son relationship', 'reference to huey p newton', 'reference to eldridge cleaver', 'gun', 'rifle', 'pistol', 'violence', 'j edgar hoover character', 'bar', 'fbi agent', 'f word', 'pregnancy', 'speech', 'reference to richard m nixon', 'street life', 'american politics', 'police car', 'rain', 'revolution', 'reference to the vietnam war', 'activist', 'cigarette smoking', 'assassination', 'cigar smoking', 'money', 'nickname', 'n word', 'man wears sunglasses', 'wearing sunglasses indoors', 'name calling', 'democracy', 'freedom', 'push ups', 'boy', 'inspired by true events', 'scene during closing credits', 'archival footage', 'drink', 'drinking', 'beret', 'pamphlet', 'newspaper', 'newspaper headline', 'newspaper clipping', 'speechwriter', 'kiss', 'shyness', 'rainbow coalition', 'friend', 'friendship', 'notebook', 'liberation', 'reference to bobby seale', 'photograph', 'pay phone', 'telephone', 'telephone call', 'fire', 'explosion', 'gasoline', 'building on fire', 'cake', 'gunfire', 'what happened to epilogue', 'on the lam', 'floor plan', 'reference to uncle tom', 'reference to aunt jemima', 'lie', 'reference to harriet tubman', 'shot in the chest', 'coffin', 'hearse', 'towers', 'food', 'eating', 'redneck', 'puerto rican', 'arrest', 'group hug', 'bongo drums', 'cross', 'brutality', 'wearing a wire', 'death', 'us history', 'man wears a fur coat', 'shooting', 'machine gun', 'police raid', '21 year old', '21 year old man', '22 year old', '22 year old man', 'suicide', 'comrade', 'menard correctional facility', 'mustached man', 'memory', 'scotch whiskey', 'father son relationship', 'scene during opening credits', 'archive footage during closing credits', 'blackboard', 'man and woman share a bed', 'microphone', 'megaphone', 'voice over letter', 'bare chested man', 'prison cell', 'prison guard', 'prison release', 'surrender', 'cease fire', 'ambulance', 'holding hands up in the air', 'voice over poetry', 'poetry', 'flashlight', 'fist in the air', 'gurney', 'harboring a fugitive', 'stealing ice cream', 'switchblade', 'woman points a gun at a man', 'pointing a gun at someone', 'interrogation', 'hatred', 'poetess', 'pledge of allegiance', 'equality', 'prologue', 'reflection in a car window', 'windshield wiper', 'nonlinear timeline', 'racism', 'year 1968', 'co written by director', 'pool hall', 'police interrogation', 'racist cop', 'black power', 'afro', 'male police officer', 'police officer', 'cigarette', 'epic history', 'political drama', 'timeframe 1960s', 'tambourine']</t>
  </si>
  <si>
    <t>tt14544192</t>
  </si>
  <si>
    <t>['Comedy', 'Drama', 'Music']</t>
  </si>
  <si>
    <t>['reference to the covid 19 pandemic', 'one man show', 'comedian', 'stand up comedian', 'reference to the internet', 'writer director star', 'comedy song', 'one person show', 'reference to sandra bullock', 'reference to instagram', 'comedy special', 'one location', 'lights', 'musical comedy', 'reference to eraserhead', 'stand up comedy', 'tv special', 'director writer', 'stand up comedian as protagonist', 'implied male nudity', 'reference to logan paul', 'reference to martin luther king', 'flexing arms', 'musical special', 'reference to global warming', 'reference to the catholic church', 'having only one name', 'musical comedy performance', 'jock', 'flashlight', 'hairy chested man', 'man wears underwear', 'reference to the fbi', 'dark comedy', 'observational comedy', 'alternative comedy', 'satire comedy', 'timeframe 2020s', 'timeframe 21st century', 'male nudity', 'nudity']</t>
  </si>
  <si>
    <t>tt1234719</t>
  </si>
  <si>
    <t>['Action', 'Drama']</t>
  </si>
  <si>
    <t>['invasion', 'woods', 'teenager', 'courage', 'rescue', 'helicopter', 'army', 'forest', 'bar', 'reference to arizona', 'girls with guns', 'principal', 'iraq war veteran', 'body lands on a car', 'child in jeopardy', 'child with a gun', 'knocked unconscious', 'knocked unconscious with a gun butt', 'shooting a police officer in the head', 'slimehouse', 'timeframe 2000s', 'timeframe 2010s', 'war propaganda', 'propaganda', 'escape', 'resistance', 'captain', 'marine', 'soldier', 'cabin in the woods', 'execution', 'paratrooper', 'spokane washington', 'north korean', 'watching tv', '2000s', 'anti heroine', 'teenage girl', 'teenage boy', 'action heroine', 'race against time', 'mercilessness', 'brutality', 'armored car', 'rocket launcher', 'warrior', 'anti hero', 'action hero', 'disarming someone', 'revolver', 'emergency broadcast system', 'double cross', 'rifle', 'attack', '2010s', 'bus', 'panic', 'paranoia', 'danger', 'fear', 'hope', 'bravery', 'ex marine', 'street shootout', 'interracial friendship', 'friendship', 'sabotage', 'mission', 'rescue attempt', 'one against many', 'hostage', 'leader', 'kidnapping', 'explosive', 'special forces', 'female warrior', 'exploding airplane', 'commando mission', 'commando unit', 'commando', 'airplane crash', 'airplane', 'urban setting', 'destruction', 'chaos', 'vomiting', 'minigun', 'insult', 'time in title', 'martial law', 'disobeying orders', 'cell phone', 'reference to call of duty modern warfare', 'bombing', 'occupation', 'night', 'hunting rifle', 'news broadcast', 'shaky cam', 'cgi', 'scavenging for supplies', 'suburb', 'die hard scenario', 'teenager fighting adult', 'female gunfighter', 'world war three', 'guerrilla warfare', 'fistfight', 'firefight', 'death of hero', 'death of protagonist', 'terrorism', 'silencer', 'booby trap', 'shotgun', 'bomb', 'hand grenade', 'patriotism', 'tough guy', 'tough girl', 'female fighter', 'female soldier', 'open ended', 'fighter jet', 'disguise', 'deception', 'mercenary', 'military', 'security camera', 'surveillance', 'unlikely hero', 'teenage hero', 'ak 47', 'held at gunpoint', 'gatling gun', 'prisoner of war camp', 'knife', 'uzi', 'deer', 'target practice', 'homemade explosive', 'car accident', 'car chase', 'death', 'violence', 'mixed martial arts', 'martial arts', 'brawl', 'fight', 'sniper', 'parkour', 'gunfight', 'battle', 'montage', 'survival', 'battlefield', 'combat', 'fictional war', 'resistance fighter', 'deputy', 'major', 'exploding body', 'air strike', 'abandoned mine', 'product placement', 'restaurant', 'stadium', 'american football', 'us marine corps', 'high school', 'small town', 'prisoner of war camp raid', 'uprising', 'hand to hand combat', 'campfire', 'artillery barrage', 'spetsnaz', 'stitching a wound', 'subway restaurant', 'rocket propelled grenade', 'political prisoner', 'invasion of the united states', 'm1 abrams tank', 'building explosion', 'graffiti', 'skateboard', 'practical joke', 'drinking blood', 'telescopic rifle', 'deer hunting', 'c 4', 'seeing father murdered', 'flame thrower', 'summary execution', 'binoculars', 'megaphone', 'pickup truck', 'driving through fire', 'airplane shot down', 'toy soldier', 'police officer', 'russian', 'jumping through a window', 'shot through a wall', 'shot in the leg', 'child uses a gun', 'shot in the side', 'shot in the back', 'bus crash', 'rally', 'raised middle finger', 'exploding building', 'car bomb', 'training', 'photograph', 'killing an animal', 'c4 explosives', 'humvee', 'shooting a police officer', 'murder', 'army captain', 'sniper rifle', 'news report', 'subtitled scene', 'hit by a car', 'father son relationship', 'snowglobe', 'blackout', 'school bus', 'cheerleader', 'lens flare', 'reference to hillary clinton', 'reference to barack obama', 'reference to kim jong il', 'assassination attempt', 'flamethrower', 'car crash', 'dead deer', 'blood drinking', 'grenade', 'exploding car', 'exploding house', 'tank', 'rpg', 'american flag', 'prisoner of war', 'police station', 'self sacrifice', 'electro magnetic pulse', 'turncoat', 'revenge', 'assault rifle', 'machine gun', 'betrayal', 'ambush', 'shootout', 'shot to death', 'shot in the chest', 'shot in the head', 'mayor', 'pistol', 'death of brother', 'boyfriend girlfriend relationship', 'power outage', 'high school football', 'murder of a police officer', 'collaborator', 'police sergeant', 'us marine', 'explosion', 'tracking device', 'underground resistance', 'machismo', 'brother brother relationship', 'remake of american film', 'two word title', 'color in title', 'remake', 'death of friend', 'death of father', 'surprise ending', "stealing food off someone's plate"]</t>
  </si>
  <si>
    <t>tt0907657</t>
  </si>
  <si>
    <t>['Drama', 'Music', 'Romance']</t>
  </si>
  <si>
    <t>['independent film', 'ireland', 'payphone', 'watching tv', 'scene during opening credits', 'music band', 'young daughter', 'piggy bank', 'single man married woman relationship', 'music rehearsal', 'music composer', 'reference to the czech republic', 'piano as a gift', 'throwing a frisbee', 'estranged husband estranged wife relationship', 'reference to felix mendelssohn', 'riding a motorcycle', 'tying shoelaces', 'attempted theft', 'public urination', 'minimalism', 'song', 'street', 'vacuum cleaner', 'immigrant', 'singing', 'money', 'studio', 'street musician', 'repair shop', 'recording studio', 'pianist', 'musician', 'guitar', 'flower seller', 'busker', 'europe', 'public phone', 'expensive gift', 'london england', 'one word title', 'demonstration disc', 'violinist', 'thief', 'strolling musician', 'street life', 'seaside', 'restaurant', 'neighbor', 'music producer', 'mother son relationship', 'love triangle', 'lost love', 'listening to music', 'keyboardist', 'home movie', 'heroin addict', 'food', 'drummer', 'drinking', 'dog', 'crying', 'clothing', 'clothing store', 'cigarette smoking', 'chase', 'cd player', 'cafe', 'battery', 'answering machine', 'airport', 'grandmother granddaughter relationship', 'telephone call', 'sound studio', 'sound engineer', 'recording session', 'mother daughter relationship', 'house cleaning', 'flat', 'f word', 'dinner', 'cd', 'beach', 'bohemian', 'unrequited love', 'songwriter', 'singer', 'music store', 'guitarist', 'friend', 'friendship', 'father son relationship', 'ex boyfriend ex girlfriend relationship', 'estranged husband', 'dublin ireland']</t>
  </si>
  <si>
    <t>tt8639136</t>
  </si>
  <si>
    <t>['Drama', 'Thriller', 'War']</t>
  </si>
  <si>
    <t>['1940s', 'indonesia', 'based on true story', 'independence', 'year 1946', 'military', 'army', 'captain', 'amazon prime original', 'camp', 'elite', 'dutch east indies', 'japanese occupation', 'dutch occupation', 'monkey meat', 'ambush', 'struggle for indonesian independence', 'rebels', 'first kill', 'hunter versus prey', 'muslims', 'christians', 'chinese', 'javanese', 'communist', 'capitalism', 'special forces', 'dutch soldier', 'dutch history', 'timeframe 1940s', 'soldier', 'tank', 'explore', 'village', 'squad', 'four year war', 'controversial', 'ptsd', 'freedom']</t>
  </si>
  <si>
    <t>tt1911658</t>
  </si>
  <si>
    <t>['fireworks', 'talking animal', 'polar bear', 'wolf', 'cat', 'octopus', 'penguin', 'owl', 'revenge plot', 'paper clip', 'mermaid costume', 'spy', 'park', 'statue of liberty', 'little girl', 'television van', 'massive explosion', 'ice cream truck', 'chef', 'abacus', 'lobster claw', 'vending machine', 'food cart', 'pest control', 'television news report', 'baseball bat', 'hover tank', 'exo suit', 'henchman', 'pineapple', 'mutant', 'life raft', 'view through binoculars', 'master of disguise', 'corporal', 'pilot', 'commercial pilot', 'desert', 'bouncy castle', 'parachute', 'passenger jet', 'remote island', 'tranquilizer dart', 'military salute', 'seal the animal', 'serum', 'doomsday weapon', 'sheep', 'headquarters', 'strike force', 'futuristic aircraft', 'submarine', 'dead end', 'gondola', 'helicopter', 'marine park', 'snowglobe', 'capture', 'trapped', 'glass ball', 'panic', 'weapon', 'circus', 'disguise', 'true identity revealed', 'revenge seeker', 'rescue', 'elite team', 'scene during end credits', 'funny face', 'jetpack', 'sequel', 'revenge', 'break in', 'zoo', 'cricket the insect', 'mutant animal', 'squid', 'shanghai china', 'bear', 'map', 'airplane', 'box', 'disguised as a human', 'costume', 'cage', 'antlers', 'aircraft cockpit', 'slow motion scene', 'supervillain', 'venice italy', 'doll', 'spin off', 'cgi animation', 'computer generated imagery', 'sequel to tv series', 'animal in title', 'psychotronic film', 'new york city', 'movie flop', 'anthropomorphic animal', 'computer animation', 'altered version of studio logo', 'bird in title', 'three word title', 'spy comedy', 'dreamworks', 'title directed by male', 'title directed by man', 'title written by male', 'male antagonist', 'male protagonist', 'shrekcore', 'furry', 'slimehouse', 'animal supervillain']</t>
  </si>
  <si>
    <t>tt0888817</t>
  </si>
  <si>
    <t>Family Guy - Star Wars trilogy</t>
  </si>
  <si>
    <t>['reference to airplane', 'reference to princess leia', 'reference to han solo', 'reference to luke skywalker', 'reference to harrison ford', 'reference to the breakfast club', 'male protagonist', 'killed just before retirement', 'actor voices multiple characters', 'meg griffin character', 'glenn quagmire character', 'lois griffin character', 'stewie griffin character', 'chris griffin character', 'brian griffin character', 'herbert the pervert character', 'cleveland brown character', 'musical segment', 'talking dog', 'couch', 'humanoid alien', 'reference to doctor who', 'reference to the muppets', 'starship', 'lightsaber', 'decapitation', 'beheading', 'alien creature', 'holographic message', 'holographic projection', 'escape pod', 'desert planet', 'reference to star wars', 'death star', 'white male pretending to be black', 'authorized parody', "killed on the day before one's retirement", 'wilhelm scream', 'spontaneous erection', 'tastes like chicken joke', 'stock footage', 'star wars spoof']</t>
  </si>
  <si>
    <t>tt1631867</t>
  </si>
  <si>
    <t>['time loop', 'alien', 'alien invasion', 'dying repeatedly', 'end of the world', 'combat', 'trapped in a time loop', 'near future', 'battle', 'soldier', 'time travel', 'beach', 'training', 'courage', 'female warrior', 'action heroine', 'unlikely hero', 'sergeant', 'army', 'france', 'death', 'scientist', 'united kingdom', 'bar', 'human versus alien', 'time reversal', 'time manipulation', 'time paradox', 'back in time', 'military training', 'alternate timeline', 'exo suit', 'barracks', 'fear', 'violence', 'pub', 'chase', 'robot suit', 'army base', 'helicopter', 'female soldier', 'super soldier', 'exploding building', 'fictional war', 'alien contact', 'based on light novel', 'based on novel', 'subjective camera', 'driving a car without a door', 'non humanoid alien', 'heroine', 'tough woman', 'woman murders a man', 'woman with a gun', 'bare midriff', 'caravan trailer', 'male major', 'rotorcraft', 'firearm', 'handgun', 'male general', 'blackmail attempt', 'gun', 'mustached man', 'us soldier', 'military aircraft', 'night', 'weapons fire', 'male master sergeant', 'nighttime', 'motor vehicle', 'bladed weapon', 'vehicle', 'explosive', 'military vehicle', 'handcuffed man', 'hawaiian shirt', 'doctor', 'extraterrestrial alien', 'humanity in peril', 'semi automatic weapon', 'two seater aircraft', 'extraterrestrial', 'view in sideview mirror', 'invasion', 'semi automatic pistol', 'male doctor', 'vision of the future', 'speeding vehicle', 'two seater helicopter', 'reluctant hero', 'louvre pyramid', 'female sergeant', 'secretary', 'wall safe', 'transponder', 'underground parking', 'louvre museum paris', 'female secretary', 'motor truck', 'man killed', 'minivan', 'forward operating base', 'injured female', 'exploding aircraft', 'assault rifle', 'britoness', 'renault motor vehicle', 'abandoned building', 'injured woman', 'british soldier', 'american man', 'time traveler', 'male time traveler', 'female time traveler', 'backwards time travel', 'movie flop', 'two seater', 'male protagonist', 'dropship', 'body lands on a car', 'woman with long hair', 'man wears a hawaiian shirt', 'blockbuster', 'biopunk', 'dystopian sci fi', 'timeframe 2020s', 'timeframe 21st century', 'alien invasion sci fi', 'blood', 'alien race', 'general', 'destruction', 'squad', 'warrior', 'military', 'male soldier', 'handcuffed', 'jaguar xf', 'jaguar the car', 'renault espace', 'renault', 'driving', 'driving a car', 'automobile', 'car', 'kiss', 'weapon', 'chaos', 'cult film', 'playing card', 'eating non food', 'futuristic aircraft', 'shot in the back', 'drop from helicopter', 'grenade', 'military police', 'claymore land mine', 'hit by a truck', 'military truck', 'sleeping man', 'bridge', 'press conference', 'suv', 'amusement park ride', 'helicopter gunship', 'hand gun', 'four star general', 'exoframe', 'army major', 'tentacled alien', 'master sergeant', 'repetition', 'repeated line', 'repeated scene', 'dune', 'close up of eyes', "finishing someone's sentence", 'slow motion scene', 'trailer', 'beach landing', 'hallucination', 'alien creature', 'underwater explosion', 'motorcycle', 'sword', 'time warp', 'shot to death', 'repeated event', 'aircraft', 'power suit', 'meteor', 'push ups', 'three word title', 'cybernetic', '3 dimensional', 'reliving same event', 'war violence', 'electromagnetic pulse', 'helmet', 'broken leg', 'high tech', 'american abroad', 'knife', 'rescue', 'escape', 'knocked out', 'map', 'safe', 'dam', 'germany', 'snow', 'axe', 'farmhouse', 'radio', 'abandoned house', 'stealing a car', 'trailer park', 'corpse', 'vision', 'seeing the future', 'armored car', 'armory', 'shooting range', 'target practice', 'flood', 'blood splatter', 'underwater scene', 'blue blood', 'falling from height', 'flare', 'self sacrifice', 'hand grenade', 'fire', 'helicopter crash', 'crash landing', 'shotgun', 'grenade launcher', 'rocket launcher', 'desert eagle', 'pistol', 'machine gun', 'heavy rain', 'card game', 'parking garage', 'arrest', 'handcuffs', 'ambush', 'montage', 'deception', 'dog tag', 'power outage', 'car chase', 'foot chase', 'taser', 'apocalypse', 'hologram', 'southern accent', 'australian', 'news report', 'media coverage', 'irish', 'subterranean', 'big ben london', 'trafalgar square london', 'meteor shower', 'eiffel tower paris', 'airport', 'louvre museum', 'paris france', 'london england', 'tough guy', 'tough girl', 'british army', 'mercenary', 'male rear nudity', 'bare butt', 'crushed to death', 'exploding truck', 'exploding trailer', 'exploding airplane', 'exploding helicopter', 'shot in the head', 'stabbed in the back', 'stabbed in the chest', 'explosion', 'person on fire', 'exploding body', 'creature', 'battlefield', 'no opening credits', 'no title at beginning', 'surrealism', 'major', 'special forces', 'tied to a bed', 'black comedy', 'surprise ending']</t>
  </si>
  <si>
    <t>tt1436045</t>
  </si>
  <si>
    <t>['Action', 'Adventure', 'Drama']</t>
  </si>
  <si>
    <t>['samurai', 'japan', 'seppuku', 'suicide', 'assassin', 'massacre', 'violence', 'beheading', 'decapitation', 'multiple amputee', 'katana sword', 'katana', '1840s', 'timeframe 1840s', 'timeframe 19th century', 'shogun', 'lord', 'suicide mission', 'guide', 'hunter', 'multiple versions', '19th century', 'ends with text', 'love of war', 'severed head', 'running on roof', 'immolation', 'building collapse', 'slingshot', 'bridge explosion', 'rabbit', 'waterfall', 'odd or evens game', 'gambling', 'bonsai tree', 'murder of a child', 'shot with an arrow', 'wading in water', 'year 1844', 'film starts with text', 'emaciation', 'non human', 'healed injury', 'flesh eating', 'bloody spray', 'gore', 'shot with a bow and arrow', 'bow and arrow', 'explosion', 'duel', 'kung fu', 'kendo', 'martial arts', 'chop socky', 'stick fight', 'spear', 'sword duel', 'swordsman', 'blood splatter', 'blood', 'hand to hand combat', 'combat', 'battle', 'battlefield', 'sword fight', 'kimono', 'loyalty', 'immortal', 'showdown', 'explosive', 'sheath', 'fishing', 'jidai geki', 'dojo', 'political assassination', 'assassination plot', 'assassination', 'tyrant', 'recruiting', 'ronin', 'warrior', 'stabbed in the back', 'stabbed in the stomach', 'stabbed to death', 'stabbed in the chest', 'stabbing', 'falling into mud', 'mud', 'amputee', 'hara kiri', 'code of honor', 'honor', 'jumping from a rooftop', 'rooftop', 'booby trap', 'trap', 'samurai warrior', 'samurai sword', 'samurai era', 'foreign version', 'cat house', 'brothel', 'bordello', 'alternate version', 'remake']</t>
  </si>
  <si>
    <t>tt5173032</t>
  </si>
  <si>
    <t>['male rear nudity', 'male nudity', 'fugitive', 'bath', 'shower', 'f rated']</t>
  </si>
  <si>
    <t>tt1024648</t>
  </si>
  <si>
    <t>['Biography', 'Drama', 'Thriller']</t>
  </si>
  <si>
    <t>['iran', 'hostage', 'us embassy', 'escape', 'protest', 'f word', 'year 1979', 'based on true story', 'american propaganda', 'iranian', 'canadian', 'ambassador', 'revolution', 'film crew', 'islamic revolution', 'exfiltration', 'passport', 'cia agent', 'cover story', 'government', 'swissair', 'narrow escape', 'perilous escape', 'location scout', 'what happened to epilogue', 'islamic fundamentalism', 'fictional science fiction film', 'fake film director', 'film script', 'film industry', 'assumed identity', 'cover identity', 'ends with historical notes', 'intelligence star', 'airline ticket', 'car fire', 'driving through a crowd', 'corpse hanging by the neck in public', 'visa', 'istanbul turkey', 'wedding ring', 'mock execution', 'script reading', 'movie script', 'reassembling a shredded document', 'awakened by a phone', 'climbing a fence', 'burning an american flag', 'reference to ayatollah kohmeni', 'archival photograph', "1953 iranian coup d'etat", 'storyboard', 'husband wife relationship', 'secret mission', 'subtitled scene', 'bazaar', 'film studio', 'tear gas', 'deception', 'firing squad', 'hollywood california', 'hollywood sign', 'movie poster', 'fake movie deal', 'variety the newspaper', 'intelligence agent', 'american canadian relations', 'paper shredder', 'shredded document', 'hanged man', 'polaroid camera', 'fake passport', 'prologue', 'riot', 'angry mob', 'news footage', 'hiding place under floor', 'hiding under floorboards', 'hiding place', 'child labor', 'movie set', 'washington dc', 'los angeles california', 'iranian revolution', 'marketplace', 'year 1980', 'secret agent', 'iran hostage crisis', 'rescue mission', 'american abroad', 'diplomat', 'tehran iran', 'extraction', 'false identity', 'airport', 'film within a film', '444 days', 'soviet invasion of afghanistan', 'reference to mohammad reza shah pahlavi', 'minotaur character', 'the white house', 'reference to muhammad', 'reference to karl marx', 'retro version of studio logo', 'cia central intelligence agency', 'state terrorism', 'radical islam', 'fundamentalism', 'totalitarianism', 'theocracy', 'massacre', 'dictatorship', 'fascism', 'right wing extremist', 'terrorism', 'based on magazine article', 'historical drama', "character repeats someone else's dialogue", 'timeframe 1970s', 'canadian embassy', 'volkswagen bus', 'shredding a document', 'burning a document', 'day 87', 'champagne', 'air traffic control', 'audio begins before video', 'canadian flag lapel pin', 'british airways', 'flash forward', 'boeing 747', 'walkie talkie', 'gas mask', 'break in', 'bolt cutter', 'savak', 'archival footage', 'lens flare', 'finger gun', 'bilingualism', 'film producer', 'blindfolded', 'bag over head', 'execution', 'shot to death', 'shot in the chest', 'burbank california', 'langley virginia', 'father son relationship', 'crane', 'film set', 'polaroid', 'animated prologue', 'sweatshop', 'incinerator', 'airplane', 'press conference', 'directed by star', 'name in title', 'turkey the country', 'canadian accent', 'year 2001', 'year 1981', 'parrot', 'teletype', 'kentucky fried chicken', 'traffic jam', 'reference bani sadr', 'revisionist history', 'reference to led zeppelin', 'title appears in text', 'title appears in writing', 'reference to warren beatty', 'bare chested male', 'one word title', 'actor shares first name with character', 'title spoken by character']</t>
  </si>
  <si>
    <t>tt1856101</t>
  </si>
  <si>
    <t>['Action', 'Drama', 'Mystery', 'Sci-Fi', 'Thriller']</t>
  </si>
  <si>
    <t>['female nudity', 'female full frontal nudity', 'female frontal nudity', 'environmental damage', 'female rear nudity', 'capitalism', 'sex scene', 'nudity', 'capitalist', 'virtual sex', 'love interest', 'prostitute', 'holographic girl', 'dystopia', 'investigation', 'product placement', 'memory implant', 'blue haired woman', 'dog', 'sequel', 'artificial intelligence', 'science', 'robot', 'romance with artificial intelligence', 'violence', 'detective', 'replicant', 'flying car', '2040s', 'future noir', 'manicure', 'police detective', 'sequel to cult favorite', 'implanted memory', 'cyberpunk', 'dark future', 'slave labor', 'police officer', 'child slavery', 'cityscape', 'interrogation', 'bounty hunter', 'simulate', 'trust', 'revolution', 'sex for money', 'cult film', 'genetic engineering', 'year in title', 'reference to elvis presley', 'toy horse', 'father daughter reunion', 'blade runner', 'fugitive', 'holographic companion', 'existentialism', 'film starts with text', 'death of protagonist', 'lapd', 'martial arts', 'punched in the face', 'kicked in the face', 'beating', 'shot in the head', 'death', 'brutality', 'mercilessness', 'kidnapping', 'no opening credits', 'clone', 'police captain', 'california', 'ceo', 'man fights a woman', 'man punches a woman', 'woman fights a man', 'strangulation', 'threatened with a knife', 'stabbed in the chest', 'statue', 'casino', 'bar', 'skull', 'neo noir', 'near future', 'tech noir', 'las vegas nevada', 'subtitled scene', 'reference to frank sinatra', 'three word title', 'child labor', 'photograph', 'crying man', 'reference to marilyn monroe', 'futuristic', 'fistfight', 'altered version of studio logo', 'pollution', 'henchwoman', 'hall of records', 'radiation', 'skeleton', 'blindness', 'faked death', 'pregnancy', 'cover up', 'tree', 'memory', 'disembowelment', 'blood splatter', 'megacorporation', 'throat slitting', 'hologram', 'heavy rain', 'abandoned hotel', 'nightclub', 'flashback', 'suspended cop', 'ex soldier', 'electronic music score', 'little boy', 'psychological test', 'panic', 'chainsaw', 'actor reprises previous role', 'younger version of character', 'search', 'neon', 'neo western', 'police', 'second part', 'gunfight', 'punched in the chest', 'fighting', 'fight to the death', 'pistol', 'shot in the forehead', 'fighting the system', 'albino', 'war veteran', 'seduction', 'flying in rain', 'stabbed in the belly', 'spinet piano', 'kicked while down', 'walking in a snow shower', 'ashtray full of cigarette butts', 'final showdown', 'case', 'visionary', 'match', 'synchronicity', 'pod', 'dancer', 'hit in the face', 'flashlight', 'dog drinks whiskey', 'mother son relationship', 'stranger', 'breaking through a wall', 'gun pointed at head', 'name calling', 'bloody face', 'nose bandage', 'dead mother', 'mother daughter relationship', 'flash forward', 'montage', 'courage', 'holding hands', 'pilot', 'audio flashback', 'saving a life', 'pain', 'joy', 'stabbed in the leg', 'underwater scene', 'swimming', 'sitting on steps', 'reflection in eyeglasses', 'baldness', 'sense of touch', 'undressing', 'blowing a whistle', 'hit with a gun', 'hit in the nose with a gun', 'hit in the nose', 'photographer', 'woods', 'immune system', 'tapping on a glass wall', 'cage', 'dressing', 'freedom', 'coffee', 'machine', 'snowing', 'arrest', 'antenna', 'double image', 'radioactivity', 'drinking', 'roulette wheel', 'gunshot', 'falling from height', 'dna', 'hair', 'handshake', 'data', 'distorted sound', 'retirement', 'procreation', 'kiss', 'ballet dancer', 'boy', 'dark glasses', 'japanese', 'carving into tree bark', 'building on fire', 'baby bootie', 'pursuit', 'nickname', 'hunter and the hunted', 'death of a girl', 'orphan', 'girl', 'disappearance', 'waterfall', 'waste processing', 'waste dump', 'harpoon', 'crash landing', 'flying automobile', 'aerial camera shot', 'destruction', 'id', 'man murders a woman', 'murder of a police officer', 'supernatural power', 'crying woman', 'ecosystem', 'begins with text', 'sense of smell', 'year 2049', 'reflection in water', 'garlic', 'year 2020', 'worm', 'gun', 'awol', 'bloody hands', 'finger snap', 'public address system', 'korean', 'hungarian', 'graffiti', 'arm wound', 'mirror', 'looking at oneself in a mirror', 'shower', 'food', 'eating', 'listening to music', 'anniversary', 'cigarette smoking', "lighting a cigarette with one's finger", 'rain', 'happiness', 'voice message', 'dead body', 'autopsy', 'c section', 'miracle', 'combat medic', 'apology', 'boots', 'neon light', 'crash', 'burn', 'vertical take off', 'chauffeur', 'holster', 'menace', 'handheld weapon', 'manhunt', 'computer screen', 'reflection', 'psychotronic film', 'vehicle', 'advanced technology', 'high tech', 'very little dialogue', 'mean woman', 'spaghetti western imitation', 'space western', 'sci fi western', 'virtual woman', 'woman murders a man', 'call girl', 'synthetic', 'present', 'brothel', 'optical storage', 'glass wall', 'archive', 'microfilm reader', 'bombardment', 'recycling', 'tripwire', 'woman undresses for a man', 'award winner', 'art film', 'kubrickian', 'woman hires a prostitute', 'female police officer', 'female police officer deceased', 'candy cinema', 'woman drowned', 'power outage', "character repeats someone else's dialogue", 'part of duology', 'biopunk', 'postmodern', 'dystopian sci fi', 'artificial intelligence sci fi', 'robot sci fi', 'cyberpunk sci fi', 'murder of a nude woman', 'scantily clad female', 'cfnf', 'lesbian', 'implied lesbian sex', 'weapon', 'explore', 'city', 'snow', 'los angeles california', 'shootout', 'opening action scene', 'maggot', 'blind man', 'orphanage', 'drowning', 'origami', 'resistance fighter', 'piano', 'future shock', 'danger', 'tracking device', 'binoculars', 'disarming someone', 'eyeball', 'pregnant replicant', 'baby', 'cheese', 'surprise ending', 'social commentary', 'toy wooden horse', 'female police captain', 'shepard tone', 'fight', 'brawl', 'mixed martial arts', 'hand to hand combat', 'kicked in the stomach', 'beaten to death', 'shot in the chest', 'shot in the arm', 'shot to death', 'car chase', 'car crash', 'car accident', 'chase', 'explosion', 'exploding body', 'exploding car', 'cannon', 'murder', 'hostage', 'held at gunpoint', 'rescue', 'escape', 'deception', 'betrayal', 'blood', 'no title at beginning', 'suspense', 'subjective camera', "character's point of view camera shot", 'cloning', 'deoxyribonucleic acid', 'microscope', 'police car', 'police station', 'retired cop', 'bilingualism', 'woman punches a man', 'knife', 'stabbed in the arm', 'stabbed to death', 'super computer', 'umbrella', 'mission', 'restaurant', 'jukebox', 'flower', 'forensic evidence', 'whiskey', 'drone', 'missile', 'rocket', 'junkyard', 'farm', 'farmer', 'shot through a wall', 'on the run', 'dream', 'night cityscape', 'beard', 'corpse', 'broken back', 'conspiracy', 'revelation', 'scavenger', 'macguffin', 'apartment', 'technology', 'flood', 'water', 'garbage truck', 'noodles', 'handcuffs', 'shot in the back', 'trenchcoat', 'wheelchair', 'retirement home', 'man with no name', 'freedom fighter', 'resistance', 'female fighter', 'fire', 'philosophy', 'bruise', 'engineer', 'designer', 'inventor', 'rooftop', 'pier', 'tragic past', 'tragic event', 'billboard', 'lieutenant', 'birthday cake', 'fear', 'camera', 'beehive', 'future', 'blue hair', 'desert', 'peugeot', 'grub', 'protein farmer', 'steak dinner', 'buried foot locker', 'super gluing a wound', 'quick change', 'gift', 'walking in the rain', 'ossuary', 'death in childbirth', 'lock of hair', 'origami cow', 'wood carving', 'square liquor bottle', 'aerial drone', 'tear on cheek', 'rage', 'stabbed in the back', 'scalpel', 'ballerina', 'dead tree', 'yellow flower', 'serial number', 'house fire', 'baby sock', 'foot chase', 'surveillance drone', 'aerial bombardment', 'whistle', 'superposition', 'blowing out candles on a birthday cake', 'birthday party', 'beetle', 'furnace', 'hiding place', 'taskmaster', 'soil', 'eradication', 'root ball', 'root', 'tree root', 'scientist', 'automaton', 'secret', 'crate', 'mystical vision', 'blade', 'big knife', 'simulation', 'lock', 'dancing', 'toy wooden lion', 'toy wooden rhinoceros', 'head wound', 'father son relationship', 'toy wooden elephant', 'looking out a window', 'beeper', 'slow motion scene', 'hand bandage', 'father daughter relationship', 'puzzle', 'flashback montage', 'angel', 'green eyes', 'male female fight', 'lying on steps', 'bombing', 'bald child', 'ashtray', 'insect', 'crying', 'screaming', 'police siren', 'foreign language', 'reference to liberace', 'drink', "crushing someone's hand", 'bee', 'fallen chandelier', 'gambling casino', 'tea', 'birthday', 'jingle', 'slave', 'stabbing', 'old man', "old people's home", 'toy', 'piano player', 'year 2021', 'eye bleeding', 'birth date', 'coincidence', 'windshield wiper', 'san diego california', 'biology', 'ex policeman', 'airplane shot down', 'year 1966', 'reference to vladimir nabokov', 'soul', 'morgue', 'thunder', 'grid', 'spotlight', 'shoulder holster', 'shoulder', 'page torn from a book', 'johnny walker black label scotch whiskey']</t>
  </si>
  <si>
    <t>tt8108198</t>
  </si>
  <si>
    <t>['Comedy', 'Crime', 'Music', 'Mystery', 'Thriller']</t>
  </si>
  <si>
    <t>['blind', 'neo noir', 'pianist', 'murder', 'blackmail', 'love', 'rabbit', 'hunter', 'affair', 'police', 'star', 'bar', 'living alone', 'pretending to be blind', 'singer', 'kiss', 'policeman', 'surprise', 'black glasses', 'pet', 'cat', 'coffee', 'rickshaw driver', 'lottery', 'police station', 'daughter', 'funeral', 'rickshaw', 'scream', 'operation', 'kidney transplant', 'kidney sell', 'tattoo', 'funeral song', 'blood', 'shotgun', 'video clip', 'evidence', 'breakup', 'road', 'field', 'hunting', 'wheelchair', 'kidnapping', 'neighbor', 'husband wife relationship', 'sex scene', 'wedding anniversary', 'surprise ending', 'trapped in an elevator', 'blood test', 'europe', 'fake blind man', 'car accident', 'female antagonist', 'unfaithful', 'liar revealed', 'dead body', 'bare chested male', 'male underwear', 'male female relationship', 'male female kiss', 'female villain', 'fight', 'elevator', 'unfaithful wife', 'smartphone', 'musician', 'piano', 'playing piano', 'police man', 'scissor', 'organ trafficking', 'evil woman', 'venom']</t>
  </si>
  <si>
    <t>tt6499752</t>
  </si>
  <si>
    <t>['microchip', 'dystopia', 'revenge', 'surgery', 'artificial intelligence', 'violence', 'widower', 'quadriplegic', 'near future', 'cyborg', 'body enhancement', 'experimental', 'murder', 'robotics', 'technology', 'high tech', 'super computer', 'car chase', 'police chase', 'car crash', 'car accident', 'brutality', 'brawl', 'hand to hand combat', 'experimental technology', 'drone', 'super soldier', 'gore', 'nanotechnology', 'mind control', 'supernatural power', 'death of wife', 'loss of wife', 'autonomous car', 'wheelchair', 'computer hacker', 'detective', 'police detective', 'investigation', 'tracking device', 'vigilante', 'vigilante justice', 'cybernetics', 'cyberpunk', 'futuristic', 'futuristic house', 'seeing wife murdered', 'splatter', 'electronic music score', 'written by director', 'no opening credits', 'no title at beginning', 'title at the end', 'robot', 'android', 'corporation', 'science runs amok', 'revelation', 'beaten to death', 'social commentary', 'death', 'mercilessness', 'hostage', 'held at gunpoint', 'rescue', 'deception', 'betrayal', 'double cross', 'blood', 'blood splatter', 'blood on camera lens', 'surrealism', 'f word', 'profanity', 'fistfight', 'martial arts', 'mixed martial arts', 'punched in the face', 'punched in the chest', 'beating', 'car rollover', 'overturning car', 'foot chase', 'gun', 'pistol', 'disarming someone', 'knocked out', 'body horror', 'lens flare', 'neo noir', 'tech noir', 'future noir', 'stylized violence', 'surveillance footage', 'security camera', 'surveillance', 'henchman', 'ex marine', 'tattoo', 'ex soldier', 'filmed killing', 'stabbed in the hand', 'stabbed in the head', 'throat ripped open', "breaking a bottle over someone's head", 'glowing eyes', 'superhuman strength', 'super strength', 'fight to the death', 'cover up', 'montage', 'mother son relationship', 'husband wife relationship', 'self driving car', 'car driving itself', 'driving in reverse', 'sabotage', 'malfunction', 'hologram', 'product placement', 'beard', 'mustache', 'shaving', 'vomit', 'broken leg', 'broken arm', 'scalpel', 'threatened with a knife', 'eccentric', 'inventor', 'science', 'long take', 'hallucination', 'dream', 'stabbed in the arm', 'stabbed in the neck', 'shot in the chest', 'shot in the head', 'shot in the arm', 'shot to death', 'head blown off', 'exploding head', 'x ray vision', 'shot through a wall', 'race against time', 'australian', 'mullet haircut', 'laptop computer', 'spiral staircase', 'wiretapping', 'eavesdropping', 'impalement', 'sports car', 'texting', 'home invasion', 'police car', 'police officer', 'police officer killed', 'showdown', 'final showdown', 'police', 'suspicion', 'hospital', 'coma', 'waking up from a coma', 'flash forward', 'corporate executive', 'masked man', 'fight in the restroom', 'bodyguard', 'bar', 'bartender', 'strangulation', 'throat slitting', 'moral dilemma', 'near death experience', 'man fights a woman', 'x rayed skeleton', 'anti hero', 'vigilantism', 'death wish', 'electrocution', 'taser', 'flashback', 'torture', 'interrogation', 'suffocation', 'rooftop', 'self mutilation', 'drawing', 'corpse', 'autopsy', 'one against many', 'ambush', 'thug', 'satire', 'female doctor', 'car repair', 'pontiac firebird', 'drinking beer from a bottle', 'sharing a beer', 'cut finger', 'future cityscape', 'artificial cloud', 'computer malfunction', 'pistol whipped', 'robot arm', 'hacked car computer', 'tent city', 'surveillance drone', 'man on life support', 'fast forward', 'high on drugs', 'attempted suicide', 'chief executive officer', 'surgical mask', 'close up of eyes', 'surgical staple', 'camera shot of feet', 'crutch', 'treadmill', 'knife fight', 'man vomiting', 'computer implant', 'grease', 'military id tattoo', 'virtual set', 'slurping a drink with a straw', 'virtual reality', 'biker bar', 'shell casing', 'stabbed in the leg', 'electric shock', 'bloody face', 'download', 'nanobot', 'tasered', 'sneeze', 'mother visiting', 'implanted gun', 'loading a gun', 'analog listening device', "running for one's life", 'infrared vision', 'autonomous', 'evasive driving', 'computer becomes self aware', 'electronically hijacking a car', 'gun held to head', 'impaled with a shard of glass', 'strangled', 'stabbed through the hand', 'aerial camera shot', 'car mechanic', 'techno thriller', 'female police officer shot', 'female police officer', 'man uses a wheelchair', 'man murders a woman', 'female police officer deceased', 'camouflage uniform', 'ozploitation', "character repeats someone else's dialogue", 'cyborg sci fi', 'dystopian sci fi', 'biotech sci fi', 'cyberpunk sci fi', 'australian science fiction', 'independent film', 'surprise ending', 'evil wins', 'one word title', 'black comedy']</t>
  </si>
  <si>
    <t>tt2404435</t>
  </si>
  <si>
    <t>['Action', 'Adventure', 'Western']</t>
  </si>
  <si>
    <t>['showdown', 'remake', 'industrialist', 'bounty hunter', 'gunfighter', 'good versus evil', 'die hard scenario', 'church', 'army', 'mercenary', 'gambler', 'small town', 'outlaw', 'evil man', 'on the run', 'christ allegory', 'honor', 'poetic justice', 'righteous rage', 'revelation', 'guerilla warfare', 'haunted by the past', 'asian american', 'assassin', 'teamwork', 'mining town', 'spyglass', 'betrayal', 'deception', 'fugitive', 'bartender', 'interrogation', 'prostitute', 'dark past', 'near death experience', 'tent', 'kicking in a door', 'disarming someone', 'husband wife relationship', 'cowboy hat', 'forest', 'cabin in the woods', 'black hero', 'cemetery', 'horse drawn carriage', 'mansion', 'tough guy', 'action hero', 'training', 'bravery', 'shot multiple times', 'evacuation', 'rescue', 'falling down stairs', 'archery', 'arson', 'miner', 'farmer', 'criminal', 'magic trick', 'horse chase', 'reference to john d rockefeller', 'self sacrifice', 'duel', 'murder', 'death of husband', 'two gun holster', 'gun holster', 'holster', 'gun', 'double gun holster', 'shoulder holster', 'shoulder', 'firearm', '1870s', 'black western', 'aerial camera shot', 'columbia tristar', 'young widow', 'widow', 'irishman', 'bladed weapon', 'mustached man', 'killed with an arrow', 'weapon', 'three word title', 'animal', 'lever action rifle', 'husband killed', 'handheld weapon', 'villain', 'quadruped', 'king of hearts', 'nighttime', 'handgun', 'loss of husband', '3 of hearts', 'projectile weapon', 'wilderness', 'dead body', 'night', 'three of hearts', 'rooftop', 'bow the weapon', 'steeple', 'reference to joan of arc', 'explosive', 'corrupt sheriff', 'bearded man', 'volcanic springs', 'town', 'shot in the back with an arrow', 'sidearm', 'vehicle', 'male sheriff', 'church steeple', 'stagecoach', 'sacramento', 'horse drawn wagon', 'plunger detonator', 'man shot in the back', 'firefight', 'detonator', 'wagon', 'man shot in the forehead', 'ungulate', 'ptsd post traumatic stress disorder', 'mammal', "character repeats someone else's dialogue", 'child in jeopardy', 'murder of an innocent person', 'murder of a man', 'shooting a man', 'man wears an eyepatch', 'woman with long hair', 'timeframe 1870s', 'timeframe 19th century', 'contemporary western', 'long range rifle', 'final showdown', 'final battle', 'apache', 'comanche', 'burial ground', '19th century', 'abandoned mine', 'chaos', 'sawed off shotgun', 'knife in the chest', 'killing an animal', 'tattoo', 'thug', 'alcoholic', 'last stand', 'enforcer', 'ensemble cast', 'gunslinger', 'friendship', 'sniper', 'ethnic slur', 'racial slur', 'face paint', 'prologue', 'dark hero', 'african american', 'cellar', 'standoff', 'pistol whipped', 'knocked out with a gun butt', 'badge', 'death of loved one', 'one against many', 'woods', 'coffin', 'hostile takeover', 'sociopath', 'warrior', 'cowardice', 'courage', 'southern accent', 'eye patch', 'bell tower', 'cigar smoking', 'interracial friendship', 'escape', 'held at gunpoint', 'blood', 'axe fight', 'knife fight', 'fight to the death', 'wisecrack humor', 'black comedy', 'jumping from height', 'threatened with a knife', 'knife throwing', 'knife', 'axe throwing', 'axe', 'shot with an arrow', 'flaming arrow', 'archer', 'abandoned church', 'person on fire', 'torch', 'fire', 'gold', 'farm', 'goat', 'hired killer', 'henchman', 'card game', 'wanted poster', 'trip wire', 'booby trap', 'ambush', 'combat', 'battlefield', 'baron', 'evil businessman', 'tycoon', 'corruption', 'shot through a wall', 'dual wield', 'slow motion scene', 'six shooter', 'revolver', 'shotgun', 'western town', 'remake of remake', 'mercilessness', 'brutality', 'violence', 'death', 'canyon', 'shot in the leg', 'bilingualism', 'shot in the throat', 'reference to abraham lincoln', 'battle', 'close up of eyes', 'heroism', 'title at the end', 'voice over narration', 'grave', 'scar', 'strangulation', 'scarf', 'revenge', 'church bell', 'gatling gun', 'exploding body', 'explosion', 'shot in the eye', 'dynamite', 'trench', 'mine', 'target practice', 'montage', 'sacramento california', 'camaraderie', 'bow and arrow', 'falling from height', 'thrown through a window', 'shot through a window', 'drunkenness', 'campfire', 'comanche indian', 'cowboy', 'sharpshooter', 'shot in the hand', 'impalement', 'tracker', 'civil war veteran', 'ex soldier', 'stabbed to death', 'stabbed in the leg', 'stabbed in the back', 'stabbed in the chest', 'quick draw', 'corpse', 'mexican', 'horse riding', 'horse', 'hidden gun', 'sheriff', 'anti hero', 'card trick', 'gambling', 'shootout', 'one eyed man', 'bar', 'saloon', 'scene during opening credits', 'desert', 'subtitled scene', 'native american', 'tomahawk', 'massacre', 'shot to death', 'shot in the arm', 'shot in the shoulder', 'shot in the ear', 'shot in the forehead', 'shot in the head', 'shot in the foot', 'shot in the back', 'shot in the chest', 'rifle', 'pistol', 'california', 'preacher', 'year 1879', 'death of friend', 'movie flop', 'cigarette smoking', 'barbershop', 'lens flare', 'blood splatter']</t>
  </si>
  <si>
    <t>tt1160419</t>
  </si>
  <si>
    <t>['Action', 'Adventure', 'Drama', 'Sci-Fi']</t>
  </si>
  <si>
    <t>['mind control', 'prescience', 'future', 'empire', 'sandworm', 'doctor', 'mother son relationship', 'combat', 'dead body', 'massacre', 'spy', 'premonition', 'desert', 'sand', 'chosen one', 'male nudity', 'based on novel', 'adaptation', 'duke', 'nobility', 'desert planet', 'science fantasy', 'destiny', 'giant creature', 'giant worm', 'title same as book', 'set up for a sequel', 'father son relationship', 'distant future', 'emperor', 'politics', 'space travel', 'fictional drug', 'dream', 'training', 'bare chested male', 'laser cutter', 'garden', 'tent', 'leadership', 'twin moon', 'binoculars', 'beach', 'scroll', 'priestess', 'subtitled scene', 'bilingualism', 'sign language', 'stabbed in the chest', 'stabbed in the shoulder', 'epic battle', 'compass', 'gadget', 'traitor', 'coming of age', 'dagger', 'disarming someone', 'conspiracy', 'body armor', 'loss of father', 'heavy rain', 'battle', 'battlefield', 'corpse', 'ensemble cast', 'test', 'teenage boy', 'gas mask', 'bound and gagged', 'blue eyes', 'bagpipes', 'palm tree', 'fire', 'gardener', 'aerial camera shot', 'exploration', 'alien', 'pregnancy', 'muscleman', 'voice over narration', 'color blind casting', 'interracial couple', 'high tech suit', 'fictional language', 'refinery', 'walled city', 'reverend mother', 'poison gas', "coup d'etat", 'child prodigy', 'tunnel', 'space pod', 'faith', 'temple', 'blood on shirt', 'culture clash', 'projector', 'glow stick', 'death of father', 'dune', 'space opera', 'feudalism', 'heir', 'messiah', 'year 10191', 'prophetic dream', 'prophecy', 'begins with voice over narration', 'interstellar travel', 'nootropic drug', 'hallucinogenic drug', 'remake', 'psychedelic drug', 'mining', 'concubine', 'betrayal', 'alien planet', 'fictional war', 'mineral', 'creature', 'army', 'laser gun', 'laser', 'galaxy', 'first part', 'recurring dream', 'treason', 'hallucinogen', 'gag', 'part one', 'cliffhanger', 'muscle', 'muscular man', 'space adventure', 'epic film', 'heroic adventure', 'disrupted by covid 19 pandemic', 'invented language', 'spice trade', 'spice harvester', 'spice production', 'spice harvesting', 'spice refinery', 'psychoactive chemical', 'heat', 'outsider', 'spaceship explosion', 'oppressor', 'fighting skills', 'extreme temperature', 'hostile life outside the city', 'native tribe', 'adapt to survive', 'giant sandworm', 'clamoring masses', 'bullfighting', 'mining spice', 'spaceship pilot', 'weapons master', 'invented sign language', 'chanting crowd', 'poison needle', 'impulse control', 'powerful mind', 'shield wall', 'ancient tongue', 'witch', 'sacred knife', 'magnetic field', 'pregnant woman', 'holy war', 'fanatical', 'avant garde', 'suspense', 'far future', 'power struggle', 'warrior race', 'violence', 'kidnapping', 'hostage', 'escape', 'mouse', 'double cross', 'blood', 'ambush', 'near death experience', 'race against time', 'survival', 'surrealism', 'slow motion scene', 'self sacrifice', 'giant monster', 'monster', 'alien monster', 'alien creature', 'baron', 'evil baron', 'obese man', 'albino', 'bald man', 'assassin', 'assassination attempt', 'soldier', 'ecologist', 'body suit', 'suit of armor', 'hologram', 'drone', 'telepathy', 'supernatural power', 'levitation', 'spacecraft', 'spaceship', 'spaceport', 'space battle', 'space war', 'outer space', 'hearing voices', 'ornithopter', 'chase', 'crash landing', 'sandstorm', 'duststorm', 'spice', 'drug', 'hallucination', 'vision', 'glowing eyes', 'beard', 'poison', 'poison dart', 'self mutilation', 'pilot', 'missile launcher', 'library', 'on the run', 'explosion', 'exploding ship', 'exploding building', 'tribe', 'leader', 'moon', 'knife throwing', 'knife fight', 'epic', 'brawl', 'hand to hand combat', 'stabbed in the back', 'stabbed to death', 'fight to the death', 'fighting', 'dual wield', 'general', 'warrior', 'wealth', 'arrakis', 'manipulation', 'ring', 'priest', 'force field', 'based on book', 'title spoken by character', 'planetary romance', 'mind reading', 'trap', 'one word title', 'planet', 'survive', 'enemy', 'weapon', 'knife', 'fight', 'kaiju', 'no opening credits', 'cruelty', 'rich', 'gunshot', 'advance team', 'alliance', 'jealous man', 'patriotic music', 'revelation', 'meditation music', 'honor', 'strategy meeting', 'responsibility', 'missile attack', 'poisoned to death', 'death by knife', 'superstition', 'challenge', 'open ended', 'visceral', 'title at the end', 'electronic music score', 'beetle', 'power', 'murder', 'death', 'brutality', 'mercilessness', 'held at gunpoint', 'rescue', 'deception', 'blood splatter', 'fear', 'danger', 'attempted murder', 'good versus evil', 'opening action scene', 'one against many', 'eaten alive', 'evil man', 'obesity', 'mercenary', 'secret society', 'ocean planet', 'water', 'destruction', 'bombardment', 'healing', 'missile', 'exploding body', 'female doctor', 'tribal leader', 'sword fight', 'threatened with a knife', 'fistfight', 'martial arts', 'mixed martial arts', 'throat slitting', 'stabbed in the arm', 'sword', 'dreadlocks', 'graveyard', 'cemetery', 'bravery', 'courage', 'sniper', 'pistol', 'gun', 'sabotage', 'darkness', 'chaos', 'flashback', 'montage', 'reverse footage', 'repeated line', 'teenager', 'woman fights a man', 'prologue', 'revenge', "character repeats someone else's dialogue", 'jealousy', 'nontraditional casting', 'psychedelic', 'council', 'super soldier', 'kiss', 'stabbed in the side', 'stylized violence', 'bomb', 'suspicion', 'redemption', 'anger', 'painting', 'rope', 'laboratory', 'secret laboratory', 'space western', 'punched in the face', 'punched in the chest', 'kicked in the stomach', 'parachute', 'umbrella', 'knocked unconscious', 'blockbuster', 'epic sci fi', 'desert adventure', 'epic action', 'timeframe 102nd century', 'veiled woman', 'swordsmanship', 'drug dealer', 'space opera sci fi', '102nd century', 'quicksand', 'surprise ending']</t>
  </si>
  <si>
    <t>tt0381061</t>
  </si>
  <si>
    <t>['Action', 'Adventure', 'Thriller']</t>
  </si>
  <si>
    <t>['poker', 'james bond character', 'poker game', 'espionage', 'based on novel', 'casino', 'infidelity', 'adultery', 'free running', 'bond girl', 'surprise ending', 'damsel in distress', 'flipping car', 'title spoken by character', 'felix leiter character', 'm character', 'vodka martini', 'car', 'motor vehicle', 'automobile', 'motor car', 'handgun', 'firearm', 'gun', 'vehicle', 'fighting in a stairwell', 'man tied up', 'tied to chair', 'semi automatic pistol', 'handheld weapon', 'front end loader', 'crane', 'scissor lift', 'panel van', 'pursuit', 'semi automatic weapon', 'lift', 'shaken not stirred', 'man wears a tuxedo', 'trophy wife', 'unfaithfulness', 'kissing a married woman', 'adulterous wife', 'cheating wife', 'husband wife relationship', 'neglected wife', 'flirting', 'seducing a married woman', 'flirting with a married woman', 'super spy origin', 'prague', 'opening sequence in black and white', 'out of ammunition', "drowned in a men's room sink", 'car alarm', 'fractal', 'fight in a restroom', 'rain shower', 'playing pinball', 'suitcase full of hundred dollar bills', 'child combatant', 'cobra mongoose fight', "blowing one's cover", 'climbing a girder', 'playing poker', 'exploding gas cylinder', 'inhaler', 'dead woman in a hammock', 'facial cut', 'gps', 'horse riding on a beach', 'implanted tracking device', 'all in bet', 'valet ticket', 'airport security', 'sprinkler system', 'prototype airliner', 'shorting stock', 'fuel truck', 'persistence', 'truck bus crash', 'police car crash', 'boeing 747', 'aborted airplane landing', 'blown up', 'failed brakes', 'md 600 helicopter', 'flicking poker chips', 'psychological profile', 'champagne', "texas hold'em", 'bloody broken glass', 'dry martini', 'attacked from behind', 'garrotte', 'sitting in a shower with clothes on', 'falling down stairs', 'tears of blood', 'kidnapping', 'faking a tell', 'caught in the rain', 'automatic defibrulator', 'attempted murder', 'algerian love knot', 'car roll over', 'victim dumped in the street', 'sunbathing on the beach', 'male star appears nude', 'silenced machine gun', 'tasered', 'money transfer', 'password', 'nail gun', 'nail in the eye', 'mouth to mouth resuscitation', 'man uses a wheelchair', 'suicide', 'african warlord', 'canadian spy', "lord's resistance army", 'downblouse', 'fight in bathroom', 'spy action', 'sim card', 'text message', 'gps tracking', 'timeframe 2000s', 'globetrotting adventure', 'eyepatch', 'terrorist', 'montenegro', 'royale', 'casino royale', '007', 'banker', 'money', 'spy', 'terrorism', 'death', 'uganda', 'prisoner', 'blood', 'violence', 'torture', 'secret service', 'bahamas', 'assassination', 'secret agent', 'gambling house', 'official bond film', 'twenty first part', 'weapon', 'construction crane', 'drowning victim', 'horseback riding', 'blood splatter', 'two word title', 'heineken beer', 'hotel receptionist', 'jungle', 'action hero', 'ak 47', 'flood', 'mongoose', '2000s', 'darkroom', 'tied to a chair', 'dead girl', 'returning character with different actor', 'off screen murder', 'dead woman with eyes open', 'dead woman', 'woman drowned', 'horse', 'martini', 'playing cards', 'beach resort', 'security camera', 'secret device', 'gambling', 'gunfight', 'soldier', 'pistol', 'foot chase', 'village', 'army', 'beating', 'flashback', 'passport', 'hostage', 'body bag', 'poisoned', 'machete', 'corpse', 'helicopter', 'siren', 'police arrest', 'exhibit', 'double cross', 'police officer', 'sailing boat', 'poker the card game', 'horse and carriage', 'police car', 'fire sprinkler', 'video camera', 'miami florida', 'nassau bahamas', 'laptop computer', 'pinball machine', 'prague czech republic', 'slow motion scene', 'lifting an adult into the air', 'martial arts', 'shotgun', 'held at gunpoint', 'exploding bus', 'killed in an elevator', 'trapped in an elevator', 'cia agent', 'corporal punishment', 'tough guy', 'walther p99', 'taser', 'attempted poisoning', 'foot pursuit', 'lifting someone into the air', 'cult figure', 'money laundering', 'aston martin', 'murder by gunshot', 'blood on shirt', 'altered version of studio logo', 'neck breaking', 'car chase', 'suspense', 'shootout', 'psychopath', 'mass murder', 'tanker', 'sequel mentioned during end credits', 'balisong', 'rogue agent', 'stairwell', 'stabbing', 'male nudity', 'lost love', 'london england', 'drugged drink', 'car accident', 'building collapse', 'blockbuster', 'train', 'lagoon', 'hammock', 'gadget car', 'double agent', 'animated credits', 'electrocution', 'crushed to death', 'strangulation', 'stabbed in the chest', 'shot in the forehead', 'shot in the foot', 'shot in the chest', 'shot in the back', 'poison', 'murder', 'machine gun', 'heart attack', 'exploding body', 'bomb', 'silencer', 'shower', 'shot in the leg', 'shot in the head', 'shot in the eye', 'explosion', 'drowning', 'computer', 'chase', 'cell phone', 'bodyworks', 'hit in the crotch', 'snake', 'origin story', 'yacht', 'wager', 'venice italy', 'terrorist base', 'surveillance', 'spa', 'italy', 'gadget', 'fight', 'cocktail', 'british secret service', 'beach', 'assassin', 'villa', 'swimming', 'super villain', 'south africa', 'restaurant', 'motorboat', 'madagascar', 'hotel', 'hospital', 'henchman', 'gambling syndicate', 'embassy', 'construction site', 'arch villain', 'airport', 'airplane', 'africa', 'prequel to sequel', 'parkour', 'official james bond series', 'penumbra', 'sequel', 'plot twist', '747 236b prop', 'black and white prologue', 'newspaper headline', 'reboot of series']</t>
  </si>
  <si>
    <t>tt3397884</t>
  </si>
  <si>
    <t>['Action', 'Crime', 'Drama', 'Mystery', 'Thriller']</t>
  </si>
  <si>
    <t>['war on drugs', 'drug cartel', 'juarez mexico', 'neo noir', 'surprise ending', 'secret tunnel', 'dark past', 'death of daughter', 'suspense', 'death of child', 'woman fights a man', 'moral dilemma', 'tough girl', 'border', 'nogales arizona', 'arizona desert', 'sonora mexico', 'cia agent', 'cell phone', 'arizona', 'mexico', 'central intelligence agency', 'escape', 'crime boss', 'iraq war veteran', 'black ops', 'kidnapping', 'male frontal nudity', 'assassin', 'manipulation', 'deception', 'torture', 'border crossing', 'looking at oneself in a mirror', 'female fbi agent', 'weapon', 'prisoner transport', 'car', 'police car', 'ford', 'ford crown victoria', 'mercedes benz s class', 'mercedes benz s klasse', 'silenced gun', 'silenced pistol', 'chihuahua mexico', 'ciudad juarez mexico', 'bloody body of a child', 'columbian', 'eagle', 'pickup truck', 'man strangles a woman', 'naivety', 'soccer game', 'sport utility vehicle convoy', 'texas mexico border', 'complicity', 'government conspiracy', 'government corruption', 'government cover up', 'conspiracy', 'drug trafficking', 'slow burn', 'cia drug trafficking', 'black operation', 'photographic negative scene', 'dark', 'female protagonist', 'aerial camera shot', 'cover up', 'fbi federal bureau of investigation', 'fbi agent', 'new mexico', 'cia central intelligence agency', 'first part', 'first of series', "character repeats someone else's dialogue", 'trapdoor', 'female in a shower', 'cigarette', 'cia conspiracy', 'neo western', 'epic action', 'cop drama', 'timeframe 2010s', 'timeframe 21st century', 'drug crime', 'mission', 'bomb', 'violence', 'drug lord', 'bait', 'line of credit', 'crime scene photograph', 'aerial surveillance', 'armored personnel carrier', 'chevrolet tahoe', 'mission briefing', 'ah 64 apache helicopter', 'bombardier challenger 600 business jet', 'booby trap', 'body hidden behind a wall', 'hole in a wall', 'starts with a definition', 'double child murder', 'vomiting', 'police officer shot', 'hanged body', 'gun held to head', 'driving through a wall', 'immigrant', 'laptop computer', 'showdown', 'paranoia', 'reverse footage', 'distrust', 'suspicion', 'shot in the shoulder', 'decoy', 'tracking device', 'satellite', 'bodyguard', 'bilingualism', 'organized crime', 'armored car', 'tank', 'airfield', 'held at gunpoint', 'blackmail', 'disarming someone', 'handcuffs', 'arrest', 'security camera', 'surveillance', 'interracial friendship', 'offscreen killing', 'tied to a chair', 'betrayal', 'near death experience', 'tragedy', 'shot in the arm', 'shot in the throat', 'murder of a child', 'air force base', 'commando unit', 'commando raid', 'commando', 'special forces', 'sniper rifle', 'sniper', 'opening action scene', 'ak 47', 'police officer killed', 'kicking in a door', 'police officer', 'brutality', 'shotgun', 'home invasion', 'culture clash', 'tough guy', 'anti hero', 'desert', 'electronic music score', 'ambush', 'interview', 'social decay', 'escalation', 'dea agent', 'tragic hero', 'dark hero', 'tragic past', 'no title at beginning', 'mutilation', 'male rear nudity', 'reference to william howard taft', 'prosecutor', 'federale', 'map', 'laredo texas', 'cynicism', 'drug smuggling', 'woman punches a man', 'death of wife', 'rescue', 'bag over head', 'traffic jam', 'lawyer', 'partner', 'binoculars', 'corruption', 'friendship', 'rookie', 'covered in blood', 'dog', 'investigation', 'surveillance camera', 'photograph', 'border patrol', 'motel', 'bank account', 'bare chested male', 'negative footage', 'night vision goggles', 'beer', 'wristband', 'fight', 'subjective camera', 'helicopter', 'private jet', 'husband wife relationship', 'nogales mexico', 'el paso texas', 'hostage', 'spanish', 'chandler arizona', 'hitman', 'death', 'cocaine', 'mercenary', 'assassination', 'mysterious man', 'soldier', 'strangulation', 'threat', 'title at the end', 'mansion', 'silencer', 'throat slitting', 'stabbed to death', 'punched in the face', 'beating', 'bar', 'surveillance footage', 'split screen', 'money laundering', 'bank', 'father son relationship', 'blood splatter', 'interrogation', 'tunnel', 'us marshal', 'knife', 'night vision', 'police corruption', 'murder of a police officer', 'swat team', 'severed head', 'severed leg', 'severed hand', 'news report', 'explosion', 'corpse', 'no opening credits', 'film starts with text', 'bulletproof vest', 'shot to death', 'murder', 'pistol', 'machine gun', 'assault rifle', 'shootout', 'phoenix arizona', 'revenge', 'subtitled scene', 'police convoy', 'tucson arizona', 'shot in the leg', 'shot in the back', 'shot in the head', 'shot in the forehead', 'shot in the chest', 'death of son', 'independent film', 'british actor playing american character', 'urination', 'f word', 'cigarette smoking']</t>
  </si>
  <si>
    <t>tt0450385</t>
  </si>
  <si>
    <t>['Fantasy', 'Horror', 'Mystery']</t>
  </si>
  <si>
    <t>['death of daughter', 'hotel', 'writer', 'haunted hotel', 'author', 'self sacrifice', 'locked in a room', 'suicide', 'hotel room', 'haunting', 'debunking', 'death', 'warning', 'evil', 'hotel manager', 'supernatural horror', 'drinking', 'sense of time', 'concussion', 'estranged couple', 'skepticism', 'trapped', 'ghost hunter', 'ledge', 'book signing', 'clock radio', 'alternate ending', 'one word title', 'falling through a ceiling', 'infrared', 'psychotronic film', 'the weinstein company', 'mgm', 'window', 'male protagonist', 'grindhouse film', 'countdown', 'watching tv', 'cigarette', 'timeframe 1400s', 'book', 'new york city', 'mail', 'postcard', 'investigation', 'unplugged electronic works', 'siren the alarm', 'based on the works of stephen king', 'transom', 'swirling room', 'refrigerator', 'cold the temperature', "hitting one's head on a window", 'armoire', 'shower', 'closet', 'demolition', 'destruction', 'flooding', 'waitress', 'hotel desk clerk', 'library', 'publisher', 'secret', 'tuberculosis', 'cigarette smoking', 'repeated scene', "window falling on one's head", 'illness', 'wheelchair', 'hanging from a ledge', 'mirror', 'boiling water', 'keyhole', 'letter opener', 'door handle', 'call for help', 'taxi', 'hotel fire', 'ceiling fan', 'murder', 'maze', 'bug', 'knife', 'atheist', 'thermostat', 'underwater scene', 'surfer', 'restaurant', 'cafe', 'girl', 'tears', 'crying', 'flash forward', 'flashback', 'hearing voices', 'jumping out a window', 'computer', 'drink', 'hospital gown', 'nightmare', 'fly the insect', 'supernatural power', 'rain', 'bookstore', 'map', 'book tour', 'occult', 'beach', 'post office box', 'diner', 'book editor', 'lawyer', 'photograph', 'fear', 'maid', 'blood', 'panic', 'memory', 'dream', 'microfilm', 'alarm clock', 'hand injury', 'anger', 'apparition', 'sanity', 'suspicion', 'mind deterioration', 'fire sprinkler', 'insect', 'air vent', 'cemetery', 'molotov cocktail', 'coffin', 'police car', 'guilt', 'delirium', 'funeral', 'shock', 'remorse', 'ice', 'reference to franz kafka', 'metaphor', 'deja vu', 'reference to truman capote', 'police officer', 'nursing home', 'number as title', 'walking on broken glass', 'paranormal phenomenon', 'manhattan new york city', 'reference to encyclopedia brown', 'surrealism', 'paranoia', 'claustrophobia', 'chase', 'turned to stone', 'title appears in writing', 'throat slitting', 'person on fire', 'mother daughter relationship', 'kicked in the face', 'hospital', 'hit with a hammer', 'hanged man', 'father son relationship', 'father daughter relationship', 'eye gouging', 'drowning', 'doppelganger', 'crushed hand', 'burned body', 'burned alive', 'breaking through a brick wall', 'bludgeoning', 'bandage', 'webcam', 'ventilation shaft', 'rescue from drowning', 'post office', 'possession', 'los angeles california', 'home video', 'fire rescue', 'cognac', 'blood stain', 'arson', 'water', 'telephone', 'telephone call', 'song', 'snow', 'painting', 'noose', 'grave', 'surgeon', 'mind game', 'investigator', 'hallucination', 'barefoot', 'insanity', 'falling from height', 'tape recorder', 'surfboard', 'radio', 'marital separation', 'laptop computer', 'key', 'fire', 'death of a child', 'bible', 'bathroom', 'surfing', 'poltergeist', 'husband wife relationship', 'ghost', 'based on short story', 'title spoken by character', 'surprise ending', 'haunted house', 'bonfire', 'frozen arm', 'candy', 'fireman']</t>
  </si>
  <si>
    <t>tt4846340</t>
  </si>
  <si>
    <t>['1960s', 'space program', 'nasa', 'segregation', 'racism', 'mathematician', 'astronaut', 'computer programming', 'church', 'blackboard', 'african american', 'discrimination', 'based on true story', 'sexism', 'race relations', 'human computer', 'computer', 'genius', 'library', 'rocket', 'school', 'space race', 'computer programmer', 'court', 'fortran', 'langley virginia', 'single mother', 'what happened to epilogue', 'widow', 'wedding', 'female bonding', 'friendship between women', 'engagement ring', 'judge', 'year 1961', 'coffee', 'chalkboard', 'ibm', 'supervisor', 'female friendship', 'prejudice', 'strong female character', 'female genius', 'strong female lead', 'brilliant mind', 'black history', 'f rated', 'female sitting on a toilet', 'sexist', 'dwight d eisenhower character', 'us history', 'female mechanic', 'female engineer', 'fight for rights', 'court trial', 'john glenn character', 'woman wears eyeglasses', 'reference to yuri gagarin', 'gus grissom character', 'alan shepard character', 'deke slayton character', 'scott carpenter character', 'wally schirra character', 'church congregation', 'mathematics', 'based on real person', '20th century', 'year 1962', 'united states of america', 'usa', 'space', 'car', 'automobile', 'chevrolet', 'chevrolet bel air', 'feminism', 'feminist', 'feminist film', 'female protagonist', 'racial segregation', 'woman running', 'black protagonist', 'us car', 'chevrolet motor vehicle', 'oldsmobile', 'oldsmobile motor vehicle', 'docudrama drama', 'historical drama', 'timeframe 1960s', 'timeframe 20th century', 'photograph of real person potrayed in film', 'ends with biographical notes', 'ends with historical notes', 'parachute deployment', 'splashdown', 'job promotion', 'vote of confidence', "grandmother's ring", 'parting gift', 'orbiting the earth', "euler's method", 'reassignment', 'stick of chalk', 'computer operator', 'classified information', 'redacted document', 'climbing a ladder', 'hand truck', 'reference to martin luther king jr', 'women dancing together', 'protest', 'crowbar', 'wind tunnel', 'ibm 7090', 'press conference', 'computer room', 'sikorsky h 34 helicopter', 'holding hands while saying grace', 'senate hearing', 'water rescue', 'first kiss', 'running in the rain', 'applause', 'soaking wet', 'archival footage', 'rocket explosion', 'atlas rocket', 'redstone rocket', 'sledge hammer', 'preaching', 'determination', 'mother daughter relationship', 'mercury capsule', 'running in high heels', 'nervous', 'barefoot woman', 'mercury program', 'analytic geometry', 'police escort', 'vostok 1 rocket', 'hampton virginia', 'female mathematician', 'rocket launching', 'breakdown', 'solving a polynomial equation', 'sulfur springs texas', 'reference to the bahamas', 'reference to zanzibar', 'reference to florida', 'no opening credits', 'punch card', 'ibm computer', 'toilet', 'car breakdown', 'classroom', 'church pot luck', 'pot luck', 'car breaks down', 'virginia', 'pearls', 'husband wife relationship', 'second husband', 'sledgehammer', 'pearl necklace', 'fired from a job', 'report', 'memo', 'briefing', 'heavy rain', 'security clearance', 'confrontation', 'glasses', 'daughter', 'shouting', 'picnic', 'national guard', 'courtroom', 'mechanical pencil', 'police car', 'police officer', 'bathroom', 'running', 'marriage proposal', 'based on book', 'white savior', 'crying woman']</t>
  </si>
  <si>
    <t>tt1392214</t>
  </si>
  <si>
    <t>['child abduction', 'police', 'vigilante justice', 'child kidnapping', 'whistle', 'torture', 'dog', 'revenge', 'sex offender', 'detective', 'investigation', 'father searches for missing daughter', 'brutality', 'neo noir', 'held at gunpoint', 'drugged drink', 'rain', 'bound and gagged', 'mental retardation', 'hospital', 'snake', 'animal abuse', 'police investigation', 'suicide by shooting oneself in the head', 'pendant', 'scene of the crime', 'traumatized girl', 'vigilantism', 'self justice', 'survivalist', 'survivalism', 'doomsday prepper', 'serial murder', 'murder of a child', 'serial abductor', 'abducted child', 'escape', 'religious confession', 'animal cruelty', 'abduction', 'unlawful confinement', 'search for missing person', 'searching for a missing girl', 'refusal to talk under torture', 'male torturing male', 'interrogation room', 'questioned by police', 'missing girl', 'missing daughter', 'sock', 'being tailed by the police', 'candlelight vigil', 'shooting deer', 'home invasion', 'anger', 'tied to a chair', 'two way mirror', 'christmas', 'vigilante', 'hypodermic needle', 'female criminal', 'pit', 'sociopath', 'newspaper headline', 'woods', 'pickup truck', 'father daughter relationship', 'shot in the leg', 'mannequin', 'shot through the mouth', 'gun in mouth', 'dream sequence', 'lye', 'bag over head', 'beating', 'trumpet', 'deer', 'no opening credits', 'forest', 'snow', 'duct tape over mouth', 'punched in the face', 'missing person', 'shot to death', 'interrogation', 'maze', 'suicide', 'missing child', 'police detective', 'kidnapping', 'car', "the lord's prayer", 'thanksgiving', 'suicide by cop', 'hostage', 'reference to bruce springsteen', 'reference to batman', 'recreational vehicle', 'weapon', 'death', 'automobile', 'pick up', 'pick up truck', 'pontiac', 'giallo esque', 'psychological', 'crucifix', 'religious icon', 'masonic ring', 'adoption', 'ketamine', 'lsd', 'criminal investigation', 'blowing a whistle', 'serial killer', 'attempted murder', 'hidden', 'riddle', 'stealing clothes', "stealing someone's clothes", 'child crying', 'child crying off camera', 'junk car', 'child abuse', 'abused child', 'abused as child', 'anti christianity', 'pig blood', 'blood stain', 'blood stained clothing', 'peep hole', 'lie', 'spreading the gospel', 'posing as christian', 'missing sister', 'media', 'crime victim', 'liquor store', 'children', "children's clothing", 'traumatized boy', 'traumatized child', 'traumatic memory', 'trauma', 'snake collector', 'snake collection', 'criminal profile', 'criminal profiler', 'pretending to be drunk', 'drunk', 'dilapidated building', 'derelict building', 'scalding water', 'freezing water', 'water torture', 'police surveillance', 'shower', 'false identity', 'true identity revealed', 'torture chamber', 'jingle bells', 'jingle bells batman smells', 'police interrogation', 'black white friendship', 'basement', 'family trauma', 'parent searching for missing child', 'search for missing daughter', 'brother searches for missing sister', 'stealing a gun', 'stealing a gun from a police officer', 'lethal injection', 'liquor', 'drinking liquor', 'drinking liquor from the bottle', 'god', 'mysterious man', 'man wears a hoodie', 'adopted child', 'female kidnapper', 'female antagonist', 'kidnapping a child', 'kidnapping a daughter', 'kidnapping a girl', 'danger', 'threatened with a hammer', 'sleeplessness', 'sleepiness', 'male police officer', 'police officer', 'shooting a deer', 'rv', 'thanksgiving dinner', 'crashing into a tree', 'crashing a car into a tree', 'montage', 'witness interview', 'cellar', 'dead body', 'mummified body', 'search party', 'released from custody', 'grieving parent', 'handcuffed to a radiator', 'tortured for information', 'beaten for information', 'chased by the police', 'interrogation video', 'cut with a shard of glass', 'tailing a suspect', "pig's head", 'suicide by shooting oneself', 'shooting oneself in the mouth', 'police brutality', 'frustration', 'crime scene', 'child abductor', 'female abductor', 'gunshot wound', 'bullet wound', 'wounded', 'hole in the ground', 'head wound', 'last minute rescue', 'psychological thriller', 'suspense mystery', 'whodunnit mystery', 'timeframe 2010s', 'timeframe 21st century', 'character appears in a newspaper', "character repeats someone else's dialogue", 'arrest', 'teenager', 'pennsylvania', 'decrepit', 'radiator', 'pet abuse', 'speeding vehicle', 'shootout', 'man child', 'interracial friendship', 'violence', 'vomiting', 'one week time span', "gun held to one's head", 'family man', 'boarded up room', 'intruder', 'dying in custody', 'suicide in police custody', 'woman shoots a man', 'motor home', 'prime suspect', 'act of desperation', 'blood splatter', 'power drill', 'workshop', 'manipulation', 'press conference', 'paranoia', 'heavy rain', 'ambulance', 'ambiguous ending', 'suspense', 'diner', 'race against time', 'tattoo', 'department store', 'memorial', 'revelation', 'media coverage', 'desperation', 'red herring', 'blood', 'cell phone', 'car accident', 'police chase', 'chase', 'shot in the arm', 'revolver', 'rifle', 'carpenter', 'family relationships', 'mother daughter relationship', 'mother son relationship', 'brother sister relationship', 'shot in the head', 'shot in the chest', 'handcuffs', 'flashback', 'apartment building', 'photograph', 'news report', 'vigil', 'priest', 'police station', 'flashlight', 'police captain', 'car crash', 'pistol', 'whistling', 'husband wife relationship', 'killing an animal', 'father son relationship', 'alcohol', 'abandoned building', 'hammer', 'rescue', 'hunting', 'corpse', 'captivity', 'stalking', 'breaking and entering', 'foot chase', 'drawing', 'surprise ending', 'ford', 'ford econoline', 'ford f 150', 'ford crown victoria', 'bible quote', 'christian man', "lord's prayer", 'star spangled banner', 'hamster', 'f word', 'title at the end', 'gas station', 'one word title']</t>
  </si>
  <si>
    <t>tt0780504</t>
  </si>
  <si>
    <t>['neo noir', 'nameless character', 'mythical hero', 'silent protagonist', 'very little dialogue', 'protective male', 'kissing in an elevator', 'topless female nudity', 'love', 'staring contest', 'brutality', 'beaten to death', 'psychopath', 'ambiguous ending', 'toothpick', 'revenge', 'wrist slitting', 'stabbed to death', 'covered in blood', 'death of husband', 'jacket', 'ambient music', 'nudity', 'bare breasts', 'getaway', 'mechanic', 'neighbor', 'garage', 'getaway driver', 'stuntman', 'getaway car', 'heist', 'gun', 'escape', 'race car', 'latex gloves', 'needing money', 'night', 'city', 'breasts', 'intimidation', 'money laundering', 'mafia', 'bleeding to death', 'driving in reverse', 'supermarket', 'welcome home party', 'grocery shopping', 'being followed', 'suspense', 'protection money', 'head injury', 'spitting blood', 'police car', 'stripper', 'stealing a car', 'death', 'breaking and entering', 'stunt driver', 'loner', 'organized crime', 'woman slaps a man', 'stabbed with a fork', 'stabbed in the throat', 'stabbed in the eye', 'hit with a hammer', 'bullet', 'mother son relationship', 'masked man', 'scene during opening credits', 'los angeles california', 'mask', 'murder', 'car chase', 'one million dollars', 'robbery', 'stolen money', 'criminal', 'shorthaired woman', 'bagman', 'buxom', 'occupation', 'task', 'employment', 'work', 'business', 'position', 'post', 'assignment', 'vocation', 'chore', 'duty', 'profession', 'role', 'trade', 'social function', 'office', 'line', 'pursuit', 'career', 'appointment', 'situation', 'charge', 'place', 'responsibility', 'mob', 'mission', 'project', 'activity', 'racket', 'effort', 'stint', 'concern', 'deed', 'caper', 'spot', 'affair', 'capacity', 'errand', 'labor', 'matter', 'obligation', 'operator', 'motorist', 'chauffeur', 'conductor', 'police force', 'force', 'boy', 'dollar', 'electronic music score', 'sociopath', 'looking at oneself in a mirror', 'synthwave', 'retro', 'brutal violence', 'carrying a sleeping child', 'cruelty', 'extreme cruelty', 'mercilessness', 'post punk', 'the frog and the scorpion', 'telephone call', 'elevator', 'redheaded woman', 'crushed head', 'idealism', 'rage', 'rampage', 'spirituality', 'male protagonist', 'driving a car', 'driving', 'automobile', 'car', 'us car', 'chevrolet', 'chevrolet motor vehicle', 'chevrolet chevelle', 'chrysler', 'chrysler motor vehicle', 'chrysler 300', 'ford', 'ford motor vehicle', 'virility', 'young man', 'existential poetry', 'male body', 'cigarette', "character repeats someone else's dialogue", 'postmodern', 'one person army action', 'timeframe 2010s', 'timeframe 21st century', 'car action', 'mobster', 'weapon', 'blood spray', 'knife cutting hand', 'knife cut', 'stitch', 'blood spray on window', 'female nudity', 'parking garage', 'alcohol', 'beer drinking', 'beard', 'low paid job', 'movie camera', 'filmmaking', 'blood splatter', 'wet jeans', 'extreme violence', 'swallowing a bullet', 'claw hammer', 'chinese takeout', 'rubber mask', 'shooting movie', 'wristwatch', 'existentialism', 'mistress', 'moral corruption', 'evil businessman', 'mob enforcer', 'cleaning knife', 'vengeance', 'man with a past', 'arthouse action', 'shadow', 'overhead camera shot', 'exsanguination', 'movie trailer', 'stabbed in the neck', 'arm cast', 'breaking hand', 'pump action shotgun', 'backhand slap', 'hundred dollar bill', 'ford mustang', 'shot multiple times', 'grocery store', 'driving at night', 'night cityscape', 'driving getaway car', 'diner', 'bloody face', 'stock car', 'apartment building', 'watching tv', 'man boy relationship', 'car breakdown', 'chinese food', 'reference to coca cola', 'leather gloves', 'strangulation', 'duffel bag', 'bandaged hand', 'jewish slur', 'scorpion', 'gore', 'film producer', 'giving a toast', 'sunglasses', 'extortion', 'echo park los angeles', 'dressing room', 'cafe', 'accomplice', 'limp', 'stunt double', 'tension', 'love triangle', 'cell phone', 'friendship', 'jealousy', "character's point of view camera shot", 'searchlight', 'raised middle finger', 'f word', 'chevrolet impala', 'thief', 'anti hero', 'helicopter', 'restaurant', 'husband wife relationship', 'gangster', 'father son relationship', 'lens flare', 'blood on camera lens', 'double cross', 'strip club', 'los angeles river', 'man slaps a woman', 'drowning', 'ocean', 'beach', 'stomped to death', 'hitman', 'cigarette smoking', 'writing on hand', 'broken hand', 'straight razor', 'knife', 'impalement', 'stabbed in the stomach', 'stabbed in the chest', 'shot through a window', 'motel', 'shotgun', 'pistol', 'pizzeria', 'news report', 'bag of money', 'killed in an elevator', 'car crash', 'head blown off', 'shot to death', 'shot in the arm', 'shot in the chest', 'shot in the back', 'shot in the neck', 'robbery gone awry', 'beating', 'racial slur', 'jewish', 'leg brace', 'auto mechanic', 'ex convict', 'interracial relationship', 'interracial marriage', 'waitress', 'slow motion scene', 'racetrack', 'movie set', 'man with no name', 'pawnshop', 'hollywood california', 'title appears in song', 'face slap', 'apartment', 'head stomp', 'shot in the head', 'violence', 'release from prison', 'police chase', 'one word title', 'blood', 'concealed weapon', 'car over a cliff', 'car rollover', 'male female relationship', 'death of father', 'death of friend', 'based on book', 'based on novel', 'title spoken by character']</t>
  </si>
  <si>
    <t>tt0120338</t>
  </si>
  <si>
    <t>['Drama', 'Romance']</t>
  </si>
  <si>
    <t>['iceberg', "sailor's death", 'love affair', 'mass death', 'drowning', 'titanic', 'lifeboat', 'shipwreck', 'ship', 'sea captain', 'female full rear nudity', 'one word title', 'nude modeling', 'necklace', 'sinking ship', 'race against time', 'passenger', 'historical event', 'told in flashback', 'self sacrifice', 'aristocrat', 'face slap', 'life jacket', 'assumed name', 'charcoal drawing', 'evacuation', 'cgi', 'freezing to death', 'blueprint', 'lost love', 'southampton england', 'assault', 'engaged couple', 'domestic violence', 'fire axe', 'tap dancing', 'wireless operator', 'sealift', 'child in jeopardy', 'fiance fiancee relationship', 'running', 'obscene finger gesture', 'teenage boy', 'passenger ship', 'fishbowl', 'death', 'video footage', 'friendship', 'held at gunpoint', 'class distinction', 'teenage romance', 'class conflict', 'reference to statue of liberty', 'reference to sigmund freud', 'violence', 'childish behavior', 'knife', 'wetness', 'shoveling coal', 'drawing', 'artist', 'steerage', 'dancing', 'diamond necklace', 'electrocution', 'gambling', 'ballroom', 'shot in the chest', 'tv news', 'prayer', 'crushed to death', 'chase', 'bribery', 'class differences', 'arm wrestling', 'morse code', 'no opening credits', 'ship name in title', 'female rear nudity', 'nude painting', 'sea', 'reference to claude monet', 'survivor', 'diamond', 'poker', 'sex scene', 'cigarette smoking', 'female frontal nudity', 'rich woman poor man', 'love at first sight', 'part computer animation', "spitting in someone's face", 'dream sequence', 'historical fiction', 'computer simulation', 'famous song', 'famous line', 'written by director', 'statue of liberty new york city', 'underwater scene', 'ice', 'profanity', 'oceanic expedition', 'titanic survivor', 'female nudity', 'rich snob', 'young love', 'ocean liner', 'nonlinear timeline', 'teenager', 'falling from height', 'ocean', 'orchestra', 'teenage girl', 'water', 'disaster at sea', 'disaster film', 'party', 'selfishness', 'tragedy', 'year 1912', 'subtitled scene', 'sos', 'unrequited love', 'love', 'famous scene', 'star crossed lovers', 'money falling through the air', 'old woman', 'atlantic ocean', 'beating', 'swimming', 'close up of eyes', 'fear', 'flashback', 'unsubtitled foreign language', 'immigration', 'jumping from height', 'rowboat', 'upper class', 'sailor', 'character says i love you', 'cold water', 'reference to pablo picasso', 'reference to paris', 'reference to anastasia romanov', 'reference to chippewa falls wisconsin', 'reference to king louis xvi', 'wrongful arrest', 'distress call', 'suspenders', 'danger', 'wet t shirt', 'wet cloth', 'rebel', 'leak', 'lifebelt', 'name change', 'raised middle finger', 'blue diamond', 'rat', 'binoculars', 'burned alive', 'explosion', 'punched in the face', 'corpse', 'wilhelm scream', 'lovers reunited after death', 'handcuffs', 'staircase', 'panic', 'north atlantic', 'love triangle', 'elevator', 'broken engagement', 'hypothermia', 'disaster', 'forbidden love', 'mother daughter relationship', 'dolphin', 'based on true story', 'surprise ending', 'death of boyfriend', 'seaman', 'title spoken by character', 'blockbuster', 'famous score', 'church', 'voice over narration', 'ensemble', 'telling someone to shut up', 'wet pants', 'sex in a car', 'death of protagonist', 'hymn', 'elitism', 'presumed dead', 'centenarian', 'idle rich', 'flooding', 'new money', 'framed for crime', 'feminism', 'dying young', 'director also editor', 'cgi effect', 'earring', 'robot', 'timeframe 1910s', 'timeframe 1990s', 'power outage', 'newsreel footage', 'greenhouse', 'pistol', 'fight', 'shipbuilder', 'british', 'en pointe', 'potters wheel', 'carpathia', 'immigrant', 'treasure hunter', 'luxury car', 'portrait sitting', 'whistle', 'guilt', 'female full back nudity', 'woman in jeopardy', 'barefoot female', 'grandmother grandaughter relationship', 'period drama', 'falling through the floor', 'painter', 'kiss', 'news report', 'violin', 'blond man', 'freedom', 'revenge', 'prisoner', 'flood', 'misunderstanding', 'ship captain', 'handcuffed', 'cold the temperature', 'damaged ship', 'orphan', 'social class', 'female star appears nude', 'engagement', 'teenage sexuality', 'card game', 'charcoal', 'search', 'gossip', 'reference to anastasia nikolaevna', 'physical abuse', 'chick flick', 'priest', 'nun', 'reference to pittsburgh pennsylvania', 'top hat', 'hit in the face', 'portrait', 'doorman', 'suitor', 'keel', 'architect', 'emotional abuse', 'remake', 'glasses', 'foundering ship', 'hero', 'heroine', 'lookout', 'actress', 'female pubic hair', 'ticket', 'safe', 'drifter', 'survival', 'rescue', 'brandy', 'porthole', 'white star line', 'naval architect', 'anchor', 'distress signal', 'fire hose', 'casino', 'bodyguard', 'planting evidence', 'boiler room', 'restaurant', 'revolver', 'photograph', 'flashlight', 'artifact', 'arranged marriage', 'billionaire', 'engineer', 'signal flare', 'coal', 'widow', 'valet', 'tuxedo', 'theft', 'steel tycoon', 'salvage', 'pier', 'gift', 'cowardice', 'attempted murder', 'research ship', 'arrogance', 'death of friend', 'slow motion scene', 'epic', 'maiden voyage', 'new york city', 'doomed love', 'tearjerker', 'national film registry', 'premarital sex', 'writer director producer', 'single mother', 'polka', 'electric eel', 'american', 'pottery', 'cruise ship', 'coming of age', 'submarine', 'subjective camera', "character repeats someone else's dialogue", 'male and female protagonists', 'redhead', 'foot chase', 'mass tragedy', 'mass panic', 'tragic love', 'near death experience', 'maritime disaster', 'deep voice', 'transatlantic', 'ambiguous ending', 'molly brown character', 'kissing while having sex', 'reference to geraldo rivera', 'reference to santa monica pier', 'wireless', 'high society', 'topcoat', 'formal wear', 'water pipe', 'going down with the ship', 'helm', 'key', 'arrest', 'painting', 'wheelchair', 'escape', 'corset', 'clock', 'battering ram', 'helicopter', 'starving artist']</t>
  </si>
  <si>
    <t>tt1843303</t>
  </si>
  <si>
    <t>['Action', 'Adventure', 'Comedy', 'Fantasy', 'Horror', 'Sci-Fi', 'Thriller']</t>
  </si>
  <si>
    <t>['eyepatch over glasses', 'pimp', 'white chinese ninjas', 'driving montage', 'vietnam flashback', 'foot shot', 'flashback to entire movie', 'long lost brother', 'car bomb', 'seance', 'transformation', 'china', 'dragon warrior', 'trip mine', 'confessional', 'training montage', 'exorcism', 'superhero', 'written by director', 'road trip', 'shot in the back', 'shot with a crossbow', 'prostitute', 'ninja', 'cocaine', 'shot in the leg', 'bow and arrow', 'decapitation', 'chevrolet chevelle', 'priest', 'dinosaur', 'mafia', 'murder', 'grindhouse film', 'sex montage', 'dino costume', 'visible boom mic', 'spoof']</t>
  </si>
  <si>
    <t>tt9639470</t>
  </si>
  <si>
    <t>['Drama', 'Horror', 'Mystery', 'Thriller']</t>
  </si>
  <si>
    <t>['1960s', 'soho london', 'fashion designer', 'seeing the past', 'killer girl', 'female serial killer', 'clairvoyance', 'female protagonist', 'schizophrenia', 'female singer', 'roommate roommate relationship', 'mirror', 'reflection in a mirror', 'alarm clock', 'awakened by alarm clock', 'ghost', 'fire', 'house on fire', 'clairvoyant', 'psychic', 'fashion design', 'prostitute', 'broken dream', 'different face in mirror', 'mother daughter relationship', 'grandmother granddaughter relationship', 'pink dress', 'designing a dress', 'suicide', 'nightmare', 'waking up from a nightmare', 'bolt upright after nightmare', 'dream sequence', 'dream', 'seeing dead people', 'north london england', "cutting one's own throat", 'murder', 'introverted protagonist', 'british giallo', 'aspiring fashion designer', 'four word title', 'fashion student', 'renting a room', 'pub', 'mental illness', 'london england', 'man wears white briefs', 'title based on song', 'nostalgia', 'close up of eyes', 'location in title', 'student', 'taxi', 'flat share', 'old woman', 'past and present', 'breaking a mirror', 'killer', 'singing', 'dancing', 'dress', 'cell phone', 'recording on a cell phone', 'hit by a car', 'library', 'archives', 'stabbing', 'blood', 'hallucination', 'younger version of character', 'toilet', 'dashed hopes', 'seeking stardom', 'seeking fame', 'fame seeker', 'aspiring singer', 'college dorm', 'dorm room', 'dancing girl', 'time travel', 'rialto theatre london england', 'police detective', 'seeking a job', 'hair dyed blonde', 'blond hair', 'blonde', 'audition', 'singing audition', 'annoying roommate', "eight o'clock", 'suicide of mother', 'record album', 'record album cover', 'coke can', 'taxi driver', 'taxi ride', 'boarding house', 'boarding house landlady', 'boarding house owner', 'overhearing a conversation', 'gossip', 'music manager', "singer's manager", 'hickey', 'heroin injection', 'phone booth', 'kissing in a phone booth', 'punched in the face', 'halloween party', 'halloween costume', 'painted face', 'drugged drink', 'fashion show', 'candy cinema', 'crime victim', 'woman murders a man', 'bartender', 'working in a bar', 'looking for a new apartment', 'moving to a new apartment', 'retro', 'listening to a record', 'listening to music', 'listening to music on headphones', 'college party', 'faceless person', 'faceless man', 'newspaper archive', 'searching newspaper archive', 'newspaper on microfilm', 'violence', 'psychic power', "women's bathroom", 'investigation', 'wanting to go to college', 'college acceptance letter', 'going away to college', 'leaving home to go to college', 'adjusting to college', 'college library', 'attempted stabbing', 'manipulative man', 'prostitute murders client', 'raised by grandmother', 'school library', 'newspaper article', 'drugged tea', 'starting a new job', 'new job', 'vintage clothing', 'changing hair style', 'retro horror', 'neon sign', 'begins with dedication', 'mysterious man', "dying one's hair", 'supernatural vision', 'f word', 'giallo esque', 'british horror', 'loss of mother', 'mean girl', 'singer', 'secret', 'ambiguous ending', 'club singer', 'film with ambiguous title', 'electronic music score', 'surrealism', 'psychotronic film', 'grindhouse film', 'nightclub', 'supernatural power', 'cigarette smoking', 'pimp', 'suspense', 'brothel', 'screaming', 'gothic', 'urban gothic', 'landlady', 'urban setting', 'false accusation', 'place name in title', 'piccadilly circus london', 'cockney accent', 'cornwall england', 'british', 'england', 'red herring', 'dancer', 'slow motion scene', 'montage', 'subjective camera', "character's point of view camera shot", 'flash forward', 'fish out of water', 'fade to black', 'flashback', 'revelation', 'go go dancer', 'exploitation', 'vision', 'stabbed in the throat', 'stabbed in the chest', 'stabbed to death', 'revenge', 'suicide attempt', 'throat slitting', 'ambulance', 'burned alive', 'orphan', 'tragic past', 'dark past', 'haunted by the past', 'deeply disturbed person', 'attempted murder', 'vinyl', 'photograph', 'female bartender', 'suitcase', 'drunkenness', 'jukebox', 'train', 'falling down stairs', 'old man', 'stalker', 'stalking', 'police officer', 'police', 'police station', 'product placement', 'college student', 'drawing', 'clique', 'scar', 'party', 'halloween', 'heavy rain', 'looking at oneself in a mirror', 'scissors', 'chase', 'newspaper headline', 'teen horror', 'eavesdropping', 'death', 'manipulation', 'brutality', 'escape', 'deception', 'double cross', 'blood splatter', 'gore', 'ambush', 'near death experience', 'fear', 'paranoia', 'panic', 'hatred', 'anger', 'pervert', 'reference to james bond', 'theater', 'automobile', 'burlesque', 'apartment', 'dual storylines', 'showdown', 'corpse', 'race against time', 'teacher', 'face paint', 'costume party', 'teenager', 'teenage girl', 'scene during opening credits', 'broken mirror', 'telephone', '1960s nostalgia', 'knife', 'star died before release', 'spiral staircase', 'drug addict', 'darkness', 'c word', 'foreshadow', 'firefighter', 'rescue', '1960s music', "character repeats someone else's dialogue", 'male police officer', 'female police officer', 'righteous rage', 'insanity', 'reference to kylie jenner', 'reference to kylie minogue', 'interracial romance', 'jump scare', 'serial murderess', 'tragic villainess', 'serial murder', 'killing in self defense', 'murder in self defense', 'self defense killing', 'murder by stabbing', 'title mentioned in song', 'title at the end', 'woman commits suicide', 'committing suicide', 'committing suicide to avoid prison', 'film starts with text', 'supernatural thriller', 'prostitution', 'timeframe 1960s', 'timeframe 2020s', 'landlady tenant relationship', 'interracial relationship', 'song montage', 'ex policeman', 'murderess', 'kiss', 'mustached man', 'letter', 'classmate classmate relationship', 'song', 'dress design', 'sleeping', 'fake name', 'cigarette holder', 'ceiling mirror', 'reference to the criterion restaurant london', 'mobile phone', 'dress form', 'dancing with a dress form', 'framed photograph', 'reference to the kinks the band', 'blowing a raspberry', 'recording', 'record player', 'packing a suitcase', 'overhead camera shot', 'socks', 'reference to god', "reference to liberty's department store london", 'reference to selfridges london', 'reference to carnaby street london', "reference to a wimpy's diner", 'headphones', 'granddaughter kisses her grandmother on her cheek', 'waving goodbye', 'train station', 'eros statue trafalgar square london', 'windmill theatre london', 'london college of fashion', 'rear view mirror', 'model', 'charlotte street london', 'reference to a supermodel', 'apology', 'coca cola', 'african anglo', 'christian name', 'naivety', 'nickname', 'drink', 'drinking', 'redruth cornwall england', 'reference to manchester england', 'woman wears sunglasses on the top of her head', 'reference to an internship', 'reference to an atelier', 'reference to saville row london', 'reference to bouchra jarrar', 'reference to lanvin fashion london', 'smoke detector', 'reference to a 15 year old', 'reference to vaping', 'dead mother', 'reference to a 15 year old teenage girl', 'reference to a 7 year old', 'reference to a 7 year old girl', 'testicles slur', 'bullying', 'reference to leukemia', 'feces slur', 'reference to suicide by hanging', 'reference to a great uncle', 'bravery', 'refrigerator', 'b word', 'prostitute slur', 'giving a toast', 'street life', 'reference to the irish', 'reference to ireland', 'anus slur', 'penis slur', 'joke telling', 'reference to a country mouse', 'reference to christmas', 'porno shop', 'woman wears a black bra', 'teenage girl wrapped in a comforter', 'reference to riverdance', 'the toucan pub london', 'peer pressure', 'imitating fellatio', 'subway', 'lateness', 'backpack', 'telephone call', 'lie', 'pub crawl', 'voice over telephone call', 'goodge street london', 'doorbell', 'old woman wears eyeglasses', 'memory', 'bouncing on a bed', 'tea', 'reference to garlic', 'reference to a french bistro', 'cilla black character', 'reference to a loan', 'reference to a bursary', 'seamstress', 'rent', 'cafe de paris london', 'restaurant', 'touching a framed photograph', 'teenage girl wears a gray bra', 'closeup of feet', '45 rpm recording', 'bed', 'double decker bus', 'reference to a cloak', 'chandelier', 'stairway', 'reference to a hog', 'man hits a man', 'applause', 'flirting', 'trafalgar square london', 'reference to a coat check girl', 'vesper the drink', 'reference to a self portrait', 'reference to arnica', 'female bare feet', 'the rialto london', 'nightclub owner', 'talent manager', 'imitating strangulation', 'vintage clothing store', 'reference to a biba dress', 'year 1967', 'portland house wedgwood mews soho london', 'reference to mayfair london', 'pizza express', 'gin and tonic', 'almost hit by a car', 'reference to jesus christ', 'reference to petula clark', 'woman performs as a marionette', 'chorus girl', 'dressing room', 'backstage', 'teenage girl applies makeup', 'woman smashes a mirror with her hand', 'knocking on a door', 'reference to cleopatra', 'hand kissing', 'man wears eyeglasses', 'distorted sound', 'shooting up', 'hypodermic needle', 'audio flashback', 'money', 'man wears underwear', 'repeated scene', 'class', 'female teacher', 'kronenbourg the pale lager', 'reference to south london', "ladies' man", 'reference to an octopus', 'name calling', "smashing a mirror with one's fist", 'reference to a gangster', 'echo', 'champagne', 'laughter', 'double image camera effect', 'distorted vision', 'man undresses', 'male frontal nudity', 'mannequin', 'mirror ball', 'teenage boy wears black', 'teenage girl wears black', 'pretending to be a ghost', 'the inferno nightclub london', 'bride of frankenstein costume', 'man wears a nun costume', 'skeleton costume', 'running in the rain', 'slow motion dance scene', 'distorted music', 'triple image camera effect', 'running teenage girl', 'rain', 'teenage boy wears black boxer briefs', 'door lock', 'rape', 'teenage boy puts on his pants', 'teenage boy walks on broken glass with bare feet', 'facial wound', 'bloody face', 'male bare feet', 'red light district', 'reflection in a knife', 'blood on body', 'fully clothed teenage girl in a bathtub', 'slamming a door', 'beeping alarm', 'pin cushion', 'audio montage', 'reference to acid the drug', 'reference to mescaline', 'reference to mushrooms', 'reference to a hallucinogen', 'whispering', 'reference to schizophrenia', 'teenage girl vomits', 'vomiting into a toilet bowl', 'policewoman', 'year 1960', 'year 1969', 'missing person', 'microfilm', 'aunt nephew relationship', 'student id', 'barmaid', 'microfilm reader', 'public address announcement', 'ghosts appear in black and white', 'calling for security', 'craziness', 'almost hit by a taxi', 'upside down camera shot', 'running through water', 'pushed to the ground', 'teenage girl falls to the ground', 'umbrella', 'following someone', 'being followed', 'basement', 'pretending to play a piano', 'numbers the pale ale', 'siren song', 'threat to murder someone', 'police car', 'police siren', 'crying teenage girl', 'male female embrace', 'reference to dusty springfield', 'promise', 'stabbed in the neck', '18 year old', 'reference to hell', 'dead body hidden under floorboards', 'dead body hidden behind a wall', 'confession', 'poison', 'poisoned tea', 'sedative', 'old woman hits a teenage girl', 'bloody nose', 'pride', 'attempted murder on a stairway', 'blowing a kiss', 'breaking through a wall', 'calling for help', 'man slaps an old woman', 'suicide by throat slitting', 'reference to prison', 'fireman', 'gurney', 'oxygen mask', 'winking', 'scene during closing credits', '18 year old teenage girl', 'teenage girl dyes her hair', 'teenage girl in jeopardy', 'teenage girl listens to music on headphones', 'reference to a thai massage parlor', 'teenage girl wears a white vinyl coat', 'imposter syndrome', 'haunting', 'death of mother', 'surprise ending', 'plot twist', 'male nudity', 'suit and tie', 'f rated']</t>
  </si>
  <si>
    <t>tt0119217</t>
  </si>
  <si>
    <t>['professor', 'genius', 'mathematical genius', 'loss of wife', 'friend', 'janitor', 'psychotherapy', 'child abuse', 'character name in title', 'original story', 'phone call from jail', 'autodidact', 'fear of failure', 'fear of abandonment', 'disorder', 'death of wife', 'death of loved one', 'cigarette smoking', 'attachment disorder', 'toy store', 'mathematician', 'masturbation reference', 'job interview', 'hypnotherapy', 'flirting', 'date', 'assault', 'shakespearean quotation', 'prodigy', 'tough love', 'harvard', 'boston massachusetts', 'class differences', 'psychiatrist', 'orphan', 'reference to william shakespeare', 'reference to noam chomsky', 'reference to michelangelo', 'reference to friedrich nietzsche', 'construction site', 'theorum', 'baseball', 'premarital sex', 'vietnam war veteran', 'brilliant mind', 'grief', 'man wears eyeglasses', 'reference to albert einstein', 'reference to the unabomber', 'violence', 'scene during end credits', 'male female relationship', 'car', 'automobile', 'us car', 'oldsmobile', 'oldsmobile motor vehicle', 'oldsmobile delta 88', 'chevrolet', 'chevrolet motor vehicle', 'chevrolet nova', 'written by cast member', 'under arrest', 'reference to michael bolton', 'judge', 'jail visit', 'reference to helen of troy', 'reference to stanford university', 'reference to the new england patriots', "quoting shakespeare's henry v", 'reference to oliver twist', 'apples', 'math', 'psychological drama', 'timeframe 1990s', 'timeframe 20th century', 'academia drama', 'cigarette burn', 'childhood trauma', 'trauma', 'child sexual abuse', 'abusive father', 'jail', 'mathematics', 'nsa', 'national security agency', 'magic 8 ball', 'harvard university', 'f word', 'slow motion scene', 'breakup', 'sexual joke', 'techne', 'cancer', 'flashback', 'teaching assistant', 'moving', 'lecture', 'impersonation', 'ex convict', 'ethnic slur', 'class reunion', 'world series', 'coming of age', 'hypnosis resistant', 'massachusetts institute of technology', 'blockbuster', 'courtroom', 'ambition', 'widower', 'batting cage', 'bar', 'reference to ludwig van beethoven', 'three word title', 'masturbation', 'used car', 'restaurant', 'playground', 'mirror', 'little league', 'joke', 'diner', 'community college', 'birthday', 'apology', 'painting', 'dog track', 'boston red sox', 'irish american', 'dog racing', 'friendship', 'mathematical equation', 'el train', 'construction worker']</t>
  </si>
  <si>
    <t>tt0095016</t>
  </si>
  <si>
    <t>['Action', 'Thriller']</t>
  </si>
  <si>
    <t>['hostage', 'one against many', 'los angeles california', 'heist', 'christmas', 'action hero', 'terrorist', 'christmas eve', 'christmas movie', 'police officer', 'robbery', 'rooftop', 'hero', 'skyscraper', 'murder', 'based on novel', 'good versus evil', 'radio', 'murder of a police officer', 'criminal mastermind', 'henchman', 'bomb', 'sabotage', 'fight to the death', 'hostile takeover', 'urban setting', 'heroism', 'courage', 'husband wife relationship', 'computer hacker', 'falling to death', 'security guard', 'body lands on a car', 'redemption', 'villain', 'marital separation', 'bloody feet', 'dysfunctional marriage', 'marital estrangement', 'marital reconciliation', 'manhunt', 'male bonding', 'african american', 'irish american', 'held at gunpoint', 'police', 'jumping from a rooftop', 'terrorist plot', 'detective', 'mercenary', 'shootout', 'japanese businessman', 'battle of wits', 'hand to hand combat', 'fistfight', 'elevator', 'talking to oneself', 'one man army', 'tough guy', 'rescue', 'showdown', 'one night', 'suspense', 'shot in the head', 'helicopter', 'terrorism', 'reporter', 'explosion', 'elevator shaft', 'two word title', 'christmas party', 'maverick cop', 'police radio', 'nanny', 'car phone', 'lens flare', 'man wears eyeglasses', 'german terrorist', 'disarming someone', 'broken glass', 'hitman', 'parking garage', 'punched in the face', 'assassin', 'beaten to death', 'brutality', 'mercilessness', 'corporate executive', 'office building', 'telephone call', 'ambush', 'jumping from height', 'detonator', 'time bomb', 'explosive', 'stun grenade', 'ventilation shaft', 'falling from a skyscraper', "character repeats someone else's dialogue", 'shot through a table', 'two characters with the same name', 'female frontal nudity', 'knocked unconscious', 'duct tape', 'traumatic past', "breaking someone's neck", 'woman in jeopardy', 'overconfidence', 'argument', 'bare chested male', 'security camera', 'crashing through a window', 'employer employee relationship', 'coercion', 'blockbuster', 'party', 'escape', 'vault', 'chauffeur', 'swat team', 'pistol', 'sniper', 'strangulation', 'terrorist group', 'news report', 'machismo', 'reluctant hero', 'police detective', 'airport', 'silencer', 'mexican standoff', 'blood splatter', 'slow motion scene', 'marital problem', 'part of series', 'reference to roy rogers', 'death of brother', 'martial arts', 'villain not really dead cliche', 'walking on broken glass', 'power outage', 'cigarette smoking', 'fbi agent', 'race against time', 'negotiator', 'claustrophobia', 'captive', 'machine gun', 'walkie talkie', 'exploding helicopter', 'exploding car', 'shot to death', 'rocket launcher', 'blood', 'limousine', 'television', 'fragments of glass', 'teddy bear', 'violence', 'based on book', 'cult film', 'anti hero', 'vest', 'police scanner', 'cb radio', 'two way radio', 'woman punches a man', 'f word', 'holiday', 'airport terminal', 'japanese man', 'capitalist', 'capitalism', 'corporation', 'announcement', 'beard', 'bearded man', 'suit and tie', 'carousel', 'office', 'photograph', 'family photograph', 'wearing sunglasses indoors', 'underground parking', 'limousine driver', 'cassette player', 'parking lot', 'chamber music', 'uninvited guest', 'kiss on the cheek', 'corner office', 'cityscape', 'computer', 'playboy centerfold', 'mainframe', 'computer terminal', 'computer room', 'safecracking', 'watching tv', 'news reporter', 'news anchor', 'touch screen', 'playboy calender', 'heating duct', 'man wears a suit and tie', 'murder of a soldier', 'christmas decoration', 'snorting cocaine', 'throat slitting', 'reference to john rambo', 'gun battle', 'profanity', 'near death experience', 'cigarette lighter', 'revolver', 'police car', 'german', 'punched in the chest', 'thief', 'robber', 'survival', 'attempted murder', 'scene during opening credits', 'sunglasses', 'father daughter relationship', 'mother daughter relationship', 'helicopter crash', 'bazooka', 'death threat', 'telephone', 'deception', 'betrayal', 'double cross', 'bloody footprint', 'wristwatch', 'shot through a window', 'fire hose used as a rope', 'axe', 'shot in the back', 'chase', 'police vehicle', 'classical music', 'building', 'famous opening theme', 'famous score', 'reference to stevie wonder', 'reference to kareem abdul jabbar', 'reference to james worthy', 'watching football on tv', 'reference to arnold schwarzenegger', 'christmas season', 'irish american cop', 'african american police officer', 'african american policeman', 'african american cop', 'german man', 'limousine chauffeur', 'german accent', 'walther ppk', 'silenced pistol', 'silenced gun', 'shot with a silenced gun', 'm16 rifle', 'm60 machine gun', 'flash bang', 'impersonating a security guard', 'fbi federal bureau of investigation', 'murder of an fbi agent', 'car', 'stretch limousine', '1980s', 'vietnam war veteran', 'twinkie', 'grocery store', 'cell phone', 'architectural model', 'closed circuit television', 'searchlight', 'surveillance', 'breaking a window with a chair', 'truck', 'flirting', 'man kisses a man on the cheek', 'lobby', 'fake accent', 'fire alarm', 'shootout on a rooftop', 'empty gun', 'unethical reporter', 'kiss', 'screaming', 'interrupted sex', 'outrunning an explosion', 'rolex wristwatch', 'murder of a security guard', 'tough cop', 'barefoot', 'catchphrase', 'die hard franchise', 'cult classic', 'escape attempt', 'female nudity', 'franchise', 'camera shot of feet', 'male police officer', 'psychotronic film', 'yuppie villain', 'night', 'national film registry', 'die hard', 'male protagonist', 'one person army action', 'bare breasts', 'timeframe 1980s', 'reference to the waltons', 'pay phone', 'reference to yasser arafat', 'squad car', 'reference to ebenezer scrooge', 'blood on camera lens', 'police shootout', 'armored car', 'sniper rifle', 'assault rifle', 'mixed martial arts', 'fight', 'kidnapping', 'airplane', 'gash in the face', 'chainsaw', 'gore', 'first part', 'hip hop music', 'false name', 'stupid victim', 'one day time span', 'pregnancy', 'falling down stairs', 'maiden name', 'greed', 'writing in blood', 'caught having sex', 'revenge', 'vendetta', 'quick draw', 'karate chop', 'beating', 'karate', 'brawl', 'evil man', 'los angeles police department', 'hacker', 'air vent', 'pistol whipped', 'shooting out a window', 'imperative in title', 'unsubtitled foreign language', 'reference to grace kelly', 'reference to gary cooper', 'blood on shirt', 'reference to john wayne', 'wisecrack humor', 'german stereotype', 'rescue mission', 'one liner', 'comic relief', 'unlikely hero', 'rogue cop', 'c4 explosives', 'beretta', 'famous line', 'california', 'death', 'first of series', 'santa claus costume', 'shot in the knee', 'shot in the forehead', 'shot in the chest', 'shot in the arm', 'kicked in the face', 'hanged man', 'corpse', 'car accident', 'driving backwards', 'christmas tree', 'cameraman', 'shot in the leg', 'bearer bonds', 'estranged couple', 'computer cracker', 'free fall', 'gun', 'media coverage', 'falling from height', 'criminal', 'surprise ending', 'tarmac', 'die hard scenario', 'black comedy']</t>
  </si>
  <si>
    <t>tt0038650</t>
  </si>
  <si>
    <t>I'ts a wonderfull life</t>
  </si>
  <si>
    <t>['Drama', 'Family', 'Fantasy']</t>
  </si>
  <si>
    <t>['alternate history', 'christmas', 'guardian angel', 'second chance', 'angel', 'bank', 'building and loan', 'small town', 'rescue from drowning', 'sideways time travel', 'sacrifice', 'great depression', 'freeze frame', 'war hero', 'drugstore', 'loss of father', 'populism', 'falling through ice', 'partial deafness', 'squirrel', 'afi', 'singing', 'banker', 'miser', 'foreclosure', 'moving floor', 'abandoned house', 'celebration', 'pharmacy', 'pharmacist', 'delivery boy', 'charleston dance', 'river', 'bank deposit', 'hero', 'business', 'property auction', 'christmas movie', 'christmas eve', 'heaven', 'prayer', 'ambition', 'falling into swimming pool', 'depression', 'jumping off a bridge', 'dancing', 'telegram', 'ethnic slur', 'world war two', 'belief in destiny', 'brother brother relationship', 'sledding', 'father daughter relationship', 'mother daughter relationship', 'father son relationship', 'mother son relationship', 'absent mindedness', 'auld lang syne', 'marriage proposal', 'wish fulfillment', 'suitor', 'stroke', 'bridge', 'renovation', 'friendship', 'job interview', 'newlywed', 'marriage', 'police officer', 'car accident', 'bell', 'librarian', 'jitterbug', 'maid', 'taxi driver', 'bathrobe', 'financier', 'loss of son', 'common cold', 'rainstorm', 'generosity', 'developer', 'drunkenness', 'dance contest', 'bar', 'rich snob', 'board meeting', 'swimming pool', 'lost money', 'railway station', 'cemetery', 'despair', 'boarding house', 'house warming', 'flower', 'taxi', 'poison', 'sick child', 'handshake', 'pregnancy', 'suitcase', 'new york', 'wheelchair', 'prank', 'financial panic', 'wedding night', 'frustration', 'window smashing', 'cash register', '1910s', '1920s', '1930s', 'audio flashback', 'americana', 'national film registry', 'existentialism', 'based on short story', 'timeframe 1910s', 'timeframe 1920s', 'timeframe 1930s', 'timeframe 1940s', 'timeframe 20th century', 'suicidal', 'told in flashback', 'fundraising', 'italian american', 'snowstorm', 'uncle', 'graduation party', 'ex convict', 'face slap', 'double take', 'wipe', 'co written by director', 'writer director producer', 'apostrophe in title', 'four word title', 'film blanc', 'contraction in title', 'punctuation in title', 'claim in title', 'independent film']</t>
  </si>
  <si>
    <t>tt6264654</t>
  </si>
  <si>
    <t>['Action', 'Adventure', 'Comedy', 'Fantasy', 'Sci-Fi']</t>
  </si>
  <si>
    <t>['video game character', 'video game world', 'artificial intelligence', 'bank robbery', 'bank security guard', 'video game as subject', 'bank teller', 'npc', 'virtual reality', 'violence', 'video game violence', 'hero', 'gun', 'programmer', 'algorithm', 'two word title', 'virtuality', 'heroic', 'simulated reality', 'non player character', 'sunglasses', 'bank', 'video game developer', 'fight', 'male protagonist', 'love', 'male female relationship', 'computer code', 'gamer', 'video gamer', 'security guard', 'gay', 'reference to star wars', 'avatar', 'reference to the avengers', 'bridge', 'waterfall', 'sandbox game', 'teabagging', 'blonde bombshell', 'man wears sunglasses', 'woman wears sunglasses', 'muscular man', 'character name in title', 'gay villain', 'first kiss', 'barista', 'goldfish', 'kissing', 'grenade', 'explosion', 'ice cream', 'open world game', 'action heroine', 'sentient video game character', 'violent video game', 'heroism', 'muscleman', 'strongman', 'dating', 'kiss', 'atm', 'rabbit costume', 'tv news', 'tv interview', 'shipping container', 'reference to burning man', 'catchphrase', 'reference to arnold schwarzenegger', 'punched in the face', 'punched repeatedly', 'high concept comedy', 'artificial intelligence sci fi', 'alley', 'electronic music score', '2020s', 'sports car', 'employer employee relationship', 'voice over narration', 'self awareness', 'montage', 'metaphor', 'hologram', 'portal', 'police car', 'hope', 'ceo', 'eccentric', 'lightsaber', 'reference to the incredible hulk', 'reference to captain america', 'coffee', 'shield', 'cameo', 'subtitled scene', 'tokyo japan', 'times square manhattan new york city', 'coffee shop', 'exploding body', 'exploding car', 'exploding building', 'exploding helicopter', 'helicopter', 'helicopter crash', 'collapsing building', 'chase', 'police chase', 'foot chase', 'car chase', 'gunfight', 'shootout', 'fistfight', 'employee employee relationship', 'brawl', 'man fights a woman', 'computer programmer', 'computer cracker', 'race against time', 'apartment', 'fired from a job', 'raised middle finger', 'obscene finger gesture', 'webcam', 'sword', 'online video game', 'internet', 'youtube', 'social commentary', 'fighting the system', 'interview', 'dutch angle', 'pistol', 'revolver', 'uzi', 'machine gun', 'ak 47', 'shotgun', 'grenade launcher', 'rocket launcher', 'rpg', 'dual wield', 'slow motion scene', 'slow motion action scene', 'axe fight', 'hit by a motorcycle', 'motorcycle stunt', 'armory', 'tank', 'taxi', 'atm machine', 'dinosaur', 'axe', 'bank robber', 'one against many', 'bank heist', 'attempted robbery', 'heist gone wrong', 'disarming someone', 'knocked out', 'knocked out with a gun butt', 'face mask', 'masked man', 'hit by a train', 'hit by a car', 'jumping from height', 'falling from height', 'wrecking ball', 'knife', 'ninja', 'spectacles', 'news report', 'media coverage', 'city', 'fictional city', 'wingsuit', 'mission', 'mysterious woman', 'fake accent', 'money', 'bag of money', 'money falling through the air', 'stylized violence', 'kidnapping', 'hostage', 'held at gunpoint', 'rescue', 'escape', 'deception', 'ambush', 'revenge', 'fear', 'power', 'near death experience', 'revelation', 'blockbuster', 'sabotage', 'reference to mariah carey', 'body lands on a car', 'scene during closing credits', 'woman wears eyeglasses', 'wisecrack humor', 'actor plays multiple roles', 'british actress plays an american character', 'unrequited love', 'hand grenade', 'interracial friendship', 'betrayal', 'watching tv', "character repeats someone else's dialogue", 'fishbowl', 'force field', 'computer', 'reference to kentucky fried chicken', 'bravery', 'courage', 'teleportation', 'timeframe 2020s', 'timeframe 21st century', 'existentialism', 'reference to thanos', 'punk haircut', 'nameless character', 'unnamed character', 'turning the tables', 'surprise ending', 'surrealism', 'psychotronic film', 'die hard scenario', 'feminism', 'police officer', 'time loop', 'laptop computer', 'motorcycle', 'beach', 'hermetic world', 'computer reboot', 'no opening credits', 'rainbow', 'african american', 'gun fu', 'beatdown', 'portal gun', 'date', 'muscle', 'slimehouse', 'code', 'action girl']</t>
  </si>
  <si>
    <t>tt8847712</t>
  </si>
  <si>
    <t>['Comedy', 'Drama', 'Romance']</t>
  </si>
  <si>
    <t>['journalist', 'painter', 'woman poses nude for a painting', 'bicycle', 'magazine', 'artist', 'police', 'animated sequence', 'voice over narration', 'chef', 'actor shares last name with character', 'magazine writer', "girls' dormitory", 'talking to the camera', 'multiple narrators', 'prostitute', 'pimp', 'older woman teenage boy relationship', 'teenage boy with a mustache', 'manifesto', 'kansas', 'mental illness', 'hostage', 'chase', 'absurdism', 'female frontal nudity', 'narrated by character', 'female nudity', 'male nudity', 'bare breasts', 'love', 'job application', 'magazine editor', 'subtitled scene', 'father son relationship', 'morse code', 'kidnapping', 'kidnapping a boy', 'gun', 'teenage boy', 'teenage girl', 'play within a film', 'magazine cover', 'typewriter', 'teenage boy wears underwear', 'teenage boy in a bathtub', 'eating', 'episodic structure', 'chicken coop', 'text on screen', 'mother son relationship', 'fictional tv interview show', 'prison guard', 'female prison guard', 'overhead camera shot', 'split screen', 'art dealer', 'art gallery', 'death', 'dead body covered with a sheet', 'police car', 'co written by cast member', 'no crying sign', 'pirate radio station', 'journalist integrity', 'playing chess', 'face slap', 'heart attack', 'crying', 'birthday cake', 'all star cast', 'nine word title', 'posing nude', 'anthology', 'timeframe 1960s', 'chess', 'france', 'student rebellion', 'timeframe 1970s', 'prison asylum', 'poisoning', 'revolution', 'editor in chief', 'riot', 'conscription', 'lecture', 'tv interview', 'fictional city', 'bicycle tour', 'obituary', 'magazine article', 'travel guide', 'american in france', 'last will and testament', 'art collector', 'black and white scene', 'title spoken by character', 'female full frontal nudity', 'nudity', 'boy', 'mayor', 'virgin', 'man wears a necktie around his head', 'food', 'flash forward', 'flashback', 'cooking', 'pursuit', 'parole hearing', 'growling man', 'chauffeur', 'uncle nephew relationship', 'waiter', 'probation', 'radio set', 'taxi', 'part animated', 'period piece', 'quirky comedy', 'timeframe 20th century', 'clothed female naked male', 'female rear nudity', 'fresco', 'abstract expressionism', 'electric chair', 'magazine name in title', 'begins with voice over narration', 'gas mask', 'co written by director', 'bunk bed', 'prison riot', 'older woman younger man relationship', 'shootout', 'suicide', 'tear gas', 'kiosk', 'mouthwash', 'year 1975', 'change of aspect ratio', 'murder', 'male police officer', 'breaking the fourth wall', 'police officer']</t>
  </si>
  <si>
    <t>tt0080339</t>
  </si>
  <si>
    <t>['Comedy']</t>
  </si>
  <si>
    <t>['spoof', 'airplane', 'deadpan', 'pilot', 'air traffic controller', 'food poisoning', 'satire', 'parody', 'female nudity', 'implied fellatio', 'pedophilia', 'absurd comedy', 'glue sniffing', 'jet', 'passenger jet', 'color remake of black and white film', 'aircraft cockpit', 'aviophobia', 'cockpit', 'airline employee', 'breaking the fourth wall', 'sweaty cloth', 'stress', 'flight', 'airplane cockpit', 'sweaty man', 'haunted by the past', 'passenger', 'plane', 'stewardess', 'airport', 'sweaty face', 'chicago illinois', 'taxi with the meter running', 'bouncing breasts', 'shaking a woman', 'scene after end credits', 'traffic control', 'headphones', 'upskirt', 'emergency landing', 'sniffing glue', 'alarm', 'emergency', 'breasts', 'long brown hair', 'brunette', 'airliner', 'madcap comedy', 'slapstick comedy', 'hit in the face', 'control tower', 'air crew', 'surrealism', 'blow job', 'talking a pilot through a landing', 'control center', 'aircrew', 'sick pilot', 'farce', 'taxi driver', 'cocaine', 'actor breaking typecast', 'inflatable doll', 'narcotic', 'alcoholism', 'self referential', 'reference to ethel merman', '1980s', 'wobbling breasts', 'reference to gerald ford', 'reference to anita bryant', 'reference to ronald reagan', 'female frontal nudity', 'sweat', 'bestiality', 'sweating', 'suicide', 'military hospital', 'disco', 'surprise after end credits', 'perspiration', 'inanimate object in cast credits', 'jive', 'national film registry', 'ensemble cast', 'ensemble', 'knife in back', 'crazy humor', 'egg', 'vomiting', 'bad luck', 'pantyhosed leg', 'talking to the camera', 'character credited as self', 'reference to auntie em', 'cult classic', 'cult comedy', 'blockbuster', 'female female fight', 'visual pun', 'first part', 'catchy song', 'dream', 'nightmare', 'crashing', 'satirical', 'extending nose', 'airplane crash', 'part of duology', 'meta humor', 'parody comedy', 'crude humor comedy', 'love', 'bird', 'disaster', 'crashing through a window', 'dalmatian', 'dump truck', 'in flight movie', 'introduction', 'reference to barbara stanwyck', 'flying through a storm', 'snorting cocaine', 'newscast', 'long kiss', 'mob of reporters', 'jazz band', 'jive talking', 'airliner evacuation slide', 'facial scratch', 'instrument panel', 'lighting a match', 'can of gasoline', 'animal attack', 'altimeter', 'airspeed gauge', 'siamese twins', 'automatic pilot', 'fish dinner', 'flight 209', 'air sick bag', 'spinning ball on finger', 'nausea', 'female singer', 'bare breasts', 'boeing 707', 'toy airplane', 'running on the beach', 'archival footage', 'beating heart', 'speaking to audience', 'airplane crashing into airport terminal', 'boeing 747', 'prosthetic leg', 'prosthetic hand', 'flower', 'braids', 'panic', 'poison', 'model', 'painting', 'jukebox', 'catfight', 'paramedic', 'taxi', 'sky', 'news report', 'reporter', 'pipe smoking', 'rain', 'revolver', 'hypodermic needle', 'pet dog', 'crying', 'son', 'lightning', 'press', 'horse', 'native', 'nurse', 'father', 'brownie', 'pigtails', 'fistfight', 'playing cards', 'subtitles', 'nightclub', 'stretcher', 'typewriter', 'chart', 'spear', 'intravenous', 'air turbulence', 'security', 'acoustic guitar', 'bartender', 'wheelchair', 'little boy', 'barroom brawl', 'panties', 'dancing', 'punched in the face', 'little girl', 'snorting coke', 'bedridden', 'ponytail', 'broadcaster', 'fan', 'thunder', 'song', 'newspaper headline', 'memory', 'beach', 'knife', 'microphone', 'vulture', 'ambulance', 'watching a movie', 'fireworks', 'siren', 'crash', 'screen', 'runway', 'broken glass', 'cliche', 'flashback', 'smoking after sex', 'kiss', 'hanging', 'patient', 'iv line', 'sick child', 'guilt', 'flight attendant', 'doctor', 'breakup', '555 phone number', 'autopilot', 'scientology', 'face slap', 'aviation', 'buxom', 'disaster film', 'psychotronic film', 'reference to the mayo clinic', 'reference to the wizard of oz', 'cult film', 'woman plays an acoustic guitar', 'woman plays a trombone', 'woman wears a negligee', 'woman wears a one piece swimsuit', 'woman wears a red dress', 'ku klux klan', 'ku klux klan komedy', 'timeframe 1980s', 'basketball', 'fish', 'drinking from a flask', 'gelatin', 'hit with a guitar', 'thompson sub machine gun with drum magazine', 'stabbed in the back', 'naval dress uniform', 'bare chested male', 'some scenes in black and white', 'musician', 'wife', 'excrement', 'nudity', 'husband', 'fighter jet', 'photograph', 'riding a bicycle', 'x ray', 'sword fighting', 'uniform', 'sword fight', 'sword', 'camera', 'film camera', 'large format camera', 'smelling finger', 'castle thunder', 'ford mustang', 'spinning newspaper', 'punctuation in title', 'exclamation point in title', 'jumping through a window', 'reference to jcpenney', 'girl scout', 'one word title', 'trombone', 'elephant', 'card playing', 'nun', 'world war two', 'tupperware', 'tv news', 'sunglasses', 'stabbing', 'singing', 'peace corps', 'magic trick', 'dog', 'dance', 'saxophone', 'guitar', 'hare krishna', 'flatulence', 'title spoken by character']</t>
  </si>
  <si>
    <t>tt6902676</t>
  </si>
  <si>
    <t>['Action', 'Comedy', 'Crime', 'Thriller']</t>
  </si>
  <si>
    <t>['game', 'chase', 'escape', 'disguise', 'drone', 'suicide', 'survival', 'helicopter', 'bullying', 'homelessness', 'murder', 'internet', 'social media', 'contest', 'villain', 'shootout', 'revenge', 'police', 'gun', 'two word title', 'boyfriend girlfriend relationship', 'gaming', 'sitting on a toilet', 'written by director', 'video game within a film', 'gunshot', 'shooting', 'car chase', 'split screen', 'freeze frame', 'downpour', 'pouring rain', 'male objectification', 'male nudity', 'nudity', 'male rear nudity', 'bare butt', 'male bare butt', 'bare chested male', 'slow motion scene', 'shot to death', 'murder by shooting', 'death by gunshot', 'murder by gunshot', 'gamer', 'voice over narration', 'narrated by protagonist', 'narrated by character', 'explosion', 'car explosion', 'animated sequence', 'flashback', 'told in flashback', 'watching a video', 'prank', 'prankster', 'coworker coworker relationship', 'colleague colleague relationship', 'throwing something at someone', 'drinking from a bottle', 'virtual reality', 'violence', 'internet chat', 'burping', 'f word', 'text message', 'texting', 'text message displayed on screen', 'beer drinking', 'fake tattoo', 'park', 'cartoonist', 'dream scene', 'knocking down a door', 'visit', 'visitor', 'lying on the floor', 'broken computer', 'destroying a computer', 'sitting on the floor', 'punched in the face', 'tranquilizer', 'pointing a gun at someone', 'beating', 'beaten up', 'gang', 'gang of criminals', 'criminal gang', 'criminal', "character's point of view camera shot", 'kidnapping', 'kidnapped man', 'bondage', 'male bondage', 'scream', 'screaming man', 'upside down camera shot', 'talking to oneself', 'hand injury', 'reference to john rambo', 'vomiting', 'slow motion shootout', 'mysterious event', 'inhaler', 'asthma', 'asthmatic', 'asthmatic man', 'snorting cocaine', 'violent woman', 'violent man', 'massacre', 'sped up footage', 'spurting blood', 'blood', 'commando', 'jumping out a window', 'breaking a window', 'broken window', 'watching tv', 'character appears on tv', 'spitting', 'spitting on the floor', 'police station', 'camera shot of eyes', 'close up of eyes', 'hitwoman', 'female criminal', 'escape out a window', 'pretending to be a policeman', 'urination', 'male frontal nudity', 'camera shot of feet', 'change in lifestyle', 'fish out of water', 'drugged', 'drugged man', 'arrogant woman', 'matronizing', 'arrogance', 'destroying a tv set', 'falling from height', 'reality show', 'taser', 'following someone', 'being followed', 'running late', 'destroying a drone', 'awkward situation', 'investigator', 'pepper spray', 'dog mask', 'choking', 'strangled to death', 'strangulation', 'murder by strangulation', 'pointing a gun at oneself', 'considering suicide', 'homeless man', 'police detective', 'wanted woman', 'investigation', 'police investigation', 'police investigator', 'detective', 'junkie', 'drug addict', 'drug', 'employer employee relationship', 'employer bullies employee', 'outburst', 'hysterical outburst', 'garage', 'on the run', 'man on the run', 'stolen car', 'stealing a car', 'breaking a car window', 'broken car window', 'stolen motorbike', 'riding a motorbike', 'riding a motorcycle', 'stealing a motorbike', 'stolen motorcycle', 'stealing a motorcycle', "following someone's car", 'following a car', 'car crash', 'car accident', 'accident', 'traffic accident', 'slow motion fall', 'limping', 'limping man', 'limping character', 'hacker', 'computer hacker', 'malware', 'spyware', 'car on fire', 'traumatized woman', 'traumatic memory', 'trauma', 'younger version of character', 'hitchhiking', 'hitchhiker', 'skype call', 'chased by police', 'running from the police', 'emergency call', 'death by explosion', 'traumatized man', 'father daughter relationship', 'family relationships', 'mobster', 'murdered in an explosion', 'dead body', 'bulletproof vest', 'wearing a bulletproof vest', 'taking a selfie', 'taking a photograph', 'van', 'ex boyfriend ex girlfriend reunion', 'ex boyfriend ex girlfriend relationship', 'mistaken identity', "closing someone's eyes", 'wrapped in a towel', 'man wrapped in a towel', 'abduction', 'abducted woman', 'abducted girlfriend', 'abducted ex girlfriend', 'kidnapped woman', 'kidnapped girlfriend', 'kidnapped ex girlfriend', 'body bag', 'pretending to be dead', 'mistaken belief that someone is dead', 'reverse footage', 'repeated scene', 'screaming woman', 'loss of father', 'team work', 'repeated scene from a different perspective', 'camera shot of mouth', 'close up of mouth', 'nickname', 'nickname in title', 'killed in an explosion', 'nickname as title', 'reference to penis size', 'masked man', 'computer hacking', 'obscene gesture', 'obscene finger gesture', 'raised middle finger', 'computer', 'dragging someone', 'fight', 'male female fight', 'threatened with a hammer', 'hammer used as a weapon', 'knife', 'threatened with a knife', 'knife throwing', 'throwing a knife', 'finger cut off', 'severed finger', 'disembodied finger', 'finger injury', 'hammer as weapon', 'reference to jackson pollock', 'kicked in the face', 'man kicks a woman in the face', 'hit on the head', 'hit on the head with a hammer', 'spitting blood', 'camera shot of an eye', 'close up of an eye', 'hit in the groin', 'hit in the crotch', 'hit in the crotch with a hammer', 'crotch injury', 'eye injury', 'sadistic violence', 'failed expectation', 'handcuffs', 'handcuffed woman', 'reference to bambi', 'woman hits a man in the crotch', 'misandry', 'misandric woman', 'misandrist', 'bomb', 'suicide bomber', 'slow motion explosion', 'female suicide bomber', 'surviving an explosion', 'cheering crowd', 'internet celebrity', 'bully', 'shoulder injury', 'locker room', 'fight on a rooftop', 'pushed from a rooftop', 'reunion', 'fantasy scene', 'comic book', 'female cartoonist', 'tranquilizer gun', 'tranquilizer dart', 'bloody face', 'bloody hands', 'breaking and entering', 'murderess', 'hiding under a table', 'murder spree', 'knocking on a door', 'listening to a car radio', 'listening to a radio', 'male with long hair', 'looking at oneself in a mirror', 'man wears underwear', 'male vomits', 'man hits a woman', 'man sits on a toilet', 'man wears a bathrobe', 'man wears a tank top', 'man wears an open bathrobe', 'man wears an open shirt', 'man wears boxer shorts', 'man wears sandals', 'man wears shorts', 'man wears sunglasses', 'death', 'pushed down stairs', 'suicidal thoughts', 'talking to the camera', 'woman wears eyeglasses', 'woman wears sunglasses', 'apology', 'playing a video game', 'one against many', 'one woman army', 'male star appears shirtless', 'no opening credits', 'jumping through a car window', 'rocket launcher', 'shooting down a drone', 'mace sprayed in eyes', 'hotdog', 'tracking a cell phone', 'black eye', 'bloody clothing', 'kevlar vest', 'reference to starbucks', "reference to mcdonald's", 'reference to burger king', 'fall from height', 'death of protagonist', 'title appears in writing', 'reference to cypress hill', 'computer programmer', 'electronic music score', 'over the top', 'body count', 'psychotronic film', 'grindhouse film', 'exploitation', 'exploitation film', 'neo 80s', 'beard', 'bald man', 'punk haircut', 'most dangerous game', 'fictional city', 'urban setting', 'reference to spiderman', 'reference to batman', 'reference to rambo', 'montage', 'reference to youtube', 'apartment', 'profanity', 'eccentric', 'world domination', 'evil man', 'good versus evil', 'unlikely hero', 'bravery', 'courage', 'one man army', 'tough guy', 'warrior', 'vulgarity', 'action heroine', 'anti heroine', 'alley', 'tough girl', 'female warrior', 'psychopath', 'female psychopath', 'dutch angle', 'subjective camera', 'gun battle', 'artist', 'street shootout', 'dream', 'dark past', 'tragic past', 'battle', 'exploding body', 'exploding car', 'cell phone', 'camera phone', 'combat', 'indian', 'bar', 'abandoned building', 'city', 'laptop computer', 'insanity', 'kicking in a door', 'home invasion', 'knocked out', 'bag over head', 'face mask', 'disarming someone', 'gimp mask', 'rooftop', 'police car', 'opening action scene', 'swat team', 'police officer', 'police officer killed', 'lasersight', 'car motorcycle chase', 'motorcycle stunt', 'carjacking', 'beaten to death', 'police raid', 'falling to death', 'falling down stairs', 'showdown', 'final showdown', 'gunfight', 'black comedy', 'loss of mother', 'death of wife', 'loss of wife', 'parking garage', 'car bomb', 'betrayal', 'c4 explosives', 'double cross', 'strapped to a bomb', 'homeless person', 'blood splatter', 'rpg', 'gore', 'pistol', 'desert eagle', 'revolver', 'uzi', 'ak 47', 'machine gun', 'shotgun', 'gatling gun', 'armory', 'junkyard', 'ambush', 'shot in the head', 'shot in the forehead', 'shot in the face', 'shot in the shoulder', 'shot in the throat', 'shot in the hand', 'shot in the chest', 'shot in the back', 'shot in the leg', 'shot in the crotch', 'gory violence', 'bloody violence', 'severed penis', 'blood on camera lens', 'blood on shirt', 'cocaine', 'brutality', 'mercilessness', 'hostage', 'held at gunpoint', 'rescue', 'hot dog', 'deception', 'vomit', 'hipster', 'beer', 'drunkenness', 'product placement', 'hammer', 'hit with a hammer', 'hit in the face', 'near death experience', 'race against time', 'knife in chest', 'foot chase', 'snorricam', 'woman in jeopardy', 'damsel in distress', 'machismo', 'tattoo', 'tattoo parlor', 'rain', 'surveillance', 'security camera', 'filmed killing', 'thrown through a windshield', 'fistfight', 'henchman', 'henchwoman', 'woman kills a man', 'woman fights a man', 'stabbed in the chest', 'fantasy sequence', 'bullet wound', 'presumed dead', 'gunshot wound', 'hatred', 'southern accent', 'brawl', 'slow motion action scene', 'stylized violence', 'dual wield', 'bullet time', 'gun fu', 'bullet ballet', 'fear', 'panic', 'danger', 'paranoia', 'attempted murder', 'modern gladiator', 'gladiator', 'gang leader', 'escaped convict', 'deeply disturbed person', 'gun in mouth', 'fighting', 'fight to the death', 'pickup truck', 'computer cracker', 'jumping through a window', 'wilhelm scream', 'wisecrack humor', 'machete', 'bridge', 'impersonating a police officer', 'fake mustache', 'sunglasses', 'punk', 'toilet', 'reference to rocky', 'reference to jackson pollack', 'reference to instagram', 'aerial camera shot', 'girls with guns', 'corrupt police officer', 'male police officer', 'fake male police officer', 'bossiness', 'gangster film', 'mafia', 'corruption', 'crime organization', 'evil organization', 'kill or be killed', 'gang war', 'british actor plays an american character', "character repeats someone else's dialogue", 'timeframe 2010s', 'timeframe 21st century', 'dark comedy', 'true crime', 'epic action', 'death of father', 'death of mother', 'independent film', 'title spoken by character', 'surprise ending', 'feet on table']</t>
  </si>
  <si>
    <t>tt4244994</t>
  </si>
  <si>
    <t>['Action', 'Drama', 'History', 'Thriller']</t>
  </si>
  <si>
    <t>['14th century', 'duel', 'battle', 'husband wife relationship', 'historical drama', 'based on book', 'france', 'adultery', 'medieval times', 'nudity', 'normandy', 'jousting', 'rough sex', 'consensual', 'castle', 'nonlinear timeline', 'repeated scene from a different perspective', 'based on true story', 'rape', 'knight', 'love', 'fight', 'armor', 'wedding', 'historical event', 'king of france', 'violence', 'scotland', 'horse', 'horse riding', 'sex', 'map', 'mother in law daughter in law relationship', 'mother son relationship', 'showdown', 'sword duel', 'military campaign', 'knighted', 'iron neck collar', 'sycophant', 'crop yield', 'labor costs', 'beheaded', 'sceptre', 'badge of honor', 'public hanging', 'reference to helen of troy', 'female nudity', 'sexual assault', 'male nudity', 'three word title', 'revenge', 'kingdom', 'village', 'friend', 'prince', 'r rated', 'chapter headings', 'multiple versions of same scene', 'religious confession', 'reference to god', 'queen of france', 'blood', 'facial scar', 'extramarital affair', 'unfaithfulness', 'infidelity', 'fireplace', 'candle', 'rear entry sex', 'orgasm', 'jealousy', 'guilt', 'innocence', 'king charles vi of france character', 'stripping a dead body', 'suing', 'slow motion scene', 'lance', 'axe', 'killing a horse', 'murder', 'dead horse', 'subtitled scene', 'latin the language', 'pregnancy', 'orgy', 'baby boy', 'ends with text', 'sword', 'sword fight', 'bow and arrow', 'snow', 'bloody face', 'friendship', 'bloody mouth', 'looking out a window', 'womanizer', 'squire', 'catholic', 'priest', "crossing one's self", 'lie', 'deception', 'betrayal', 'rent', 'stabbing', 'stabbed in the mouth', 'co written by star', 'beheading', 'what happened to epilogue', 'ends with biographical notes', 'blonde', 'blonde woman', 'kissing while having sex', 'kiss', 'combat', 'hand to hand combat', 'ambush', 'river battle', 'rape and revenge', 'costume drama', 'epic action', 'overlord', 'war levy', 'dowry', 'estate', 'retaliation', 'challenge', 'bravery', 'bankrupt', 'accounting', 'gaining trust', 'running errands', 'bedchamber', 'appeal', 'rape accusation', 'consequences', 'gossip', 'public trial', 'pierced nipples', 'black bile', 'gown', 'affidavit', 'sworn testimony', 'hypocrite', 'vanity', 'pregnant', 'ten commandments', 'absolution', 'patronizing', 'confession', 'royal campaign', 'medieval music', 'commander', 'solvent', 'late rent', 'noble', 'the plague', 'property crime', 'inheritance', 'debt', 'hunting', 'garrison', 'nobleman', 'pax', 'traitor', 'speaking german', 'speaking latin', 'shouting in french', 'bearing an heir', 'heir', 'reference to the romance of the rose', '1380s', 'year 1386', 'told in flashback', 'alternate version of reality', 'alternate version of same incident', 'point of view', 'violence against a woman', 'paris france', 'year 1370', 'knighthood', 'justice system', 'trial by combat', 'reference to the knights of the round table', 'pregnant from rape', 'wanting to get pregnant', 'hundred years war', 'middle ages', 'male female relationship', 'medieval france', 'trial', '1370s', 'year 1377', 'french nobility', 'count', 'pledge of allegiance', 'debt collection', 'year 1380', 'wedding ceremony', 'married couple', 'wedding reception', 'loss of father', 'year 1385', 'flaming arrow', 'return from war', 'home from war', 'return home', 'duel to the death', 'three chapters', 'group sex', 'feud', 'catholic confession', 'wedding night', 'sex scene', 'witness stand', 'witness testimony', 'falling off a horse', 'knocked off a horse', 'stabbed in the leg', 'stabbed to death', 'leg wound', 'dead body', 'timeframe 14th century', 'servant', 'female full frontal nudity', 'female frontal nudity', 'female rear nudity', 'rashomon effect', 'fight to the death', 'lesbian', 'lesbian sex', 'marital rape', 'horse penis', 'libertine']</t>
  </si>
  <si>
    <t>tt6328046</t>
  </si>
  <si>
    <t>['Documentary', 'Biography', 'Sport']</t>
  </si>
  <si>
    <t>['champion', 'boxing ring', 'african american boxer', 'reference to muhammad ali']</t>
  </si>
  <si>
    <t>tt2584384</t>
  </si>
  <si>
    <t>['Comedy', 'Drama', 'War']</t>
  </si>
  <si>
    <t>['nazi germany', 'world war two', 'satire', 'mother son relationship', 'black comedy', 'hiding behind a wall', 'year 1945', '10 year old', 'imaginary friend', 'loss of mother', 'hitler youth', 'nazi son', 'jewish girl', 'facial scar', 'anti hate', 'violence', 'boyfriend boyfriend relationship', 'gay lovers', 'homosexual', 'gay character', 'secretly gay', 'nazi', 'boy', 'unwanted nickname', 'teenage girl', 'racism', 'kicked through a window', 'jumping out a window', 'child with a gun', 'child with a grenade', 'child with a knife', 'last day of war', 'compassionate nazi officer', 'nazi propaganda', 'child soldier', 'public hanging', 'hiding from the nazis', 'coming of age', 'sketch book', 'hiding a jew from the nazis', 'street battle', 'anachronistic soundtrack', 'child imaginary friend relationship', 'bullying', 'childhood crush', 'looking through garbage for something to eat', 'boy soldier', 'jealousy', 'freedom', 'anti communist propaganda', "reference to hitler's suicide", 'anti russian propaganda', 'adolf hitler spoof', 'dancing', 'rabbit', 'military uniform', 'year 1944', '1940s', 'camp', 'feeding someone', 'closeted gay', 'secret relationship', 'pink triangle', 'nazi pink triangle', 'summary execution of captured enemy soldiers', 'anti jewish propaganda', 'summary execution', 'directed by cast member', 'written by director', 'closeted homosexual', 'redhead', 'jew', 'jewish', 'brainwashing', 'dancing in the street', 'gestapo', 'running through the woods', 'child with an rpg', 'american zone of occupation in germany', 'compassion', 'nazi boy', 'dagger', 'stabbed in the shoulder', 'internal struggle', 'mixed feelings', 'nazi woman', 'summary execution of captured nazis', 'gestapo officer', 'resistance movement member killed', 'mother hanged', 'german resistance movement', 'resistance movement agent', 'best friend', 'jewish stereotype', 'first love', 'possessiveness', 'nazi officer', 'fervent nazi', 'child rejects imaginary friend', 'abusive imaginary friend', 'hand grenade', 'army training', 'guilty conscious', "pretending to be someone's sister", "befriending one's enemy", 'elderly soldier', 'harboring the enemy', 'captured by the enemy', 'nazi flag', 'gaslighting', "saving someone's life", 'losing a war', 'girl soldier', 'bazooka', 'made up letter', 'dead boyfriend', 'air raid', 'anti communist', 'anti allied propaganda', 'arianism', 'facing the truth', 'coping with loss', 'us soldier', 'child in jeopardy', 'nickname', 'boy girl relationship', 'murder of mother', 'orphan', 'slow motion scene', 'split screen', 'archive footage', 'fantasy scene', 'crying boy', 'war ruins', 'explosion', 'gunfire', 'hand cart', 'id papers', 'dead sister', 'dead daughter', 'dead body', 'dancer', 'running', 'killing a rabbit', 'swastika', 'jeep', 'motorcycle', 'cigarette smoking', 'cigarette case', 'jodhpurs', 'death of adolf hitler', 'hanging', 'gallows', 'town square', 'execution', 'two word title', 'animal in title', 'nickname in title', 'knife', 'swimming pool', 'underwater scene', 'imaginary character', 'cruel joke', 'scar', 'lie', 'kicked in the crotch', 'dark comedy', 'prisoner of war executed', 'glorification', 'actor director writer', 'one eyed man', 'reference to harry houdini', 'dressed as a robot', 'reference to goldilocks', 'racial stereotype', 'girl', 'literature on screen', 'american literature on screen', '21st century literature on screen', 'f rated', 'drinking from a flask', 'rope climbing', 'little boy', 'hitlerjugend', 'gas mask', '10 year old boy', 'talking to oneself in a mirror', 'reference to adolf hitler', 'nationalism', 'nationalist', 'climbing a rope', 'nazism', 'central europe', 'european history', 'german history', 'black and white scene', 'black and white sequence', 'fight', 'ethnic stereotype', 'eating an apple', 'camping', 'cheering crowd', 'overweight woman', 'eye injury', 'glass eye', 'drawing', 'shooting', 'gunshot', 'applause', 'drawing on a blackboard', 'racist', 'writing on a blackboard', 'lecture', 'politics', 'campfire', 'burning a book', 'child protagonist', 'crying', 'tent', 'sleeping in a tent', 'sleeping in underwear', 'friend', 'overweight boy', 'manipulator', 'manipulation', 'manipulative behavior', 'body shaming', 'foot injury', 'friendship', 'friendship between boys', 'facial injury', 'grenade', 'absent father', 'high five', 'killing an animal', 'throwing a rabbit', 'father son relationship', 'animal cruelty', 'german character played by american actor', 'grenade explosion', "character's point of view camera shot", 'fainting', 'fainting man', "tying someone's shoelaces", 'ambulance', 'hospital', 'doctor', 'camera shot of feet', 'camera shot of bare feet', 'trauma', 'traumatized boy', 'traumatic childhood experience', 'tying shoelaces', 'face slap', 'woman hits a man', 'slapping someone with a glove', 'poster', 'kicked in the groin', 'woman kicks a man in the groin', 'bully', 'lying on the floor', 'outcast', 'social outcast', 'clone', 'hanged man', 'hanged woman', 'letter', 'soldier', 'german soldier', 'postman', 'low self esteem', 'death', 'limping', 'limping boy', 'limping character', 'violin', 'photograph', 'framed photograph', 'hidden door', 'secret door', 'flashlight', 'barefoot female', 'scream', 'screaming boy', 'hiding place', 'learning the truth', 'falling down stairs', 'stumbling on stairs', 'belief in ghosts', 'hidden room', 'secret room', 'secret', 'blackmail', 'blackmailer', 'female blackmailer', 'teenage blackmailer', 'stolen knife', 'reference to jack the ripper', 'racist remark', 'female bully', 'attic', 'fantasy sequence', 'fantasizing', 'imaginary person', 'taking a bath', 'woman in a bathtub', 'female in a bathtub', 'taking notes', 'manipulative woman', 'jumping into water', 'jumping into a swimming pool', 'massage', 'leg massage', 'rehabilitation', 'bare chested boy', 'amputee', 'barefoot male', 'wet clothes', 'manipulative girl', 'swimming with clothes on', 'swimming underwater', "covering someone's mouth", 'drinking wine', 'gramophone', 'listening to music', 'apology', 'drinking from a bottle', 'drinking wine from a bottle', 'dance scene', 'sitting on the floor', 'medallion', 'boyfriend girlfriend relationship', 'emotional abuse', 'drawing a portrait', 'portrait', 'portrait drawing', 'book', 'library', 'reading a book', 'reading a letter', 'reading a letter aloud', 'writing a letter', 'quoting rainer maria rilke', 'emotionally abusive behavior', 'crying girl', 'crying female', 'crying woman', 'emotionally abusive boy', 'map', 'binoculars', 'biblical reference', 'motherhood', 'parenthood', 'disinformation', 'riding a bike', 'research', 'magnifying glass', 'looking glass', 'bracelet', 'brother sister relationship', 'alcoholic', 'shepherd', 'disinformation campaign', 'robot costume', 'costume', 'rocket ship costume', 'toothpaste costume', 'sabotage', '11 year old boy', 'physically challenged boy', 'physically challenged man', 'disfigurement', 'facial disfigurement', 'resistance', 'loneliness', 'lonely boy', 'painting', 'id card', 'suspicion', 'resistance fighter', 'pretending to be someone else', 'embracing a dead body', 'reference to frankenstein', 'suspicious man', "posing as someone's sister", 'assumed identity', 'identity', 'patriot', 'patriotism', 'fanatic', 'fanaticism', 'spitting', 'spitting in food', 'butterfly', 'moral dilemma', 'hanged to death', 'punishment', 'death of boyfriend', 'love hate relationship', 'stabbing', 'loss of boyfriend', 'surviving an explosion', 'end of the war', 'killed in an explosion', 'shootout', 'shooting into the air', 'death by gunshot', 'shot to death', 'loss of friend', 'falling out of a window', 'isolation', 'social isolation', 'american abroad', 'girl slaps a boy', 'girl hits a boy', 'boy reads a book', 'boy wears eyeglasses', 'boy wears pajamas', 'kiss on the forehead', 'knocking on a door', 'looking at oneself in a mirror', 'man wears a swimsuit', 'man wears a tank top', 'man wears an open shirt', 'man wears eyeglasses', 'man wears shorts', 'man wears sunglasses', 'woman wears a uniform', 'woman slaps a man', 'woman slaps a man in the face', 'woman wears a bathrobe', 'woman wears sunglasses', 'final battle', 'child exploitation', 'nazi uniform', 'man shot to death', 'pushed out a window', 'female soldier', 'dance party ending', 'boy wears a uniform', 'satire comedy', 'historical drama', 'american actor playing foreigner', 'timeframe 1940s', 'defenestration', 'death of mother', 'death of friend', 'based on novel', 'based on book', 'adolf hitler character', 'ten year old boy', 'nickname as title', 'surrogate father surrogate son relationship', 'surrogate father killed', 'female resistance movement member killed', 'female resistance movement member', 'female resistance movement agent', 'resistance movement member', 'american flag', 'reference to the holocaust', 'reference to cannibalism', 'reference to the red army', 'reference to empire of japan', 'reference to fascist italy', 'reference to the communists', 'surrogate brother surrogate sister relationship', 'offering a cigarette to a minor', 'reference to pablo picasso', 'actor director producer writer', 'reference to albert einstein', 'reference to gertrude stein', 'name in title', 'talking to oneself', 'reference to god', 'title different than book', "camera shot of a woman's bare feet", 'reference to jesse owens', 'reference to winston churchill', 'bare chested male', 'strong female character', 'reference to rainer maria rilke', 'rainer maria rilke quotation', 'reference to ludwig van beethoven', 'reference to johann sebastian bach', 'reference to george gershwin', 'reference to johannes brahms', 'reference to richard wagner', 'reference to wolfgang amadeus mozart', 'reference to amedeo modigliani', 'reference to moses', 'reference to jesus christ', 'female alcoholic', '11 year old', 'physically challenged', "pretending to be someone's relative", 'reference to devil', "reference to frankenstein's monster", "posing as someone's relative", 'russian in europe', 'russian in germany', 'american in europe', 'american in germany', 'russian abroad', 'american actor plays a german character', 'character name in title', 'title spoken by character']</t>
  </si>
  <si>
    <t>tt0790686</t>
  </si>
  <si>
    <t>['Horror', 'Mystery']</t>
  </si>
  <si>
    <t>['mirror', 'psychiatric hospital', 'supernatural horror', 'remake', 'blond hair', 'woman ripping her mouth open', 'child in jeopardy', 'medication', 'fire', 'evil', 'estranged wife', 'nypd', 'night watchman', 'bathtub', 'demon', 'hallucination', 'ex cop', 'alcoholism', 'marriage', 'new york city', 'newspaper clipping', 'vomiting', 'pleading for help', 'talking to oneself in a mirror', 'scene of the crime', 'murder of a police officer', 'murder of a nude woman', 'ghost in a mirror', 'breaking down a door', 'blood splatter', 'immolation', 'looking at oneself in a mirror', 'spurting blood', 'possession', 'jaw ripped open', 'prayer', 'rat', 'nanny', 'mutilation', 'pool hall', 'siren', 'dummy', 'security guard', 'statue of liberty', 'eerie image', 'alarm clock', 'glass shard', 'subway', 'fire engine', 'ambulance', 'demonic possession', 'schizophrenia', 'pennsylvania', 'police car', 'video recording', 'psychiatrist', 'newspaper headline', 'marital separation', 'abandoned building', 'flashback', 'rural setting', 'grief', 'camera', 'buttocks', 'physician', 'crying man', 'supernatural power', 'mirror as portal', 'startled', 'sprinkler system', 'remote controlled toy car', 'mother son relationship', 'mother daughter relationship', 'mirror does not reflect reality', 'malevolent entity', 'husband wife relationship', 'hiding in a closet', 'graffiti', 'flashlight', 'father child relationship', 'estranged husband', 'convent', 'closet', 'burned out building', 'birthday', 'artistic imagery', 'apology', 'antiseptic', 'alternate reality', 'female nudity', 'horror movie remake', 'photograph', 'blood', 'bathing', 'bar', 'police officer', 'one word title', 'massacre', 'hospital', 'faucet', 'psychiatric treatment', 'male female relationship', 'mental institution', 'whiskey', 'video footage', 'interracial couple', 'female rear nudity', 'corpse', 'breaking a mirror', 'trapped underwater', 'tied to a chair', 'tied to a bed', 'thrown through a wall', 'throat slitting', 'suicide', 'subway station', 'steam on glass', 'sliced body', 'scissors', 'remorse', 'reflection in water', 'pistol', 'pills', 'person on fire', 'paint on glass', 'nun', 'morgue', 'monastery', 'mental hospital', 'knife', 'jaw ripped off', 'insanity', 'impalement', 'housemaid', 'held at gunpoint', 'handprint', 'guilt', 'gore', 'glass', 'ghost', 'gash in the face', 'father son relationship', 'father daughter relationship', 'exposed breast', 'explosion', 'estranged couple', 'drowning', 'doppelganger', 'death', 'death of sister', 'death of protagonist', 'death of family', 'crushed to death', 'cpr', 'child drowning', 'car accident', 'burned face', 'burned alive', 'brother sister relationship', 'broken mirror', 'basement', 'bartender', 'autopsy', 'interracial marriage', 'interracial love', 'remake of korean film', 'title spoken by character', 'surprise ending', 'watching tv', 'cityscape', 'fear', 'little girl', 'girl', 'boy', 'screaming in pain', 'chase', 'locker room', 'cut hand', 'bandage', 'anger']</t>
  </si>
  <si>
    <t>tt9243804</t>
  </si>
  <si>
    <t>['Adventure', 'Drama', 'Fantasy']</t>
  </si>
  <si>
    <t>['medieval knight', 'sir gawain character', 'myth', 'middle ages', 'based on legend', 'talking fox', 'green knight character', 'decapitation', 'severed head', 'axe', 'decapitated with a sword', 'horseback riding in the woods', 'man bound and gagged', 'bound and gagged', 'ghost', 'christmas', 'horse', 'morgan le fay character', 'uncle nephew relationship', 'mother son relationship', 'seduction', 'fox', 'forest', 'chapel', 'death of a king', 'headless man', 'headless horseman', 'the color green', 'the color red', 'moss', 'honor', 'witchcraft', 'childbirth', 'coin', 'knight', 'brothel', 'prostitute', 'christmas day', 'gay kiss', 'talking to a fox', 'king arthur character', 'character name as title', 'supporting character name in title', 'supporting character is title character', 'color in title', 'three word title', 'underwater scene', 'redheaded woman', 'battlefield', 'actress plays multiple roles', 'riding a horse indoors', 'overhead camera shot', 'skeleton', 'skull', 'multiple endings', 'knights of the round table', 'knife held to throat', 'decapitated with an axe', 'horse riding', 'medieval times', 'queen', 'prince', 'princess', 'king', 'female giant', 'theft', 'blind woman', 'sister sister relationship', 'prologue', 'goose', 'voice over narration', 'legend', 'epic', 'crown', 'man on fire', 'camelot', 'ritual', 'boy', 'siege', 'sword', 'abandoned cottage', 'castle', 'old woman', 'girdle', 'escape', 'quest', 'boat', 'blindfolded woman', 'death of uncle', 'father son relationship', 'goat', 'scene during opening credits', 'man with a beard', 'mustached man', 'reference to jesus christ', 'candle', 'church bells', 'man falls to the ground', 'merry christmas', 'church', 'man and woman ride a horse together', 'boots', 'fireplace', 'drink', 'drinking', 'torch', 'brother sister relationship', 'regret', 'blindfold', 'saxon', 'kingdom', 'tower', 'canto', 'armor', 'game playing', 'voice over message', 'trust', 'friendship', 'challenge', 'excalibur', 'blood', 'beheading', 'latin the language', 'witch', 'text on screen', 'puppet show', 'bravery', 'portrait painting', 'laughter', 'man puts water on his face', 'toothache', 'fear', "man touches another man's face", 'puppet', 'priest', 'praying', 'covenant', 'promise', 'sheep', 'knife', 'girl', 'campfire', 'flashback', 'flash forward', 'crossroads', 'dead body', 'murdered with an arrow', 'brother brother relationship', 'stream', "knife held to one's throat", '360 degree well camera shot', 'bloody hand', 'running man', 'reflection in water', 'medieval script text on screen', 'apology', 'surrealism', 'cave', 'falling down a hill', 'food', 'eating', 'feeding a fox', 'man vomits', 'thunder', 'lightning', 'singer', 'singing', 'wading in water', 'mountain', 'fox howls', 'bald headed woman', 'nudity', 'female nudity', 'aerial camera shot', 'upside down camera shot', 'subjective camera', 'hand kissing', 'breakfast', 'destiny', 'mural', 'book', 'book as a gift', "man kisses a woman's cheek", 'camera', 'token', 'painting', 'magic', 'enchantment', 'sex', 'male orgasm', 'ejaculation', 'celtic cross', 'male nudity', 'male male kiss', 'doom', 'kneeling man', 'courage', 'slow motion scene', 'scissors', 'crying woman', 'newborn baby', 'crying baby', 'bowing', 'montage', 'map', 'baby', 'breaking down a castle door', 'scene after end credits', 'throwing water on someone', 'written by director', 'candy cinema', 'sexual tension', 'bearded man', 'quest adventure', 'sword and sorcery fantasy', 'epic adventure', 'game', 'talking animal', 'premonition', 'honorable death', 'manipulation', 'manipulative woman', 'manipulative mother', 'hand job', 'title at the end', 'giant person', 'sleeping in a cave', 'walking into a trap', 'stealing a horse', 'bandit', 'magic trick', 'human skull', 'headless woman', 'christmas mass', 'christian mass', 'kiss', 'kissing on the mouth', 'chivalry', 'knight errant', 'timeframe post classical history', 'woman seduces a man', 'hand covered in semen', 'semen', 'moral weakness', 'sexual temptation', 'temptation of the flesh', 'temptation', 'giving in to temptation', 'teenage boy', 'little girl', 'little boy', 'nameless character', 'unnamed character', 'epic fantasy', 'female rear nudity', 'female frontal nudity', 'death of son', 'title spoken by character', 'gay attraction', 'male rear nudity']</t>
  </si>
  <si>
    <t>tt7888964</t>
  </si>
  <si>
    <t>Nobody</t>
  </si>
  <si>
    <t>['Action', 'Crime', 'Drama', 'Thriller']</t>
  </si>
  <si>
    <t>['fighting back', 'russian mafia', 'nightclub', 'husband', 'black comedy', 'violence', 'home invasion', 'one man army', 'fire', 'father', 'secret identity', 'hospital', 'action hero', 'russian', 'one against many', 'singing', 'bus driver', 'person in car trunk', 'setting house on fire', 'money', 'cat', 'scene during end credits', 'action violence', 'gun violence', 'violent man', 'fight in a bus', 'montage', 'showdown', 'teenager', 'revenge', 'title spoken by character', 'final showdown', 'murder', 'tattoo', 'fbi agent', 'father son relationship', 'bus', 'assassin', 'car accident', 'tracheotomy', 'hideout', 'half brother', 'african american', 'classic rock', 'warehouse', 'karaoke', 'public transportation', 'flashback', 'begins with a flashback', 'garbage bin', 'wristwatch', 'golf club', 'gun', 'empty gun', 'fight', 'knife', 'straw', 'drinking straw', 'hiding in the basement', 'car trunk', 'person in a car trunk', 'fire extinguisher', 'setting a house on fire', 'house on fire', 'retirement home', 'burning money', 'harassment', 'in medias res', 'male protagonist', 'old man', 'blood', 'retribution', 'gold bar', 'crime lord', 'fistfight', 'long take', 'ambiguous ending', 'psychotronic film', 'cult film', '2020s', 'grindhouse film', 'brawl', 'martial arts', 'mixed martial arts', 'profanity', 'nonlinear timeline', 'told in flashback', 'hand to hand combat', 'head butt', 'punched in the face', 'anti hero', 'punched in the chest', 'tough guy', 'warrior', 'coming out of retirement', 'vigilante', 'vigilante justice', 'vigilantism', 'italian american', 'beating', 'slow motion scene', 'beaten to death', 'fighting', 'russian gangster', 'fight to the death', 'crime boss', 'mob boss', 'mafia boss', 'gangster', 'mobster', 'organized crime', 'gunfight', 'dancing', 'gun battle', 'battle', 'threatened with a knife', 'chase', 'knife fight', 'exploding body', 'suspense', 'pistol', 'revolver', 'silencer', 'uzi', 'sawed off shotgun', 'shotgun', 'machine gun', 'sniper', 'sniper rifle', 'workshop', 'vinyl', 'garbage truck', 'body in a trunk', 'employer employee relationship', 'employee employee relationship', 'gash in the face', 'flashlight', 'taser', 'mother son relationship', 'mother daughter relationship', 'brother sister relationship', 'family relationships', 'lasagne', 'kitchen', 'realtor', 'electrocution', 'bruise', 'teenage son', 'little girl', 'teenage boy', 'ski mask', 'attempted robbery', 'thief', 'robber', 'female thief', 'female robber', 'american muscle', 'bracelet', 'thrown through a window', 'money laundering', 'money falling through the air', 'muscle car', 'gasoline', 'landmine', 'hand grenade', 'arson', 'suburbia', 'stealing a car', 'corpse', 'baseball bat', 'hit with a baseball bat', 'strangulation', "breaking a bottle over someone's head", 'throat slitting', 'stabbed in the throat', 'stabbed in the leg', 'stabbed in the chest', 'stabbed to death', 'shot in the head', 'shot in the forehead', 'shot in the face', 'shot in the chest', 'shot in the back', 'shot to death', 'body count', 'improvised weapon', 'death', 'cigarette smoking', 'brutality', 'mercilessness', 'kidnapping', 'hostage', 'held at gunpoint', 'rescue', 'escape', 'deception', 'betrayal', 'double cross', 'sociopath', 'blood splatter', 'gore', 'ambush', 'fear', 'paranoia', 'danger', 'panic', 'near death experience', 'attempted murder', 'survival', 'hitman', 'henchman', 'bodyguard', 'thug', 'booby trap', 'impalement', 'sabotage', 'bomb', 'explosive', 'anger', 'hatred', 'cell phone', 'texting', 'bare chested male', 'investigation', 'interrogation', 'baby', 'pistol whipped', 'disarming someone', 'stylized violence', 'dual wield', 'tattoo parlor', 'tattoo artist', 'refrigerator', 'beard', 'mustache', 'car crash', 'car stunt', 'car rollover', 'machismo', 'barbershop', 'shaving', 'englishman abroad', 'usa', 'photograph', 'computer cracker', 'laptop computer', 'telephone call', 'blackmail', 'pentagon', 'title appears in writing', 'secret past', 'interracial friendship', 'racial slur', 'ethnic slur', 'good versus evil', 'evil man', 'wine', 'bravery', 'courage', 'massacre', 'hero', 'fbi', 'surprise during end credits', 'flash forward', 'redemption', 'hit with a golf club', 'assassination attempt', 'one liner', 'painting', 'police officer', 'wisecrack humor', 'voice over narration', 'coma', 'jogging', 'garage', 'reverse footage', 'badge', 'coffee', 'flask', 'snow', 'heavy rain', "character repeats someone else's dialogue", 'knocked unconscious', 'knocked unconscious with a gun butt', 'suburb', 'timeframe 2020s', 'one person army action', 'surprise ending', 'one word title', 'drug lord', 'husband wife relationship', 'dark secret', 'final battle', 'f word', 'subtitled scene', 'shootout', 'blood spatter', 'car chase', 'basement', 'home security', 'explosion', 'father daughter relationship', 'neo noir', 'stabbing', 'terrorist', 'female terrorist', 'terrorist deceased', 'female terrorist deceased', 'woman wears gloves', 'assault']</t>
  </si>
  <si>
    <t>tt0265459</t>
  </si>
  <si>
    <t>One Hour Photo</t>
  </si>
  <si>
    <t>['Drama', 'Thriller']</t>
  </si>
  <si>
    <t>['photography', 'photo lab', 'unfaithfulness', 'adultery', 'nude photo shoot', 'forced to strip', 'extramarital affair', 'voyeur', 'female frontal nudity', 'female nudity', 'obsession', 'dream sequence', 'insanity', 'vagina', 'breasts', 'roll of film', 'trophy wife', 'voyeurism', 'female pubic hair', 'female full frontal nudity', 'nudity', 'scantily clad female', 'cleavage', 'no panties', 'waitress', 'male rear nudity', 'female rear nudity', 'pubic hair', 'sex', 'oral sex', 'infidelity', 'photo shop', 'loner', 'loss of job', 'oral rape', 'cmnf', 'protagonist villain', 'pedophile', 'pedophilia', 'delusional', 'trophyism', 'lonely', 'man wears eyeglasses', 'reference to playstation 2', 'leica camera', '35mm film', 'the simpsons', 'stuffed toy', 'forced sex', 'freeze frame', 'agfa film', 'zoom camera shot', 'stalking', 'cctv', 'photo wall', 'reference to the day the earth stood still', 'three word title', 'male protagonist', 'actor breaking typecast', 'villain played by lead actor', 'mentally unstable man', 'car', 'automobile', 'german car', 'mercedes benz', 'mercedes benz motor vehicle', 'mercedes benz ml', 'japanese car', 'toyota', 'toyota motor vehicle', 'toyota echo', 'cigarette', 'reference to evangelion', 'mental deterioration', 'hostage', 'cracked windshield', 'loud argument', 'technician', 'photograph', 'customer', 'department store', 'secret', 'tears', 'savmart', 'baby', 'revenge', 'theft', 'gun', 'handgun', 'ocd', 'affair', 'latex gloves', 'delusion', 'interview', 'insurance adjuster', 'nurse', 'negative', 'little boy', 'computer', 'birthday cake', 'running', 'security', 'children', 'shock', 'voice over', 'fireplace', 'police arrest', 'monitor', 'speaker', 'photo finishing', 'anger', 'mental illness', 'cash register', 'process', 'theater', 'shopping mall', 'escalator', 'printer', 'flea market', 'laboratory', 'remote control', 'projector', 'police officer', 'snapshot', 'badge', 'being followed', 'scream', 'detective', 'reality', 'key', 'buttocks', 'tattoo', 'fear', 'practice', 'coach', 'pet dog', 'football', 'stepladder', 'memory', 'repression', 'time', 'manager', 'nipples', 'handcuffed', 'argument', 'hamster', 'diner', 'toy model', 'psychopath as protagonist', 'suburb', 'psychopath', 'child', 'photograph on wall', 'photograph negative', 'film camera', 'darkroom', 'borderline personality disorder', 'female in shower', 'cartoon on tv', 'child pornography', 'voice over narration', 'uncle nephew relationship', 'thief', 'surveillance camera', 'restaurant', 'photographer', 'monday', 'marriage', 'magnifying glass', 'gerbil', 'fixation', 'fight', 'family relationships', 'employer employee relationship', 'dream', 'dog', 'death', 'crying', 'cosmetics', 'child abuse', 'cheating', 'car accident', 'camera', 'cafe', 'breaking and entering', 'birthday', 'birthday party', 'betrayal', 'handcuffs', 'watching tv', 'watching a movie', 'video camera', 'threatened with a knife', 'self mutilation', 'security guard', 'running away', 'pornography', 'police station', 'pistol', 'photo montage', 'paranoia', 'one way mirror', 'office', 'mother son relationship', 'loneliness', 'kitchen', 'husband wife relationship', 'home invasion', 'film reel', 'father son relationship', 'eyeglasses', 'evidence', 'depression', 'covered in blood', 'corpse', 'ceremony', 'boss', 'book', 'blood', 'bleeding from eyes', 'bicycle', 'alcoholic', 'flashback', 'fired from a job', 'cell phone', 'reference to deepak chopra', 'toy', 'no opening credits', 'shower', 'elevator', 'miranda warning', 'fantasy sequence', 'toilet', 'interrogation', 'police', 'knife', 'nightmare', 'food court', 'class differences', 'stalker', 'discount store', 'mirror', 'birthday present', 'christmas', 'sabotage', 'impersonation', 'repairman', 'hotel', 'arrest', 'soccer', 'penis', 'male frontal nudity', 'bottomless', 'male pubic hair', 'older man younger woman relationship', 'bare chested male', 'bare chested male bondage', 'murder', 'held at gunpoint', 'drunkenness', 'dripping blood', 'cigarette smoking', 'male nudity', 'product placement']</t>
  </si>
  <si>
    <t>tt0889588</t>
  </si>
  <si>
    <t>The Children of Huang Shi</t>
  </si>
  <si>
    <t>['Drama', 'War']</t>
  </si>
  <si>
    <t>['japanese occupation of china', 'year 1937', 'china', 'world war two', '1940s', '1930s', 'based on true story', 'japanese occupation', 'year 1938', 'year 1945', '20th century', 'nanking massacre', 'second sino japanese war', 'east asia', 'asia', 'nanking massacre china 1937', 'nanjing china', 'british', 'nurse', 'journalist', 'communist', 'orphan', 'nationalist', 'execution', 'orphanage', 'rural setting', 'sino japanese war', 'japanese versus chinese', 'fictional character based on real life person', 'strafing', 'self sacrifice', 'refugee', 'bombing', 'chinese civil war']</t>
  </si>
  <si>
    <t>tt13604916</t>
  </si>
  <si>
    <t>South ParQ Vaccination Special</t>
  </si>
  <si>
    <t>['Action', 'Comedy']</t>
  </si>
  <si>
    <t>['reference to madagascar 3', 'reference to harvey weinstein', 'troll headphone']</t>
  </si>
  <si>
    <t>tt10872600</t>
  </si>
  <si>
    <t>Spider-Man: No Way Home</t>
  </si>
  <si>
    <t>['Action', 'Adventure', 'Fantasy', 'Sci-Fi']</t>
  </si>
  <si>
    <t>['spider man character', 'marvel cinematic universe', 'multiverse', 'green goblin character', 'superhero', 'based on comic', 'peter parker character', 'villain', 'doctor strange character', 'new york city', 'sequel', 'hero', 'teenager', 'j jonah jameson character', 'mirror dimension', 'spiderweb', 'character name in title', 'actor reprises previous role', 'reference to gwen stacy', 'marvel comics', 'third part', 'based on comic book', 'marvel', 'marvel entertainment', 'doctor octopus character', 'costumed hero', 'teenage boy', 'teenage girl', 'love interest', 'electro character', '2020s', 'identity revealed', 'train', 'framed for murder', 'sorcerer', 'spell gone awry', 'dr curt connors character', 'multiple villains', 'falling from height', 'sandman the marvel comics character', 'rogues gallery', 'electricity', 'matt murdock character', 'eddie brock character', 'reference to miles morales', 'aunt may character', 'meeting alternate reality self', 'alternate dimension', 'wizard', 'sanctum sanctorum', 'reference to nick fury', 'reference to mysterio', 'reference to tony stark', 'reference to captain america', 'reference to the avengers', 'reference to the incredible hulk', 'norman osborn character', 'venom character', 'death of major character', 'interrogation', 'wall crawling', 'glider', 'arc reactor', 'enemies become allies', 'reference to ben parker', 'loss of loved one', 'grief', 'rescue', 'crossover movie', 'psychotronic film', 'friend', 'best friend', 'fight', 'swing', 'power', 'magic', 'shared universe', 'surrealism', 'teenage superhero', 'costume', 'casting a spell', 'bomb', 'bridge', 'lawyer', 'protest', 'high school', 'lizard character', 'villain team up', 'lightning', 'sand', 'slimehouse', 'biopunk', 'construction site', 'scaffolding', 'night', 'unmasked', 'trio', 'mistaken identity', 'car', 'scientist', 'final showdown', 'portal', 'aunt nephew relationship', 'death of aunt', 'hero villain relationship', 'revenge', 'transformation', 'cure', 'alternate version of someone', 'alternate version of self', 'transported to another dimension', 'magic spell', 'mystic arts', 'trapped in another dimension', 'dungeon', 'high school student', 'college admissions', 'reference to massachusetts institute of technology', 'secret identity', 'revealing secret identity', 'news outlet', 'breaking news', 'psychosis', 'split personality', 'laboratory', 'reference to mary jane watson', 'happy hogan character', 'mid credits scene', 'antidote', 'second chance', 'superhero costume', 'sewing machine', 'bakery', 'responsibility', 'condominium', 'crossover', 'crossover character', 'unmasking', 'shield', 'police custody', 'interrogation room', 'boyfriend girlfriend relationship', 'secret revealed', 'betty brant character', 'flash thompson character', 'teacher', 'display case', 'conspiracy theorist', 'rooftop', 'reference to the empire state building', 'reference to the chrysler building', 'trying to do the right thing', 'setting things right', 'taking responsibility', 'pumpkin bomb', 'hoodie', 'support group', 'erased memory', 'amnesia', 'forgetting', 'brainwashing', 'reference to rhino the marvel comics character', 'alien symbiote', 'reference to thanos', 'doppelganger', 'public enemy number one', 'arrest warrant', 'cemetery', 'tombstone', 'wiped memory', 'college rejection letter', 'cape', 'ring', 'new look', 'tentacle', 'robotic arm', 'heroism', 'super strength', 'destruction', 'stabbed from behind', 'queens new york city', 'manhattan new york city', 'manhole', 'manhole cover', 'reference to the grand canyon', 'clean slate', 'public opinion', 'government agency', 'reference to harry osborn', 'lego', 'lego set', 'reference to the death star', 'reference to emperor palpatine', 'memory loss', 'new apartment', 'high school dropout', 'self referential humor', 'dying words', 'lizard man', 'cell phone', 'fabricator', 'accomplice', 'wrinkled suit', 'queensboro bridge', 'holding cell', 'basement', 'community center', 'astral form', 'geometry', 'doorbell camera', 'injection', 'spider sense', "dying in someone's arms", 'cobweb', 'lab coat', 'video message', 'insecurity', 'teamwork', 'anger', 'vengeance', 'kiss', 'speech', 'police scanner', 'decorations', 'bartender', 'multiple personalities', 'team up', 'idealistic', 'post credits scene', 'community service', 'food bank', 'voice in head', 'breakup', 'framed for crime', 'scene during end credits', 'scene after end credits', 'self referential', 'male protagonist', 'digital de aging', 'power line', 'spider legs', 'iron spider armor', 'anonymity', 'news helicopter', 'blind man', 'window shade', 'brick with note thrown through window', 'helping others', 'donut shop', 'paparazzi', 'tv news', 'mechanical tentacle', 'reference to scooby doo', 'media personality', 'blowhard', 'tree', 'teenage boy wears underwear', 'christmas', 'final battle', 'bare chested male', 'black man', 'white man', 'black woman', 'white male black female relationship', 'christmas tree', 'snow', 'interracial relationship', 'interracial love', 'interracial kiss', 'white man black woman relationship', 'death', 'catchphrase', 'bad guy turns good', 'three versions of same character', 'explosion', 'other universes', 'parallel universes', 'advanced technology', 'apartment', 'explosive', 'grave', 'good versus evil', 'blockbuster', 'villain turns good', 'animal in title', 'gender in title', 'hyphen in title', 'colon in title', 'five word title', 'dimension', 'parallel universe', 'statue of liberty new york city', 'city', 'urban setting', 'superhero fantasy', 'urban adventure', 'unsubtitled foreign language', 'filipino', 'no opening credits', 'no title at beginning', 'title at the end', 'shapeshifter', 'anti villain', 'super villain', 'evil', 'bravery', 'evil man', 'courage', 'lizard', 'returning character killed off', 'electrocution', 'power outage', 'high school teacher', 'showdown', 'frame up', 'microchip', 'teenage love', 'sadist', 'teen angst', 'teenage hero', 'sadism', 'max dillon character', 'otto octavius character', 'flint marko character', 'tornado', 'reference to albert einstein', 'part computer animation', 'false accusation', 'surprise during end credits', 'face mask', 'surprise after end credits', '17 year old', 'grenade', 'masked hero', 'costumed vigilante', 'exploding car', 'vigilante', 'teleportation', 'supernatural power', 'vigilantism', 'superhuman strength', 'shapeshifting', 'character says i love you', 'media coverage', 'wisecrack humor', 'regret', 'times square manhattan new york city', 'two way mirror', 'guilt', 'government agent', 'federal agent', 'van', 'helicopter', 'murder', 'swat team', 'machine gun', 'lasersight', 'shot in the shoulder', 'stabbed in the chest', 'violence', 'camera phone', 'hatred', 'righteous rage', 'media manipulation', 'alternate world', 'parallel world', 'montage', 'slow motion scene', 'climbing up a wall', 'out of body experience', 'alternate universe', 'escape', 'profanity', 'african american', 'gadget', 'friendship', 'woods', 'crossbow', 'forest', 'nanotechnology', 'laptop computer', 'redemption', 'timeframe 2020s', 'halloween', 'ambush', 'watching tv', 'news report', 'deception', 'betrayal', 'double cross', 'fear', 'paranoia', 'danger', 'panic', 'near death experience', 'attempted murder', 'race against time', 'hit by a car', 'heavy rain', 'hologram', 'high tech suit', 'desperation', 'alarm', 'security camera', 'shopping mall', 'fight on a train', 'fighting', 'fistfight', 'bar', 'brawl', 'martial arts', 'mixed martial arts', 'hand to hand combat', 'fight to the death', 'beating', 'punched in the face', 'punched in the chest', 'lovecraftian', 'beard', 'artifact', 'magical artifact', 'magical power', 'cube', 'grand canyon', 'levitation', 'security guard', 'mind control', 'manipulation', 'psychological manipulation', 'homeless shelter', 'alley', 'evil laughter', 'schizophrenia', 'schizophrenic', 'multiple personality disorder', 'insanity', 'love', 'news anchor', 'newsroom', 'cameraman', 'masked superhero', 'bracelet', 'open ended', 'tragic event', 'orphan', 'action hero', 'one man army', 'tough guy', 'warrior', 'arrest', 'amnesiac', 'reference to star wars', 'hairy chest', 'handcuffs', 'science', 'mathematics', 'news reporter', 'reporter', 'female reporter', 'newspaper headline', 'time magazine', 'law', 'letter', 'moral dilemma', 'water', 'billion dollar club', 'traffic jam', 'psychopath', 'subway', 'subway train', 'subway station', 'tunnel', 'car set on fire', 'fire', 'body lands on a car', "character repeats someone else's dialogue", 'apology', 'force field', 'punctuation in title', 'coming of age', 'web', 'battle', 'surrealist', 'bodyguard', 'human monster', 'product placement', 'shock jock', 'robot', 'spider', 'urban fantasy', 'knife', 'glowing eyes', 'fireplace', 'long take', 'interdimensional travel', 'interdimensional portal', 'interdimensional rift', 'interdimensional sci fi', 'fanservice', 'deceased', 'white sneakers', 'little red horse', 'book', 'black leather jacket', 'plant', 'windbreaker jacket', 'baseball cap', 'police hat', 'police', 'police officer', 'cold', 'reference to the equalizer', 'dog', 'reading a book', 'sunglasses', 'universe', 'black wool hat', 'park', 'snowing', 'walking in the park', 'hi visibility jacket', 'worker', 'microscope', 'test tube', 'erlenmeyer flask', 'disposable gloves', 'safety goggles', 'bunsen burner', 'puffer jacket', 'kicking in a door', 'darkness', 'walking in snow', 'british actor playing american character', 'australian actress playing american character', 'reference to stark industries', 'reference to the new york mets', 'college acceptance letter', 'multiple versions of self', 'actress reprises previous role', 'statue', 'mexican', 'mexico', 'surprise ending']</t>
  </si>
  <si>
    <t>tt1068680</t>
  </si>
  <si>
    <t>Yes Man</t>
  </si>
  <si>
    <t>['Comedy', 'Romance']</t>
  </si>
  <si>
    <t>['los angeles california', 'breakup', 'pessimism', 'depression', 'eccentricity', 'reconciliation', 'talking to oneself', 'best friend', 'self help', 'self esteem', 'spontaneity', 'montage', 'change of heart', 'loner', 'seminar', 'philosophy', 'motivational speaker', 'loneliness', 'boyfriend girlfriend relationship', 'optimism', 'scene during end credits', 'based on book', 'title spoken by character', 'korean language', 'public nudity', 'fellatio', 'alley fight', 'divorced man', 'playing an acoustic guitar', 'korean woman', 'speaking korean', 'bank loan', 'male nurse', 'attempted suicide', 'suicidal man', 'hollywood bowl', 'elevator', 'reckless driving', 'roller skating', 'bar', 'drunkenness', 'kiss', 'interrogation', 'airplane', 'satire', 'scooter', 'homeless man', 'bank', 'job promotion', 'saved from suicide', 'learning a language', 'jogging', 'wedding shower', 'harry potter costume', 'reference to harry potter', 'neighbor', 'fistfight', '2000s', 'motorcycle', 'loan officer', 'car accident', 'wheelie', 'product placement', 'man on a ledge', 'female singer', 'ducati motorcycle', 'bungee jumping', 'acoustic guitar', 'suspected terrorist', 'singing', 'party', 'guitar', 'fictional band', 'costume party', 'bridal shower', 'airport', 'hospital', 'lincoln nebraska', 'actor shares first name with character', 'man wears eyeglasses', 'fbi federal bureau of investigation', 'persian woman', 'jumping off a bridge', 'sex with an older woman', 'hiding in the back seat of a car', 'taking a photograph', 'helmet', 'security guard', 'scared by a cat', 'car alarm', 'towing a car', 'female rear nudity', 'microphone', 'girl scout selling cookies', 'dog', 'fiance fiancee relationship', 'drinking', 'nightmare', 'cake', 'friend', 'banker', 'front wheelie', 'reference to alec baldwin', 'reference to john goodman', 'bungee jump', 'reference to karl marx', 'fainting man', 'car crash', 'author cameo', 'interrogation room', 'clay pigeon shooting', 'sing along', 'subtitled scene', 'nebraska', 'savings bank', 'slipping and falling', 'character appears on tv', 'costume', 'fist bump', 'australian man', 'old woman', 'clothing caught in a door', 'falling down stairs', 'drunken man', 'hitting the wrong person', 'punched in the face', 'motor scooter', 'two on a motor scooter', 'reference to mickey rourke', 'flyer', 'reference to bono', 'throwing a rock through a window', 'two word title', 'surprise party', 'hospital gown', 'watching a movie', 'trespassing', 'photography', 'harry potter party', 'overalls', 'video store', 'running out of gas', 'red bull', 'overhead camera shot', 'dentures', 'dance dance revolution', 'covenant', 'cat', 'american flag', 'no title at beginning', 'no opening credits', 'telephone', 'telephone call', 'homelessness', 'skeet shooting', 'rain', 'museum', 'mistaken for a terrorist', 'internet', 'hitchhiking', 'hitchhiker', 'guitar playing', 'guitar player', 'guitar lesson', 'gas station', 'flying lesson', 'fbi agent', 'dating', 'cell phone', 'car', 'barn', 'bank employee', 'band', 'american football', 'ridicule', 'agreement', 'timeframe 2000s', 'high concept comedy', 'satire comedy']</t>
  </si>
  <si>
    <t>tt0190590</t>
  </si>
  <si>
    <t>O Brother, Where Art Thou?</t>
  </si>
  <si>
    <t>['Adventure', 'Comedy', 'Crime', 'Music']</t>
  </si>
  <si>
    <t>['greek mythology', 'odysseus', 'neo screwball comedy', 'ku klux klan komedy', 'southern us', 'convict', 'escape', 'chain gang', 'mississippi', 'escaped convict', 'great depression', 'based on novel', 'sirens', 'year 1937', 'eyepatch', 'pickaxe', 'movie theater', 'folktale', 'horn the musical instrument', 'director also editor', 'quest adventure', 'satire comedy', 'epic adventure', 'timeframe 1930s', 'sledgehammer', 'bank', 'baby', 'blind prophet', 'prophet', 'search', 'robber', 'south', 'salesman', 'governor', 'bank robber', 'ku klux klan', 'road movie', 'vanity', 'rural setting', 'ring', 'flooding', 'coffin', 'photograph', 'grave', 'shack', 'riding a bicycle', 'police arrest', 'hanging', 'dancing', 'fan', 'concert', 'auditorium', 'thunder', 'scaffold', 'anger', 'lightning', 'blood', 'whistle', 'beating', 'cash', 'club', 'butterfly', 'toad', 'scream', 'jug', 'hitchhiking', 'money', 'farmer', 'cattle', 'yodeling', 'dobro', 'campfire', 'hound', 'acoustic guitar', 'chicken', 'meeting', 'chained', 'guard', 'fiddle', 'crying', 'rope', 'noose', 'whip', 'badge', 'musician', 'redneck', 'field', 'hood', 'restaurant', 'outlaw', 'waitress', 'underwear', 'gramophone', 'gangster', 'watching a movie', 'on the lam', 'car chase', 'obese', 'guitarist', 'screen', 'microphone', 'ritual', 'guitar', 'pocket watch', 'horseback', 'father daughter relationship', 'celebration', 'rite', 'cigar smoking', 'fistfight', 'boxing', 'applause', 'little girl', 'small town', 'politician', 'entertainment', 'poster', 'double bass', 'little person', 'speaker', 'mandolin', 'entertainer', 'performance', 'phonograph record', 'performer', 'stage', 'walking cane', 'crossroads', 'audience', 'listening to a radio', 'railroad tracks', 'american', 'farce', 'church', 'hay', 'swamp', 'pie', 'music band', 'dynamite', 'cracker', 'preacher', 'father son relationship', 'religion', 'forest', 'horse and wagon', 'woods', 'explosion', 'blues music', 'bluegrass', 'pig', 'getaway', 'torch', 'pursuit', 'megaphone', 'bounty', 'gasoline', 'barn', 'surrounded', 'hair net', 'oil lamp', 'rifle', 'whittling', 'gunshot', 'little boy', 'hillbilly', 'blindness', 'old man', 'bayou', 'dieselpunk', 'famous score', 'river', 'river baptism', 'lifting someone into the air', 'racial injustice', 'political rally', 'rally', 'corruption', 'economic inequality', 'prison break', 'water', 'friendship', 'critique of capitalism', 'cooperation', 'solidarity', 'democracy', 'prison farm', 'poverty', 'alienation', 'on the road', 'satire', 'pastiche', 'prison stripes', 'union suit', 'husband wife relationship', 'siren the creature', 'singer', 'obsession', 'journey', 'escape from prison', 'candidate', 'americana', 'reference to the book of matthew', 'reference to matthew 6 28', 'cult film', 'question in title', 'ex husband ex wife relationship', 'treasure hunt', 'theft', 'secret', 'rudeness', 'prayer', 'one eyed man', 'interrupted hanging', 'frog', 'cousin cousin relationship', 'confession', 'blind man', 'bible salesman', 'betrayal', 'whipping', 'rescue', 'reform', 'posse', 'pardon', 'machine gun', 'impersonation', 'gunfire', 'fire', 'fight', 'farm', 'dog', 'railroad hand car', 'tennessee valley authority', 'train', 'gopher', 'recording', 'racism', 'faith', 'bluegrass music', 'gospel', 'election', 'baptism', 'gubernatorial candidate', 'bank robbery', 'police', 'prophecy', 'fugitive', 'on the run', 'bipolar disorder', 'lynching', 'jail break', 'based on poem', 'country music', 'canceled wedding', 'recording studio', 'singing', 'campaign', 'southerner', 'flood', 'radio station', 'banjo', 'cow', 'pomade', 'apocalypse']</t>
  </si>
  <si>
    <t>tt0311113</t>
  </si>
  <si>
    <t>Master and Commander: The Far Side of the World</t>
  </si>
  <si>
    <t>['Action', 'Adventure', 'Drama', 'War']</t>
  </si>
  <si>
    <t>['napoleonic wars', 'ship', 'royal navy', '1800s', 'naturalist', 'naval battle', 'moral choice', '19th century', 'pursuit', 'classical music', 'british seaman', 'all male cast', 'storm at sea', 'royal marines', 'naval officer', 'camouflage', 'burial at sea', 'ambush', 'amputation', 'surgery', 'union jack', 'based on novel', 'deception', 'child soldier', 'cricket the sport', 'adolescent', 'chores', 'boy', 'false identity', 'drinking', 'bully', 'male bonding', 'therapy', 'whip', 'diving', "ship's doctor", "ship's crew", 'boat', 'ship captain', 'laudanum', 'british navy', 'midshipman', 'bayonet fight', 'waterborne ship', 'warship', 'death', 'shot to death', 'violence', 'weapon', 'slow motion scene', 'reference to valparaiso chile', 'sea adventure', 'epic drama', 'epic war', 'timeframe 1800s', 'timeframe 19th century', 'oceania', 'french', 'privateer', 'frigate', 'england', 'violin', 'cello', 'doctor', 'navy', 'empire fashion', 'vomiting', 'tinnitus', 'broadside', 'sailing ship', 'torture', 'stabbed with a bayonet', 'bayonet', 'disarming someone', 'hand to hand combat', 'stabbed with a sword', 'gunfight', 'shootout', 'showdown', 'musket', 'flintlock rifle', 'flintlock pistol', 'war hero', 'war violence', 'hero', 'nature', 'ecology', 'anarchist', 'anarchism', 'sea', 'bare chested male', 'boll weevil joke', 'adventurer', 'action hero', 'punishment', 'medical examination', 'knife', 'flogging', 'fight', 'father figure', 'corporal punishment', 'cat', 'beating', 'bathrobe', 'd box motion code', 'shot in the forehead', 'pretending to be dead', 'insect', 'iguana', 'hand grenade', 'gunshot wound', 'expedition', 'drawing', 'bird', 'shot in the stomach', 'shot in the head', 'blood', 'no opening credits', 'beetle', 'tortoise', 'map', 'broken arm', 'wildlife', 'whipping', 'whaler', 'weevil', 'toast', 'tattoo', 'swashbuckler', 'string ensemble', 'south pacific', 'south atlantic', 'singing', 'self surgery', 'pun', 'pudding', 'prayer', 'nervous breakdown', 'mirror', 'military', 'military training', 'military promotion', 'lost at sea', "lord's prayer", 'leadership', 'irish', 'gift', 'friendship', 'fog', 'english', 'eavesdropping', 'drowning', 'decoy', 'cook', 'combat', 'accidental shooting', 'superstition', 'brain surgery', 'galapagos islands', 'suicide', 'sail', 'cannon', 'sword', 'sea battle', 'sailor', 'sword fight', 'telescope', 'death of friend', 'surprise ending']</t>
  </si>
  <si>
    <t>tt4016934</t>
  </si>
  <si>
    <t>The Handmaiden</t>
  </si>
  <si>
    <t>['Drama', 'Romance', 'Thriller']</t>
  </si>
  <si>
    <t>['lesbianism', 'female nudity', 'lesbian sex', 'repeated scene from a different perspective', 'bare breasts', 'erotic book', 'con man', 'japanese colonial rule', 'explicit sex', 'lesbian cunnilingus', 'lesbian kiss', 'female rear nudity', 'scissoring', 'multiple perspectives', 'plot twist', 'lesbian 69 sex position', 'female protagonist', 'finger cut off', 'black comedy', 'rear nudity', 'nudity', 'sex scene', 'lesbian fingering', 'woman disguised as a man', 'sex in bed', 'lesbian relationship', 'katsushika hokusai', 'handmaiden', 'maid', 'freeze frame', 'double cross', 'orphan', 'bath', 'heiress', 'inheritance', 'multiple versions of same scene', 'lesbian breast play', 'lesbian finger sucking', 'nonlinear timeline', 'repeated scene', 'committing suicide', '69 sex position', 'torture', 'full frontal female nudity', 'pickpocket', 'gender disguise', 'opium', 'library', 'jealousy', 'chapter headings', 'three parts', 'fake passport', 'fake marriage', 'seduction', 'voyeur', 'sexual tension', 'based on novel', 'vito russo test passed', 'lesbian', 'japanese occupation of korea', 'camera shot of bare breast', 'close up of mouth', 'woman in a bath', 'women undressing each other', 'lollipop', 'breast fondling', 'tribadism', 'betrayal', 'manipulation', 'elaborate scheme', 'bilingual', 'thimble', 'painter', 'ship', 'hanging', 'sketch', 'portrait drawing', 'reading', 'cuckold', 'elope', 'swindler', 'spanking', 'male nudity', 'forgery', 'severed finger', 'finger cut', 'poison', 'wine', 'model', 'painting lesson', 'painting', 'basement', 'snake', 'slap', 'written by director', 'shipdeck', 'fire', 'insane asylum', 'nightmare', 'escape', 'love', 'crossdressing', 'neo noir', 'psychological', 'woman slaps a woman', 'south korea', 'loss of virginity', 'marching in rain', 'ornate hair pin', 'baby in a basket', 'abandoned baby', 'stage show', 'close up of eyes', 'whispering', 'checking watch', 'woman felt up', 'foot massage', 'lash marks on butt', 'mannequin', 'mutual cunnilingus', 'attempted suicide', 'drugged', 'ben wa balls', 'timeframe 1930s', 'psychological thriller', 'dark romance', 'cunnilingus', 'erotica', 'attempted rape', 'loss of relative', 'bare butt', 'fingering', 'french kiss', 'illiterate', 'fedora hat', 'woman straddling a woman', 'woman', 'sex toy', 'ripping page from a book', 'simulated sex', "biting someone's shoulder", 'scissors sex position', 'abuse', 'physical abuse', 'loss of aunt', 'dubious consent', 'cherry blossom tree', 'mercury poisoning', 'manipulating the manipulator', 'face slap', 'japanese soldier', 'loss of uncle', 'orgasm', 'masturbation', 'cutting self', 'lesbian erotica', 'betrayed by lover', 'lovers reunited', 'vase of flowers', 'actor plays foreign character', 'korean actor playing japanese character', 'speaking a foreign language', 'smoking multiple cigarettes', 'smoking cigarette', 'female masturbation', 'bloodstained sheet', 'love beads', 'rowing boat', 'stutterer', 'dolly zoom', 'multiple storylines', 'breast feeding', 'female feet', 'slapped in the face', 'full moon', 'female removes female clothes']</t>
  </si>
  <si>
    <t>tt0134119</t>
  </si>
  <si>
    <t>The Talented Mr. Ripley</t>
  </si>
  <si>
    <t>['nudity', 'italy', 'playboy', 'sociopath', 'neo noir', 'saxophone', 'male full frontal nudity', '1950s', 'friendship', 'bitterness', 'bisexuality', 'love triangle', 'mistaken identity', 'rejection', 'false identity', 'psychopath', 'singing', 'man wears eyeglasses', 'psychopathic murderer', 'serial murder', 'living out of a suitcase', 'sex on a yacht', 'tom ripely character', 'four word title', 'seduction failure', 'vito russo test passed', 'brief male frontal nudity', 'car', 'automobile', 'italian car', 'convertible', 'alfa romeo', 'alfa romeo motor vehicle', 'bus', 'fiat', 'fiat motor vehicle', 'lambretta', 'piaggio', 'piaggio vespa', '20th century', 'timeframe 1950s', 'timeframe 20th century', 'straight actor gay character', 'luxury', 'love', 'piano', 'forgery', 'male objectification', 'hitchcockian', 'pubic hair', 'male pubic hair', 'dangerous friend', 'out of control', 'loss of control', 'trousers', 'shirt', 'dress', 'false name', 'falsified document', 'stairs', 'hidden', 'mirror', 'friend', 'crying', 'flashback', 'homicide', 'surprise', 'sadness', 'joy', 'laughing', 'affection', 'girl wears a bikini', 'bikini', 'sunglasses', 'ocean', 'sea', 'smiling', 'strangulation', 'beaten to death', 'psychotic', 'wrath', 'rage', 'anger', 'hit on the head', 'bisexual man', 'typewriter', 'naples italy', 'mimic', 'american express', 'vespa', 'writer', 'wastrel', 'violence', 'venice italy', 'threesome', 'suspicion', 'shopping spree', 'shipping tycoon', 'san remo italy', 'ruse', 'rome italy', 'reference to michelangelo', 'pregnancy', 'police', 'passport', 'palermo italy', 'oar', 'money', 'lie', 'jazz music', 'jazz club', 'investigator', 'investigation', 'intrigue', 'industrialist', 'impersonation', 'imitation', 'guilt', 'forged signature', 'expatriate', 'envy', 'disappearance', 'death', 'corduroy jacket', 'cafe', 'brutality', 'boyfriend girlfriend relationship', 'boat', 'bathtub', 'bank account', 'aristocrat', 'male rear nudity', 'carabinieri', 'upper class', 'tycoon', 'obsession', 'impulsiveness', 'identity', 'class differences', 'bourgeoisie', 'bisexual', 'assumed identity', 'american abroad', 'male nudity', 'sex reference', 'premarital sex', 'kiss', "cheating on one's girlfriend", 'blood', 'classical music', 'grand piano', 'yacht', 'private detective', 'underdog', 'bath', 'self hatred', 'deception', 'homosexual', 'impostor', 'father son relationship', 'beach', 'suicide', 'murder', 'opera', 'high life', 'rich snob', 'based on novel', 'character name in title']</t>
  </si>
  <si>
    <t>tt0268978</t>
  </si>
  <si>
    <t>A Beautiful Mind</t>
  </si>
  <si>
    <t>['Biography', 'Drama']</t>
  </si>
  <si>
    <t>['mathematician', 'mental illness', 'schizophrenia', 'game theory', 'nobel prize', 'conspiracy', 'paranoid schizophrenia', 'professor', 'psychiatrist', 'school', 'mathematics', 'cryptography', 'socially awkward', 'based on book', 'teaching', 'roommate', 'schizophrenic', 'imaginary friend', 'game of go', 'cold war', 'spy', 'paranoia', 'based on true story', 'harvard', 'student', 'princeton university', '1940s', 'economics', 'motivational', 'scholar', 'army general', 'cambridge massachusetts', 'class', 'hallucination', 'government agent', 'bathtub', 'thorazine', 'antipsychotics', 'brilliant mind', 'unreliable narration', 'unreliable narrator', 'based on real person', 'propaganda', 'illiteracy', 'student lust for teacher', 'fantasy life', 'prickly personality', 'delusional', 'personality disorder', 'cia central intelligence agency', 'docudrama drama', 'psychological drama', 'timeframe 1940s', 'timeframe 1950s', 'timeframe 1960s', 'timeframe 1970s', 'timeframe 1980s', 'timeframe 1990s', 'secret', 'university', 'soviet', '1950s', 'genius', 'kiss', 'imagination', 'three word title', 'black dress', 'party', 'drinking alcohol', 'alcohol', 'taking a photograph', 'posing for a photograph', 'flash camera', 'film camera', 'large format camera', 'shot in sequence', 'riding a bicycle', 'medicine', 'stars', 'governor', 'agent', 'bomb', 'blackboard', 'laboratory', 'standing ovation', 'security', 'camera', 'map', 'military', 'anguish', 'applause', 'dancing', 'mother son relationship', 'tradition', 'hearing voices', 'rage', 'princeton new jersey', 'soldier', 'anger', 'baby carriage', 'mental institution', 'punched in the face', 'husband wife relationship', 'wedding gown', 'seal', 'classified information', 'military police', 'reference to joseph mccarthy', 'remote control', 'department of defense', 'reference to j robert oppenheimer', 'washington dc', 'playing pool', 'reference to d h lawrence', 'record player', 'reference to samuel morse', 'phonograph record', 'reference to albert einstein', 'audience', '1980s', 'doctor', 'blood', 'tears', 'suspense', 'reality', 'wheelchair', 'nurse', 'handcuffed', 'little girl', 'painting', 'foot chase', 'russian', 'pistol', 'painter', 'covert', 'photographer', 'scientist', 'apophenia', 'broken mirror', 'breaking a mirror', 'epilepsy', 'reference to isaac newton', 'side effect', 'niece', 'delusion', 'calculus', 'teacher', 'father son relationship', 'no opening credits', 'shock therapy', 'loner', 'ivy league', 'humiliation', 'college', 'famous score', 'top secret', 'tool shed', 'stockholm sweden', 'star gazing', 'shootout', 'self mutilation', 'rooftop', 'rivalry', 'restaurant', 'rainstorm', 'psychiatric hospital', 'picnic', 'marriage proposal', 'library', 'lecture', 'implant', 'hypodermic needle', 'friendship', 'flashback', 'face slap', 'car chase', 'boston massachusetts', '1990s', '1970s', '1960s', 'wedding', 'pool game', 'pentagon building', 'new jersey', 'medication', 'massachusetts institute of technology', 'marriage', 'guilt', 'chase', 'epiphany', 'code breaking', 'creativity', 'insulin coma therapy', 'twist in the end', 'bar', 'russophobia', 'cult film', 'holding shoes in hand', 'techne', 'beer', 'baby', 'dating', 'prank', 'speech', 'reception', 'pen', 'necktie', 'flirting', 'blockbuster']</t>
  </si>
  <si>
    <t>tt0093773</t>
  </si>
  <si>
    <t>Predator</t>
  </si>
  <si>
    <t>['Action', 'Adventure', 'Horror', 'Sci-Fi']</t>
  </si>
  <si>
    <t>['jungle', 'survival', 'hunting people', 'commando', 'predator', 'commando mission', 'guerrilla base', 'shaving', 'self destruction', 'booby trap', 'severed arm', 'latin america', 'scorpion', 'military', 'helicopter', 'alien', 'hunt', 'hunting', 'prey', 'green beret', 'guerrilla', 'extraterrestrial', 'skull', 'special forces', 'hunter', 'big game hunter', 'blood', 'commando unit', 'ambush', 'predator chases prey', 'human hunted down for sport', 'hunted people', 'bow and arrow', 'covered in mud', 'waterfall', 'invisibility cloak', 'falling from height', 'dog tag', 'spaceship', 'human versus alien', 'invisibility', 'human prey', 'explosion', 'cigar smoking', 'infrared vision', 'laser gun', 'camouflage', 'wild pig', 'death of friend', 'man versus monster', 'south america', 'extraterrestrial alien', 'mission', 'death', 'central america', 'wisecrack humor', 'tough guy', 'action hero', 'suspense', 'paranoia', 'combat', 'intestines', 'creature feature', 'first of series', 'punched in the face', 'famous line', 'fear', 'killing an animal', 'trail of blood', 'flask', 'blood on camera lens', 'exploding helicopter', 'trip wire', 'knife throwing', 'tracker', 'machine gun', 'boom box', 'old friend', 'rainforest', 'green blood', 'native american', 'cult film', 'invisible monster', 'chewing tobacco', 'exploding car', 'knife', 'arm wrestling', 'gatling gun', 'reverse footage', 'trap', 'machismo', 'visit', 'american man', 'american abroad', 'male protagonist', 'hiking', 'profanity', 'black soldier', 'black hair', 'apache', 'apache indian', 'ammo belt', 'cartridge belt', 'ammunition belt', 'the predator character', 'suicide', 'slow motion scene', 'time bomb', 'tragedy', 'raid', 'stalking', 'massacre', 'mass killing', 'us soldier', 'journey', 'action violence', 'tropical setting', 'gun battle', 'arm cut off', 'weapons fire', 'mustached man', 'good versus evil', 'fistfight', 'deadfall trap', 'muscular man', 'rotorcraft', 'joke telling', 'characters murdered one by one', 'murdered with a gun', 'one word title', 'horror icon', 'weapon', 'bipedal alien', 'aircraft', 'optical camouflage', 'guerilla army', 'guerilla warfare', 'rebel base', 'night vision', 'danger', 'war paint', 'near death experience', 'mercilessness', 'dreadlocks', 'latin woman', 'kidnapping', 'bomb', 'final showdown', 'sniper', 'sniper rifle', 'psychotronic film', 'f word', 'major', 'cia agent', 'rescue', 'comic relief', 'escape', 'stalker', 'deception', 'laser', 'double cross', "character's point of view camera shot", 'blockbuster', 'creature', 'alien monster', 'alien creature', 'panic', 'aerial camera shot', 'muscleman', 'hunter becomes hunted', 'ends with freeze frame', 'foxvideo', 'low budget sci fi movie', 'human versus extraterrestrial', 'cia central intelligence agency', 'title directed by male', 'title directed by man', 'title written by male', "character repeats someone else's dialogue", 'swinging on a vine', 'travel', 'one person army action', 'jungle adventure', 'monster horror', 'timeframe 1980s', 'team action', 'soldier', 'hostage', 'skinned alive', 'warrior', 'terror', 'outer space', 'humanoid alien', 'brutality', 'violence', 'black ops', 'mercenary', 'cigarette smoking', 'black comedy', 'cult cast', 'battle', 'hand grenade', 'rebel', 'battlefield', 'showdown', 'gunfight', 'handheld minigun', 'first part', 'end credits roll call', 'subjective camera', 'series', 'shot in the forehead', 'torch', 'spine ripping', 'stabbed in the chest', 'arm blown off', 'snare trap', 'stabbed to death', 'shot in the leg', 'hole in chest', 'shot in the back', 'snake', 'dragging a body', 'foot chase', 'unsubtitled foreign language', 'shot in the arm', 'disappearance', 'held at gunpoint', 'kicking in a door', 'shot in the chest', 'shootout', 'pistol', 'binoculars', 'hanging upside down', 'corpse', 'grenade launcher', 'red light', 'general', 'scene during opening credits', 'blood splatter', 'gothic', 'survival horror', 'fictional country', 'death of title character', 'covert operation', 'map', 'actor playing multiple roles', 'shot to death', 'exploding body', 'shot in the head', 'impalement', 'lifted by the throat', 'person on fire', 'lasersight', 'free fall', 'gore', 'minigun', 'monster', 'chase', 'masked villain', 'character name in title', 'surprise ending', 'alien killed', 'betrayal', 'mine', 'murder']</t>
  </si>
  <si>
    <t>tt6710474</t>
  </si>
  <si>
    <t>Everything Everywhere All at Once</t>
  </si>
  <si>
    <t>['chinese', 'multiverse', 'saving the world', 'mother daughter relationship', 'husband wife relationship', 'immigrant', 'reference to ratatouille', 'laundromat', 'alternate reality', 'nihilism', 'googly eye', 'bagel', 'lgbt', 'irs', 'love', 'punched in the face', 'spinning a sign', 'movie star', 'life flashes before eyes', 'movie theater', 'chinese new year', 'father daughter relationship', 'f word', 'chef', 'audit', 'mirror', 'dominatrix', 'blinded by accident', 'alternate timeline', 'alternate universe', 'alternate version of self', 'alternate version of someone', 'chinese immigrant', 'kung fu', 'asian american', 'chinese american', 'internal revenue service', 'income tax audit', 'tax audit', 'earpiece', 'generational', 'kindness', 'black hole', 'grandfather', 'wheelchair', 'lesbian', 'girlfriend girlfriend relationship', 'small business', 'broken english', 'fanny pack', 'chapstick', 'dildo', 'pixelated male nudity', 'rock', 'canyon', 'singer', 'professional singer', 'receipt', 'bureaucrat', 'playing a piano', 'playing piano with feet', 'pinky', 'push ups', 'woman does push ups', 'generational conflict', 'surrealism', 'absurdist', 'raccoon', 'talking raccoon', 'paper cut', 'sex toy', 'ball gag', 'bdsm', 'spanking', 'secret room', 'divorce papers', "janitor's closet", 'dog', 'pinata', 'animated scene', 'lesbian couple', 'stapler', 'mark on forehead', 'nihilist', 'cult', 'skill set', 'movie premiere', 'movie within a movie', 'ex boyfriend ex girlfriend relationship', 'trophy', 'hibachi restaurant', 'puppeteer', "sitting on someone's shoulders", 'animal control', 'learning the truth', 'box cutter', 'tied to a chair', 'taped to a chair', 'party', 'lunar new year', 'new year party', 'baseball bat', 'police', 'no rules', 'death scene', 'protective mother', 'maternal love', 'girlfriend breaks up with boyfriend', 'disapproving father', 'flashback', 'alternate history', 'alternate life', 'path of life', 'branching paths', 'alternative timeline', 'concert singer', 'de escalation', 'mother daughter conflict', 'video monitor', 'security camera feed', 'security camera footage', 'sign', 'distracted', 'unfulfilled ambition', 'potential', 'van', 'urn', 'improvised weapon', 'cubicle', 'fishbowl', 'evolution', 'hot dog', 'dawn of man', 'ape', 'ape costume', 'bdsm fetish', 'office', "children's book", 'dr seuss spoof', 'dr seuss parody', 'sign spinner', 'dog on leash', 'laundry', 'shoe on wrong foot', 'uncharacteristic behavior', 'odd behaviour', 'elevator', 'fracture', 'umbrella', 'positivity', 'assaulting a police officer', 'mexican', 'subtitled scene', 'hand over mouth', 'handcuffs', 'woman spanking a man']</t>
  </si>
  <si>
    <t>tt0298203</t>
  </si>
  <si>
    <t>8 Mile</t>
  </si>
  <si>
    <t>['Drama', 'Music']</t>
  </si>
  <si>
    <t>['self expression', 'competition', 'rap music', 'hip hop', 'gay slur', 'hood', 'proles', 'casual sex', 'poetry', 'american poet', 'friend', 'sex scene', 'underdog', 'gunshot wound', 'boyfriend girlfriend relationship', 'trailer trash', 'trailer home', 'garbage bag', 'brother sister relationship', 'year 1995', 'cigarette smoking', 'rhyming', 'rhyme', 'african american', 'hip hop music', 'white rapper', 'lyrics', 'improvisation', 'disrespect', 'mother son relationship', 'ex boyfriend ex girlfriend relationship', 'car', '1990s', 'self inflicted gunshot wound', 'factory', 'detroit michigan', 'trailer park', 'single mother', 'poor white trash', 'lunch wagon', 'factory worker', 'spontaneous sex', 'older woman younger man relationship', 'gay', 'homosexual', 'violence against a woman', 'domestic violence', 'discrimination', 'poverty', 'suspected pregnancy', 'reference to beastie boys', 'friendship', 'older woman younger man sex', 'police officer', 'chevrolet suburban', 'cigarette', 'reference to hiv', 'reference to cunnilingus', 'timeframe 1990s', 'female nudity', 'cult film', 'ghetto', '8 mile', 'model', 'contest', 'michigan', 'vomiting', 'watching a movie on tv', 'neo noir', 'beaten up', 'caught having sex', 'cartoon on tv', 'irreverence', 'watching a movie', 'street life', 'radio studio', 'demo recording', 'recording', 'police car', 'police', 'apology', 'bar', "men's bathroom", 'mirror', 'disc jockey', 'car accident', 'earphones', 'mother daughter relationship', 'embarrassment', 'marijuana', 'reference to willie nelson', 'reference to vanilla ice', 'abandoned building', 'watching a cartoon on tv', 'watching tv', 'reference to russell simmons', 'reference to dr dre', 'dreadlocks', 'place name in title', 'balaclava', 'set on fire', 'fight', 'eviction', 'crowd', 'car trouble', 'boss', 'beating', 'shot in the leg', 'pistol', 'obscene finger gesture', 'crutch', 'fistfight', 'unwanted pregnancy', 'racial slur', 'stage fright', 'bus', 'accidental shooting', 'music contest', 'paintball gun', 'arson', 'semi autobiographical', 'singing contest', 'gun', 'radio broadcasting', 'male nudity', 'premarital sex', 'radio station', 'fire', 'bingo', 'street gang', 'woman on top', 'motor vehicle', 'automobile', 'us car', 'chevrolet motor vehicle', 'ford car', 'oldsmobile delta 88', 'female rear nudity', 'accidentally shooting oneself', 'toilet', 'rabbit']</t>
  </si>
  <si>
    <t>tt0202381</t>
  </si>
  <si>
    <t>Guest House Paradiso</t>
  </si>
  <si>
    <t>['Comedy', 'Thriller']</t>
  </si>
  <si>
    <t>['slapstick comedy', 'disgusting', 'disturbing', 'bare shoulders', 'hotel', 'fish', 'crawling through an air shaft', 'fishing rod', 'bare butt', 'male nudity', "chef's hat", 'projectile vomiting', 'vomiting on someone', 'quarantine', 'abusive boyfriend', 'gross out humor', 'cartoon violence', 'oven', 'fire extinguisher', 'indiana jones spoof', 'written and directed by cast member', 'double act', 'comedy team', 'british comedy', 'thief', 'surrealism', 'sadomasochism', 'nipple ring', 'glasses', 'wedding dress', 'vomiting', 'videotape', 'radiation', 'radiation sickness', 'pencil', 'hotel room', 'hotel manager', 'hotel bellman', 'hotel bar', 'candle']</t>
  </si>
  <si>
    <t>tt0075029</t>
  </si>
  <si>
    <t>The Outlaw Josey Wales</t>
  </si>
  <si>
    <t>['Western']</t>
  </si>
  <si>
    <t>['civil war veteran', 'revenge', 'post american civil war', "bounty on one's head", 'wanted outlaw', 'manhunt', 'on the run', 'spitting tobacco', 'native american chief', 'widower', 'gunfight', 'two gun holster', 'gun holster', 'holster', 'gun', 'double gun holster', 'shoulder holster', 'shoulder', 'man with no name', 'revisionist western', 'blockbuster', 'river ferry', 'whiskey', 'blood', 'happy ending', 'rape and revenge', 'rape and murder', 'murder of wife', 'revenge motive', 'revenge plot', 'revenge seeker', '1860s', 'missouri', 'united states of america', 'usa', 'united states', 'burning farm', 'loss of family', "burying one's family", 'jayhawker', 'farmer', 'bushwhacker', 'guerrilla', 'abandoned farm', 'surrender', 'massacre', 'us senator', 'execution', 'shot in the back', 'mortally wounded', 'gunshot wound', 'shot to death', 'ferry crossing', 'snake oil salesman', 'native american', 'motley crew', 'scoped rifle', 'indian squaw', 'shot in the chest', 'beating a woman', 'cherokee indian', 'western town', 'texas', 'posse', 'comanchero', 'nudity', 'female nudity', 'bare breast', 'attempted gang rape', 'bare butt', 'bandit gang', 'outlaw gang', 'surprise attack', 'fortified house', 'stabbed with a sword', 'stabbed to death', 'indian chief', 'loss of wife', 'loss of a child', 'grief', 'grieving father', 'grieving husband', 'shootout', 'comanche tribe', 'native american village', 'indian village', 'buried to the neck', 'cattle branding', 'killed with a sword', 'epic western', 'timeframe 1860s', 'wound', 'bounty hunter', 'confederate soldier', 'navajo indian', 'long range rifle', 'murder of family', 'flintlock rifle', 'cavalry', 'fast draw', 'comanche indian', 'reference to abraham lincoln', 'river raft', 'us army', 'hanged to death', 'male female relationship', 'moral ambiguity', 'held at gunpoint', 'trading post', 'texas ranger', 'target shooting', 'ghost town', 'frontier justice', 'american civil war', 'gatling gun', 'holed up in shack']</t>
  </si>
  <si>
    <t>tt8368512</t>
  </si>
  <si>
    <t>The Courier</t>
  </si>
  <si>
    <t>['Drama', 'History', 'Thriller', 'War']</t>
  </si>
  <si>
    <t>['cold war', 'cuban missile crisis', 'based on true story', 'spy', 'cia central intelligence agency', 'nikita khrushchev character', 'mi6', 'espionage', 'husband wife relationship', 'betrayal', 'bolshoi ballet', 'political prisoner', 'politics', 'fear', 'holiday', 'hospital', 'van', 'male bonding', 'russia', 'starvation', 'ballet', 'interrogation', 'propaganda', 'torture', 'beating', 'british spy', 'whiskey', 'welsh', 'shot in the head', 'male nudity', 'unlikely hero', 'forced to strip', 'shaved head', 'execution', 'london england', 'state secret', 'vodka', 'photography', 'microfilm', 'dictionary', 'businessman', 'cigarette smoking', 'subtitled scene', 'mi6 british secret military intelligence service', 'covert operation', 'reference to vladimir lenin', 'nuclear arms race', 'mustached man', 'telephone', 'telephone call', 'vladimir lenin statue', 'imperialism', 'moscow ussr', 'applause', 'location day and date on screen', 'man wears eyeglasses', 'briefcase', 'father daughter relationship', 'overhead camera shot', 'reflection in a mirror', 'us embassy', 'american abroad', 'courier', 'newspaper', 'woman reads a newspaper', 'gru russian main intelligence directorate', 'dossier', 'reference to pyotr semyonovich popov', 'kgb russian committee for state security', 'golf', 'rain', 'umbrella', 'father son relationship', 'homework', 'tie clip', 'handshake', 'food', 'eating', 'apology', 'salesman', 'lighting a cigarette', 'secrecy', 'street life', 'middle aged man', 'tie clasp', 'nickname', 'treason', 'taxi', 'murder', 'airplane', 'passport', 'customs officer', 'kremlin', 'subjective camera', 'hotel room', 'translator', 'communist', '10 year old boy', 'laughter', 'limousine', 'theater audience', 'reference to sergei prokofiev', 'trade delegation', 'archive footage', 'giving a toast', 'singer', 'singing', 'bus', 'revolving door', 'wristwatch', 'military thought the document', 'tape recorder', 'doorbell', 'deception', 'lie', 'lip reader', 'push ups', 'capitalism', 'montage', 'camera', 'airport', 'kiss', "husband kisses his wife's neck", 'implied sex', 'langley virginia', 'watching tv', 'tv news', 'nuclear weapon', 'photograph', 'sit ups', 'rearview mirror', 'man vomits', 'man vomits into a toilet bowl', 'game playing', 'playing a board game', 'woods', 'campfire', 'money', 'defensiveness', 'doll as a gift', 'toy rocket as a gift', 'playground', 'bench', 'suffering', 'typewriter', 'american flag', 'collins russian english english russian dictionary', 'knocking on a door', 'upside down camera shot', 'contraband', 'turkish cigarettes', 'british embassy', "men's bathroom", 'missile installation', 'u 2 photograph', 'trade fair', 'man in jeopardy', 'man collapses onto the floor', 'woman paints a wall', 'ticker tape machine', 'spy plane', 'female doctor', 'husband wife embrace', "husband kisses his wife's hand", 'phone box', 'underground parking garage', 'diplomatic immunity', 'packing a suitcase', "shushing someone with a finger to one's lips", 'u 2 spy plane', 'listening to a radio', "whispering in someone's ear", 'press attache', 'map', 'sosnovy bor leningrad', 'pack of cigarettes', 'crying man', 'reference to pyotr ilyich tchaikovsky', 'flashback', 'flash forward', 'medal', 'bookstore', 'chase', 'pursuit', 'arrest', 'thrown into the back of a van', 'surveillance', 'little girl wears a red dress', 'family relationships', 'crying woman', 'political arrest', 'persona non grata', 'bag over head', 'man removes his clothes', "shaving a man's head with an electric razor", 'forced anal examination', 'prison cell', 'man with a shaved head', 'bravery', 'confession', 'prison yard', 'cold the temperature', 'nosy neighbor', 'bucket', 'peephole', 'camera shot through a peephole', 'ill man', 'doubt', 'prison visitation', 'guilt', 'asking for forgiveness', 'forgiveness', 'prisoner exchange', 'press frenzy', 'photographer', 'flash camera', 'memory', 'flashback montage', 'film camera', 'year 1990', 'top secret document', 'smuggling', 'ends with real life footage', 'no opening credits', 'aerial reconnaissance', 'soviet officer', 'soviet military', 'military uniform', 'cold war era', 'tense', 'soviet union', 'ussr', 'moscow russia', 'kgb', 'historical drama', 'spy thriller', 'timeframe 1960s', 'spy camera', 'based on historical event', 'family camping', 'ballet dancer', 'pretending to be drunk', 'husband wife sex', 'naked male in a shower', 'poisoned cigarette', 'pregnant wife', 'prologue and epilogue', 'cigarette', 'prison']</t>
  </si>
  <si>
    <t>tt1817273</t>
  </si>
  <si>
    <t>The Place Beyond the Pines</t>
  </si>
  <si>
    <t>['bank robbery', 'bank robber', 'interracial relationship', 'neo noir', 'original story', 'bank', 'rookie cop', 'killed by police', 'shot by the police', 'high school student', 'hospital', 'jail', 'ice cream', 'crib', 'illegitimate son', 'haunted by the past', 'sins of the father', 'ancestry', 'legacy', 'destiny', 'past', 'fatherhood', 'blood relations', 'religion', 'chasing an animal', 'goose', 'crying baby', 'baby boy', 'bail', 'character appears on television', 'police officer', 'graveside ceremony', 'limp', 'photograph', 'siren the alarm', 'drug abuse', 'painting a motorcycle', 'troubled teen', 'tv news', 'television reporter', 'united states of america', 'father son relationship', 'watching tv', 'retro', 'conscience', 'car', 'automobile', 'us car', 'chevrolet', 'chevrolet motor vehicle', 'chevrolet caprice', 'ford', 'ford motor vehicle', 'ford econoline', 'honda', 'japanese car', 'toyota', 'toyota motor vehicle', 'toyota truck', 'swedish car', 'volvo', 'volvo motor vehicle', 'volvo car', 'volvo 850', 'police officer shot in the leg', 'cigarette', 'heist', 'character appears in a newspaper', "character repeats someone else's dialogue", 'carnival', 'corruption', 'death', 'motorcycle stunt', 'schenectady new york', 'lawyer', 'hero', 'garage', 'money', 'mechanic', 'baby', 'stuntman', 'switchblade', 'warrantless search', 'criminal duo', 'dirt bike', 'appeared on tv news', 'house party', 'teen party', 'family photo', 'car motorcycle chase', 'motorbike', 'falling off a motorcycle', 'career criminal', 'police car chase', "father's funeral", 'police arrest', 'getting high', 'teenager with a gun', 'beaten up', 'teenage son', 'evidence room', 'pharmacy robbery', 'flash forward', 'award ceremony', 'whispering', 'laying down a motorcycle', 'arraignment', 'lying in a pool of blood', 'getaway', 'counting money', 'falling to death', 'two on a motorcycle', 'motorcycle trick riding', 'picture of sexy girl on wall', 'church service', 'shower', 'shooting', 'gunshot', 'heart monitor', 'applause', 'court', 'station wagon', 'flat tire', 'breaking a window', 'autograph', 'announcer', 'knife', 'tent', 'restaurant', 'cafe', 'photographer', 'camera', 'parking lot', 'apple', 'telephone call', 'telephone', 'hostage', 'wheelchair', 'breaking down a door', 'investigation', 'epic', 'search', 'kidnapping', 'breaking and entering', 'minister', 'crutches', 'fear', 'therapy', 'assault', 'giving a toast', 'sarcasm', 'racist', 'shot in the knee', 'blood', 'ferris wheel', 'ambulance', 'injury', 'subjective camera', 'prayer', 'pickup truck', 'motel', 'trailer house', 'looking in a window', 'gun', 'truck', 'spray paint', 'voice over conversation', 'kiss', 'knocking on a door', 'crying', 'spanish', 'dancing with a dog', 'dancing', 'rearview mirror', 'anger', 'chase', 'police car', 'welding', 'dancer', 'montage', 'violence', 'vomiting', 'shooting a police officer', 'no title at beginning', 'title at the end', 'mother son relationship', 'punched in the face', 'oxycodone', 'pharmacy', 'sunglasses', 'stepfather stepson relationship', 'courtroom', '17 year old', 'ecstasy the drug', 'marijuana', 'police detective', 'tape recorder', 'police chief', 'police station', 'swimming pool', 'therapist', 'husband wife relationship', 'news report', 'falling out a window', 'police officer shot', 'shot in the leg', 'shot in the chest', 'high school', 'gun in mouth', 'hit with a wrench', 'trailer home', 'dog', 'pistol', 'baptism', 'church', 'quitting a job', 'diner', 'nipples visible through clothing', 'scene during opening credits', 'long take', 'tattoo', 'tattoo on face', 'balisong', 'runaway', 'country road', 'honor', 'forest', 'jealousy', 'criminal', 'partner in crime', 'party', 'revenge', 'search for father', 'beating', 'drug dealer', 'election', 'district attorney', 'self defense', 'heroism', 'police corruption', 'auto shop', 'hiding in the back of a truck', 'motorcycle helmet', 'money problems', 'bag of money', 'cemetery', 'motorcycle chase', 'waitress', 'reference to metallica', 'police chase', 'drug deal', 'backpack', 'reference to hall and oates', 'written by director', 'death of father', 'tree', 'american flag', 'african american', "lord's prayer", 'actress shares first name with character', 'cigarette smoking', 'google', 'actor shares first name with character']</t>
  </si>
  <si>
    <t>tt1210166</t>
  </si>
  <si>
    <t>Moneyball</t>
  </si>
  <si>
    <t>['Biography', 'Drama', 'Sport']</t>
  </si>
  <si>
    <t>['strategy', 'baseball', 'statistics', 'baseball movie', 'job offer', 'sabermetrics', 'slow motion scene', 'voice over narration', 'car', 'automobile', 'us car', 'dodge motor vehicle', 'dodge ram', 'baseball sport', 'docudrama drama', 'timeframe 1970s', 'timeframe 1980s', 'timeframe 2000s', 'underdog sport', 'reference to rudolph the red nosed reindeer', 'reference to rudolph and the island of misfit toys', "reference to friends the one with ross's new girlfriend", 'reference to 2004 world series', 'reference to the ellen degeneress show episode 99', 'year 1979', 'year 2001', 'year 2002', 'year 1984', 'meeting', 'baseball team', 'underdog', 'playing against type', 'partner', 'fired from a job', 'business', 'watching tv', 'driving', 'sports trade', 'winning streak', 'telephone call', 'anger', 'metaphor', 'major league baseball', 'baseball player', 'period piece', 'baseball game', 'what happened to epilogue', 'professional athlete', 'flashback', '1970s', '1980s', '2000s', 'statistician', 'mathematics', 'baseball manager', 'father daughter relationship', 'oakland california', 'oakland athletics', 'one word title', 'based on true story', 'based on book', 'title spoken by character', 'manager']</t>
  </si>
  <si>
    <t>tt0086567</t>
  </si>
  <si>
    <t>Wargames</t>
  </si>
  <si>
    <t>['hacker', 'cold war', 'computer', 'modem', 'phreaking', 'telephone call', 'nuclear attack', 'game', 'norad', 'war game', 'video arcade', 'computer hacker', 'nuclear threat', 'seattle washington', 'computer cracker', 'tic tac toe', 'artificial intelligence', 'hacking', 'thermonuclear war', 'race against time', 'paranoia', 'hack', 'unauthorized entry', 'defcon', 'machine learning', 'computer hacking', 'computer system', 'tense', 'us nuclear forces', 'soviet union', 'ussr', 'high school', 'super computer', 'military', 'social engineering', 'failing in school', 'cheating', 'biology', 'biology course', 'intelligence', 'fictional war', 'boyfriend girlfriend relationship', 'computer genius', 'backdoor', 'human versus computer', 'telephone number', 'floppy drive', 'nuclear weapons', 'us army', 'nuclear war', 'general', 'soldier', 'us air force', 'technology', 'teenage boy', 'world war three', 'suspense', 'fear', 'danger', 'panic', 'high tech', 'cult film', 'one word title', 'tension', 'pay phone', 'kiss', 'boat', 'rural area', 'teenage girl', 'nerd', 'network', 'computer monitor', 'communication', 'program', 'telephone', 'jeep', 'suv', 'truck', 'storm', 'house', 'briefcase', 'mirror', 'looking at oneself in a mirror', 'signing in an office', 'elevator', 'security guard', 'coat', 'tunnel', 'corridor', 'underground', 'computer server', 'crew', 'staff', 'technical', 'red light', 'button', 'flashing light', 'closed door', 'rocket', 'american flag', 'speaker', 'pencil', 'code', 'loudspeaker', 'message', 'authentication', 'key', 'decoding', 'computer server room', 'countdown', 'launch', 'shaft', 'power booster', 'keyboards', 'procedure', 'scooter', 'locked door', 'disobeying orders', 'woods', 'forest', 'pointing a gun at someone', 'barbed wire', 'air force', 'sirens', 'mess', 'messy room', 'password', 'changing grade', 'f grade', 'warning sign', 'anger', 'headmaster', 'principal', 'changing a grade', 'shelf', 'instructor', 'student', 'disturbance', 'secretary', 'classmate', 'biology teacher', 'biology class', 'bypassing security', 'library', 'book', 'magazine', 'mustached man', 'giving someone a ride', 'mom not home', 'not paying attention in class', 'father not home', 'not listening', 'listening in', 'research', 'notepad', 'drinking water', 'jogging', 'woman jogging', 'footage', 'missing school', 'newspaper clip', 'dart', 'corkboard', 'obituary', 'microphone', 'military general', 'map of usa', 'target', 'radar', 'red telephone', 'dog', 'feet on a desk', 'indoor plant', 'parent son relationship', 'embrace', 'pipe', 'yo yo', 'tv news', 'newscaster', 'congratulations', 'ringing telephone', 'programmer', 'signature', 'computer readout', 'bedroom', 'bed', 'answering a telephone', 'corner store', 'convenience store', 'arrest', 'teen bedroom', "rolling one's eyes", 'shock', 'surprise', 'mistaken identity', 'maker', 'isolation', 'debate', 'police interview', 'bald man', 'infirmary', 'nurse', 'handcuffs', 'baton', 'smoking man', 'glass door', 'desk', 'office', 'portrait', 'wall of tv screens', 'detained', 'making a pass', 'trophy', 'medical supplies', 'escape', 'white gloves', 'playback', 'tape recorder', 'cassette', 'cassette tape', 'tour group', 'no smoking sign', 'exit sign', 'woman asks man to leave', 'crawling', 'way to escape', 'overhearing', 'lumber', 'asking someone to leave', 'listing', 'rotary', 'aerobics', 'leg warmers', 'borrowing money', 'airplane', 'propeller aeroplane', 'airport', 'airport terminal', 'police', 'ferry', 'public transport', 'public transit', 'remote control', 'black woman', 'helmet', 'pilot', 'jet', 'dinosaur model', 'projector', 'fireplace', 'nihilism', 'existentialism', 'walking at night', 'cactus', 'log cabin', 'living alone', 'visible breath', 'stuck', 'necking', 'kissing', 'kiss on the mouth', 'kiss on the lips', 'problem', 'hovering helicopter', 'spotlight', 'announcement', 'kissing on the beach', 'gate', 'crash through a fence', 'driving through a gate', 'crashing through a gate', 'bolt', 'missile', 'name tag', 'silo', 'lock out', 'insignia', 'celebration', 'war machine', 'averted eyes', 'lights out', 'cigar smoking', 'cigarette smoking', 'bookshelf', 'boredom', 'educational', 'nuclear launch key', '7 eleven store', 'father son relationship', 'man wears a suit and tie', 'man wears eyeglasses', 'psychotronic film', 'girl wears a tanktop', 'woman wears a uniform', 'overweight man', 'male protagonist', 'pan american airways', 'pan american airlines', 'paris france', 'president of the united states', 'headphones', 'car', 'automobile', 'us car', 'jeep motor vehicle', 'jeep cj 5', 'title directed by male', 'title directed by man', 'title written by male', 'schoolmate', 'fail deadly function', 'classroom', 'failure', 'cyber thriller', 'teen adventure', 'teen drama', 'artificial intelligence sci fi', 'techno thriller', 'timeframe 1980s', 'timeframe 20th century', 'disobedience', 'hugging', 'mother son relationship', 'male police officer', 'boy', 'police officer', 'first part', 'video gamer', 'war games', 'login', "guessing someone's password", 'computer password', 'automated defense', 'missile defense system', 'unintended consequence', 'arcade video game', 'computer wiz', 'supercomputer', 'computer simulation', 'simulation', 'high schooler', 'late for class', 'failing grade', 'failing a test', 'report card', 'parents', 'motor bike', 'global thermonuclear war', 'mutually assured destruction', 'human error', 'human element', 'launch code', 'defcon 3', 'defcon 2', 'defcon 1', 'microfiche', 'fbi', 'under arrest', 'misunderstanding', 'false accusation of espionage', 'reference to pan american airlines', 'scientist', 'telephone booth', 'vault door', 'united states air force', 'us military', 'us department of defense', 'pteranodon', 'radio controlled model', 'island', 'trespassing', 'new identity', 'defcon 5', 'acoustic coupler', 'mixed caps in title', 'overconfidence', 'naivety', 'technology gone amok', 'reference to wonder woman', 'break in', 'armageddon', 'social commentary', 'government', 'abuse of power', 'anti war', 'faked death', 'chess', 'blockbuster', 'teacher', 'helicopter', 'ferry boat', 'surprise ending', 'steam', 'black telephone', 'black man', 'ghost in the machine']</t>
  </si>
  <si>
    <t>tt8178634</t>
  </si>
  <si>
    <t>RRR</t>
  </si>
  <si>
    <t>['periodic', '1920s', 'period', 'revolutionary', 'liberation', 'male friendship', 'explosion', 'rescue', 'father son relationship', 'british governor', 'arrest', 'action violence', 'love interest', 'attack', '3d film', 'dance', 'hit on the head', 'cameo by director', 'pendant', 'singing', 'shot to death', 'gunfight', 'flagellation', 'blood', 'gore', 'train', 'weapons', 'target practice', 'brotherhood', 'epic film', 'forest', 'bow and arrow', 'beaten up', 'undercover', 'rescue mission', 'self sacrifice', 'death of parents', 'animals', 'chase', 'bitten by snake', 'british empire', 'torture', 'racism', 'abduction', 'rifle', 'pre independence india', 'song during end credits', 'party invitation', 'bangle', 'racist language', 'tiger', 'reference to mythology', 'flashback', 'abbreviation in title', 'language barrier', 'year 1920', 'wife', 'epic', 'mission', 'revolution', 'stunts', 'punishment', 'protest', 'best friends', 'fiancee', 'death sentence', 'woods', 'arms shipment', 'workout', 'delhi', 'tnt', 'voiceover', 'injury', 'epic action', 'anger', 'regret', 'promise', 'misunderstanding', 'little girl', 'hiding', 'backstory', "carrying someone on one's shoulders", 'two protagonists', 'based on real people', 'hero', 'army', 'pike', 'bare chested male', 'muscular man', 'male objectification', 'hairy chest', 'wet male', 'cgi animal in live action film', 'horse', 'wolf', 'british raj', 'train explosion', 'death of mother', 'death of father', 'based on true story']</t>
  </si>
  <si>
    <t>tt0119008</t>
  </si>
  <si>
    <t>Donnie Brasco</t>
  </si>
  <si>
    <t>['Biography', 'Crime', 'Drama']</t>
  </si>
  <si>
    <t>['mafia', 'dismembering a dead body', 'fbi agent', 'money', 'cutting off a leg', 'racial slur', 'singer', 'airplane', 'stripper', 'weightlifting', 'pier', 'hospital', 'colombian', 'police arrest', 'neglected wife', 'corrupt police', 'duct tape over mouth', 'sex on stairs', 'strip club', 'mobster', 'domestic violence', 'police brutality', 'dismemberment', 'based on true story', 'envelope of money', 'watching tv', 'masked man', 'character name as title', 'nylon feet', 'homophobic slur', 'work life versus family life', 'work life balance', 'fbi federal bureau of investigation', 'american mafia', 'cosa nostra', 'bonanno crime family', 'little italy manhattan new york city', 'florida', 'capo', 'caporegime', 'social club', 'undercover fbi agent', 'fbi stakeout', 'fbi surveillance', 'surveillance photograph', 'fbi investigation', 'undercover investigation', 'undercover operation', 'italian american family', 'catholic family', 'fake diamond', 'fugazi', 'strip club owner', 'male drug addict', 'undercover as criminal', 'disguised as a gangster', 'pretending to be a gangster', 'mob violence', 'power struggle', 'mob hit', 'gangland hit', 'gangland murder', 'gangland execution', 'gangster murders fellow gangster', 'rival gangsters', 'murder of a gangster', 'death of gangster', 'reference to carmine galante', 'reference to philip rastelli', 'drug deal', 'disco age', 'bag of cocaine', 'colombian drug dealer', 'major drug dealer', 'motel room', 'mafia boss', 'mob boss', 'mafia don', 'crime boss', 'new yorker', 'truck hijacking', 'hijacking a truck', 'reference to world war two', 'wearing a wire', 'awarded a medal', 'mob hitman', 'shot with a shotgun', 'killed with a shotgun', 'shot dead', 'shot and killed', 'wiretap', 'listening device', 'hammer as a weapon', 'cutting up a dead body', 'electronic surveillance', 'miami', 'nightclub', 'pet lion', 'beretta 92fs', 'm1911 pistol', 'beretta m1934', 'smith &amp; wesson model 39', 'smith &amp; wesson model 36', 'cz 75', 'remington 870', 'remington 870 shotgun', 'double barreled shotgun', 'sawed off shotgun', 'double barreled sawed off shotgun', 'sawed off double barreled shotgun', 'ithaca 37', 'ambush', 'fat mafioso', 'phone booth', 'pay phone', 'diamond ring', 'drinking in a bar', 'porsche 911', 'shaving foam', 'husband wife sex', 'coup de ville', 'feeding a lion', 'ski mask', 'robber wearing a ski mask', 'disco dancing', 'mentor protege relationship', 'playing tennis', 'opening night', 'jail', 'jail cell', 'drinking beer from a can', 'protege betrays mentor', 'catholic', 'gun range', 'shooting range', 'cigarette', 'timeframe 1970s', 'gangster crime', 'undercover', 'mole', 'new york city', 'marriage', '1970s', 'true crime', 'finger gun', 'ethnic slur', 'racial violence', 'hijacking', 'dancing', 'stage', 'singing', 'playing cards', 'hitman', 'bra', 'christmas tree', 'siren', 'surveillance', 'camera', 'cafe', 'photograph', 'set up', 'hit', 'snitch', 'handcuffs', 'nurse', 'boat', 'fishing', 'covert', 'cocaine', 'drug dealer', 'tennis', 'greyhound racing', 'beach', 'firing range', 'video cassette', 'face slap', 'reference to chaka khan', 'police bust', 'marriage counselor', 'police officer', 'district attorney', 'reference to mickey mantle', 'audio cassette', 'mother son relationship', 'manhattan new york city', 'courtroom', "men's bathroom", 'car key', 'cheque', 'gold medal', 'title appears in text', 'target practice', 'pool table', 'tool shed', 'swimming pool', 'breaking a mirror', 'criminal syndicate', 'knocked out with a gun butt', 'shotgun', 'shot in the stomach', 'reference to john d rockefeller', 'psychiatry', 'airport', 'bikini', 'reference to raquel welch', 'convenience store', 'bare chested male', 'stealing money', 'tennis court', 'hotel', 'knife', 'garbage can', 'hit with a hammer', 'shaving cream', 'lounge singer', 'williamsburg bridge', 'mugshot', 'tape recorder', 'reflection in car mirror', 'father daughter relationship', 'santa claus hat', 'brooklyn bridge', 'blood on shirt', 'reference to jesus christ', 'hundred dollar bill', 'storytelling', 'barbershop', 'typewriter', 'hot wiring a car', 'porsche', 'punched in the face', 'beaten to death', 'bar', 'losing weight', 'husband wife relationship', 'stakeout', 'fake mustache', 'pistol', 'year 1978', 'christmas decorations', 'threatened with a knife', 'held at gunpoint', 'video footage', 'special agent', 'blood splatter', 'empire state building manhattan new york city', 'reference to john wayne', 'violence', 'waiter', 'mentor', 'japanese restaurant', 'christmas', 'italian american cop', 'italian american', 'organized crime', 'marital strife', 'telephone booth', 'yacht', 'witness protection', 'restaurant', 'police raid', 'murder', 'miami florida', 'gangster', 'gambling', 'father son relationship', 'drugs', 'drug addict', 'diamond', 'beating', 'undercover agent', 'shot to death', 'shot in the chest', 'severed foot', 'death', 'corpse', 'stabbed in the back', 'shot in the leg', 'shot in the head', 'blood', 'betrayal', 'lion', 'loyalty', 'police', 'neo noir', 'based on book', 'surprise ending', 'american flag', 'unsubtitled foreign language', 'cigarette smoking', 'reference to open sesame incantation', 'racism']</t>
  </si>
  <si>
    <t>tt1605783</t>
  </si>
  <si>
    <t>Midnight in Paris</t>
  </si>
  <si>
    <t>['Comedy', 'Fantasy', 'Romance']</t>
  </si>
  <si>
    <t>tt4080728</t>
  </si>
  <si>
    <t>A Man Called Ove</t>
  </si>
  <si>
    <t>tt0104684</t>
  </si>
  <si>
    <t>Hard Boiled</t>
  </si>
  <si>
    <t>['Action', 'Crime', 'Thriller']</t>
  </si>
  <si>
    <t>2</t>
  </si>
  <si>
    <t>tt1855199</t>
  </si>
  <si>
    <t>End of Watch</t>
  </si>
  <si>
    <t>2012</t>
  </si>
  <si>
    <t>['Action', 'Adventure', 'Crime', 'Drama', 'Thriller']</t>
  </si>
  <si>
    <t>109</t>
  </si>
  <si>
    <t>tt0093409</t>
  </si>
  <si>
    <t>Lethal Weapon</t>
  </si>
  <si>
    <t>1987</t>
  </si>
  <si>
    <t>tt0097733</t>
  </si>
  <si>
    <t>Lethal Weapon 2</t>
  </si>
  <si>
    <t>1989</t>
  </si>
  <si>
    <t>114</t>
  </si>
  <si>
    <t>tt10954984</t>
  </si>
  <si>
    <t>Nope</t>
  </si>
  <si>
    <t>2022</t>
  </si>
  <si>
    <t>['Horror', 'Mystery', 'Sci-Fi', 'Thriller']</t>
  </si>
  <si>
    <t>130</t>
  </si>
  <si>
    <t>tt16360006</t>
  </si>
  <si>
    <t>Bubble</t>
  </si>
  <si>
    <t>['Animation', 'Action', 'Adventure', 'Drama', 'Fantasy', 'Romance', 'Sport', 'Thriller']</t>
  </si>
  <si>
    <t>tt1745960</t>
  </si>
  <si>
    <t>Top Gun: Maverick</t>
  </si>
  <si>
    <t>['Action','Drama']</t>
  </si>
  <si>
    <t>tt0092099</t>
  </si>
  <si>
    <t>Top Gun</t>
  </si>
  <si>
    <t>tt0105417</t>
  </si>
  <si>
    <t>Sister Act</t>
  </si>
  <si>
    <t>['Comedy', 'Family', 'Music']</t>
  </si>
  <si>
    <t>tt0177789</t>
  </si>
  <si>
    <t>Galaxy Quest</t>
  </si>
  <si>
    <t>['Comedy', 'Adventure', Sci-Fi']</t>
  </si>
  <si>
    <t>tt0266697</t>
  </si>
  <si>
    <t>Kill Bill: Vol. 1</t>
  </si>
  <si>
    <t>tt0378194</t>
  </si>
  <si>
    <t>Kill Bill: Vol. 2</t>
  </si>
  <si>
    <t>tt1440292</t>
  </si>
  <si>
    <t>Submarine</t>
  </si>
  <si>
    <t>tt0390384</t>
  </si>
  <si>
    <t>Primer</t>
  </si>
  <si>
    <t>['Drama', 'Sci-Fi', 'Thriller']</t>
  </si>
  <si>
    <t>tt1016150</t>
  </si>
  <si>
    <t>All Quiet on the Western Front</t>
  </si>
  <si>
    <t>['Action', 'Drama', 'War']</t>
  </si>
  <si>
    <t>tt6966692</t>
  </si>
  <si>
    <t>Green Book</t>
  </si>
  <si>
    <t>['Biography', 'Comedy', 'Drama']</t>
  </si>
  <si>
    <t>tt0106697</t>
  </si>
  <si>
    <t>Demolition Man</t>
  </si>
  <si>
    <t>tt0116705</t>
  </si>
  <si>
    <t>Jingle All the Way</t>
  </si>
  <si>
    <t>['Adventure', 'Comedy', 'Family']</t>
  </si>
  <si>
    <t>tt10999120</t>
  </si>
  <si>
    <t>Spirited</t>
  </si>
  <si>
    <t>['Comedy', 'Family', 'Musical']</t>
  </si>
  <si>
    <t>tt0272020</t>
  </si>
  <si>
    <t>The Last Castle</t>
  </si>
  <si>
    <t>['Action', 'Drama', 'Thriller']</t>
  </si>
  <si>
    <t>tt7984734</t>
  </si>
  <si>
    <t>The Lighthouse</t>
  </si>
  <si>
    <t>['Comedy', 'Drama', 'Fantasy', 'Mystery', 'Thriller']</t>
  </si>
  <si>
    <t>tt0240468</t>
  </si>
  <si>
    <t>Kung Pow: Enter the Fist</t>
  </si>
  <si>
    <t>['Comedy', 'Action']</t>
  </si>
  <si>
    <t>tt0095159</t>
  </si>
  <si>
    <t>A Fish Called Wanda</t>
  </si>
  <si>
    <t>['Comedy', 'Crime']</t>
  </si>
  <si>
    <t>tt0455944</t>
  </si>
  <si>
    <t>The Equalizer</t>
  </si>
  <si>
    <t>tt0106308</t>
  </si>
  <si>
    <t>Army of Darkness</t>
  </si>
  <si>
    <t>['Comedy', 'Horror']</t>
  </si>
  <si>
    <t>tt5700672</t>
  </si>
  <si>
    <t>Train to Busan</t>
  </si>
  <si>
    <t>['Action', 'Horror', 'Thriller']</t>
  </si>
  <si>
    <t>tt11271038</t>
  </si>
  <si>
    <t>Licorice Pizza</t>
  </si>
  <si>
    <t>tt0120201</t>
  </si>
  <si>
    <t>Starship Troopers</t>
  </si>
  <si>
    <t>tt0096256</t>
  </si>
  <si>
    <t>They Live</t>
  </si>
  <si>
    <t>['Action', 'Horror', 'Sci-Fi', 'Thriller']</t>
  </si>
  <si>
    <t>tt26761382</t>
  </si>
  <si>
    <t>Japanese Toilets</t>
  </si>
  <si>
    <t>tt0387808</t>
  </si>
  <si>
    <t>Idiocracy</t>
  </si>
  <si>
    <t>['Adventure', 'Comedy', 'Sci-Fi']</t>
  </si>
  <si>
    <t>tt6491178</t>
  </si>
  <si>
    <t>Dragged Across Concrete</t>
  </si>
  <si>
    <t>tt2119532</t>
  </si>
  <si>
    <t>Hacksaw Ridge</t>
  </si>
  <si>
    <t>['Biography', 'Drama', 'History', 'War']</t>
  </si>
  <si>
    <t>tt11291274</t>
  </si>
  <si>
    <t>Unbearable weight of massive talent</t>
  </si>
  <si>
    <t>tt1499666</t>
  </si>
  <si>
    <t>Castaway on the Moon</t>
  </si>
  <si>
    <t>tt11976532</t>
  </si>
  <si>
    <t>Vengeance</t>
  </si>
  <si>
    <t>['Comedy', 'Music', 'Mystery', 'Thriller']</t>
  </si>
  <si>
    <t>tt0291341</t>
  </si>
  <si>
    <t>Mean Machine</t>
  </si>
  <si>
    <t>['Comedy', 'Crime', 'Drama', 'Sport']</t>
  </si>
  <si>
    <t>tt6791350</t>
  </si>
  <si>
    <t>Guardians of the Galaxy Vol. 3</t>
  </si>
  <si>
    <t>['Action', 'Adventure', 'Comedy', 'Sci-Fi']</t>
  </si>
  <si>
    <t>tt1990314</t>
  </si>
  <si>
    <t>Robot &amp; Frank</t>
  </si>
  <si>
    <t>['Comedy', 'Crime', 'Drama', 'Sci-Fi']</t>
  </si>
  <si>
    <t>tt4873118</t>
  </si>
  <si>
    <t>The Covenant</t>
  </si>
  <si>
    <t>['Action', 'Thriller', 'War']</t>
  </si>
  <si>
    <t>tt10288566</t>
  </si>
  <si>
    <t>Another Round</t>
  </si>
  <si>
    <t>['Drama']</t>
  </si>
  <si>
    <t>3</t>
  </si>
  <si>
    <t>tt0119116</t>
  </si>
  <si>
    <t>The Fifth Element</t>
  </si>
  <si>
    <t>1997</t>
  </si>
  <si>
    <t>126</t>
  </si>
  <si>
    <t>tt0800039</t>
  </si>
  <si>
    <t>Forgetting Sarah Marshall</t>
  </si>
  <si>
    <t>tt0061512</t>
  </si>
  <si>
    <t>Cool Hand Luke</t>
  </si>
  <si>
    <t>['Crime', 'Drama']</t>
  </si>
  <si>
    <t>tt6352564</t>
  </si>
  <si>
    <t>Peter Pan Goes Wrong</t>
  </si>
  <si>
    <t>tt0034583</t>
  </si>
  <si>
    <t>Casablanca</t>
  </si>
  <si>
    <t>['Romance', 'Drama', 'War']</t>
  </si>
  <si>
    <t>tt0117381</t>
  </si>
  <si>
    <t>Primal Fear</t>
  </si>
  <si>
    <t>tt3915174</t>
  </si>
  <si>
    <t>Puss in Boots: The Last Wish</t>
  </si>
  <si>
    <t>['Animation', 'Adventure', 'Comedy', 'Family']</t>
  </si>
  <si>
    <t xml:space="preserve">tt0057012 </t>
  </si>
  <si>
    <t>Dr. Strangelove or: How I Learned to Stop Worrying and Love the Bomb</t>
  </si>
  <si>
    <t>['Comedy', 'War']</t>
  </si>
  <si>
    <t>tt13375076</t>
  </si>
  <si>
    <t>The Pope's Exorcist</t>
  </si>
  <si>
    <t>['Horror', 'Thriller']</t>
  </si>
  <si>
    <t>tt0071230</t>
  </si>
  <si>
    <t>Blazing Saddles</t>
  </si>
  <si>
    <t>['Comedy', 'Western']</t>
  </si>
  <si>
    <t>tt10275534</t>
  </si>
  <si>
    <t>To Catch a Killer</t>
  </si>
  <si>
    <t xml:space="preserve">Joris </t>
  </si>
  <si>
    <t>tt0069697</t>
  </si>
  <si>
    <t>Watch Out, We're Mad</t>
  </si>
  <si>
    <t>tt0097441</t>
  </si>
  <si>
    <t>Glory</t>
  </si>
  <si>
    <t>tt0078748</t>
  </si>
  <si>
    <t>Alien</t>
  </si>
  <si>
    <t>['Horror', 'Sci-Fi']</t>
  </si>
  <si>
    <t>tt5052448</t>
  </si>
  <si>
    <t>Get Out</t>
  </si>
  <si>
    <t>['Horror', 'Mystery', 'Thriller']</t>
  </si>
  <si>
    <t>tt3289956</t>
  </si>
  <si>
    <t>The Autopsy of Jane Doe</t>
  </si>
  <si>
    <t>tt3235888</t>
  </si>
  <si>
    <t>It Follows</t>
  </si>
  <si>
    <t>tt0437863</t>
  </si>
  <si>
    <t>The Benchwarmers</t>
  </si>
  <si>
    <t>['Comedy', 'Sport']</t>
  </si>
  <si>
    <t>tt0168122</t>
  </si>
  <si>
    <t>Pirates of Silicon Valley</t>
  </si>
  <si>
    <t xml:space="preserve">tt0092005 </t>
  </si>
  <si>
    <t xml:space="preserve">Stand by Me </t>
  </si>
  <si>
    <t xml:space="preserve">['Adventure', 'Comedy', 'Drama'] </t>
  </si>
  <si>
    <t>tt2582802</t>
  </si>
  <si>
    <t>Whiplash</t>
  </si>
  <si>
    <t>tt1386588</t>
  </si>
  <si>
    <t>The Other Guys</t>
  </si>
  <si>
    <t>tt11858890</t>
  </si>
  <si>
    <t>The Creator</t>
  </si>
  <si>
    <t>['Action', 'Adventure', 'Drama', 'Sci-Fi', 'Thriller']</t>
  </si>
  <si>
    <t>tt0104940</t>
  </si>
  <si>
    <t>The Muppet Christmas Carol</t>
  </si>
  <si>
    <t>['Comedy', 'Drama', 'Family', 'Fantasy', 'Musical']</t>
  </si>
  <si>
    <t>tt0377092</t>
  </si>
  <si>
    <t>Mean Girls</t>
  </si>
  <si>
    <t>tt0053604</t>
  </si>
  <si>
    <t>The Apartment</t>
  </si>
  <si>
    <t>tt0368226</t>
  </si>
  <si>
    <t>The Room</t>
  </si>
  <si>
    <t>tt0366551</t>
  </si>
  <si>
    <t>Harold &amp; Kumar Go to White Castle</t>
  </si>
  <si>
    <t>2004</t>
  </si>
  <si>
    <t>['Adventure', 'Comedy']</t>
  </si>
  <si>
    <t>88</t>
  </si>
  <si>
    <t>tt0111001</t>
  </si>
  <si>
    <t>The Road to Wellville</t>
  </si>
  <si>
    <t>['Comedy', 'Drama']</t>
  </si>
  <si>
    <t>tt5537002</t>
  </si>
  <si>
    <t>Killers of the Flower Moon</t>
  </si>
  <si>
    <t>2023</t>
  </si>
  <si>
    <t>['Crime', 'Drama', 'History']</t>
  </si>
  <si>
    <t>206</t>
  </si>
  <si>
    <t>tt0435761</t>
  </si>
  <si>
    <t>Toy Story 3</t>
  </si>
  <si>
    <t>['Animation', 'Adventure', 'Comedy', 'Family', 'Fantasy']</t>
  </si>
  <si>
    <t>tt10638522</t>
  </si>
  <si>
    <t>Talk to Me</t>
  </si>
  <si>
    <t>tt17351924</t>
  </si>
  <si>
    <t>Saltburn</t>
  </si>
  <si>
    <t>tt0465602</t>
  </si>
  <si>
    <t>Shoot 'Em Up</t>
  </si>
  <si>
    <t>['Action', 'Comedy', 'Thriller']</t>
  </si>
  <si>
    <t>tt15239678</t>
  </si>
  <si>
    <t>Dune: Part Two</t>
  </si>
  <si>
    <t>tt0086960</t>
  </si>
  <si>
    <t>Beverly Hills Cop</t>
  </si>
  <si>
    <t>tba</t>
  </si>
  <si>
    <t>tt0306047</t>
  </si>
  <si>
    <t>Scary Movie 3</t>
  </si>
  <si>
    <t>tt0070239</t>
  </si>
  <si>
    <t>Jesus Christ Superstar</t>
  </si>
  <si>
    <t>['Drama', 'History', 'Musical']</t>
  </si>
  <si>
    <t>4</t>
  </si>
  <si>
    <t>tt20330434</t>
  </si>
  <si>
    <t>The Crime Is Mine</t>
  </si>
  <si>
    <t>102</t>
  </si>
  <si>
    <t>tt3359350</t>
  </si>
  <si>
    <t>Road House</t>
  </si>
  <si>
    <t>tt0250223</t>
  </si>
  <si>
    <t>Asterix &amp; Obelix: Mission Cleopatra</t>
  </si>
  <si>
    <t>['Adventure', 'Comedy', 'Family', 'Fantasy']</t>
  </si>
  <si>
    <t>tt0144084</t>
  </si>
  <si>
    <t>American Psycho</t>
  </si>
  <si>
    <t>['Crime', 'Drama', 'Horror']</t>
  </si>
  <si>
    <t>tt1259528</t>
  </si>
  <si>
    <t>Den of Thieves</t>
  </si>
  <si>
    <t>tt0112442</t>
  </si>
  <si>
    <t>Bad Boys</t>
  </si>
  <si>
    <t>tt0095705</t>
  </si>
  <si>
    <t>The Naked Gun: From the Files of Police Squad!</t>
  </si>
  <si>
    <t>tt0129332</t>
  </si>
  <si>
    <t>Ravenous</t>
  </si>
  <si>
    <t>['Adventure', 'Drama', 'Horror', 'Western']</t>
  </si>
  <si>
    <t>tt12037194</t>
  </si>
  <si>
    <t>Furiosa: A Mad Max Saga</t>
  </si>
  <si>
    <t>tt8367814</t>
  </si>
  <si>
    <t>The Gentlemen</t>
  </si>
  <si>
    <t>['Action', 'Crime']</t>
  </si>
  <si>
    <t>tt0097815</t>
  </si>
  <si>
    <t>Major League</t>
  </si>
  <si>
    <t>Gezien?</t>
  </si>
  <si>
    <t>History</t>
  </si>
  <si>
    <t>Sport</t>
  </si>
  <si>
    <t>Count of Genre</t>
  </si>
  <si>
    <t>Jaartallen</t>
  </si>
  <si>
    <t>Primair</t>
  </si>
  <si>
    <t>Secundair</t>
  </si>
  <si>
    <t>Sum</t>
  </si>
  <si>
    <t>Gemiddelde</t>
  </si>
  <si>
    <t>Min</t>
  </si>
  <si>
    <t>Max</t>
  </si>
  <si>
    <t>Duur in Minuten</t>
  </si>
  <si>
    <t>Genre Representatie</t>
  </si>
  <si>
    <t>Genre diversiteit</t>
  </si>
  <si>
    <t>Gekozen genres</t>
  </si>
  <si>
    <t>Genre Meister</t>
  </si>
  <si>
    <t>Avontuurlijkheid Score</t>
  </si>
  <si>
    <t>Gemiddeld</t>
  </si>
  <si>
    <t>Comfort score</t>
  </si>
  <si>
    <t>Ronde</t>
  </si>
  <si>
    <t>1</t>
  </si>
  <si>
    <t>5</t>
  </si>
  <si>
    <t>6</t>
  </si>
  <si>
    <t>7</t>
  </si>
  <si>
    <t>8</t>
  </si>
  <si>
    <t>9</t>
  </si>
  <si>
    <t>10</t>
  </si>
  <si>
    <t>11</t>
  </si>
  <si>
    <t>12</t>
  </si>
  <si>
    <t>Sum of Genre</t>
  </si>
  <si>
    <t>Totaal</t>
  </si>
  <si>
    <t>Team</t>
  </si>
  <si>
    <t>Standaard Deviatie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</si>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</sst>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yyyy/mm/dd;@"/>
  </numFmts>
  <fonts count="10">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theme="1"/>
      <name val="Calibri"/>
      <family val="2"/>
      <scheme val="minor"/>
    </font>
    <font>
      <sz val="11"/>
      <name val="Calibri"/>
      <family val="2"/>
      <scheme val="minor"/>
    </font>
    <font>
      <b/>
      <u/>
      <sz val="11"/>
      <color theme="1"/>
      <name val="Calibri"/>
      <family val="2"/>
      <scheme val="minor"/>
    </font>
    <font>
      <b/>
      <i/>
      <u/>
      <sz val="11"/>
      <color theme="1"/>
      <name val="Calibri"/>
      <family val="2"/>
      <scheme val="minor"/>
    </font>
    <font>
      <sz val="11"/>
      <color rgb="FF000000"/>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theme="0"/>
        <bgColor indexed="64"/>
      </patternFill>
    </fill>
    <fill>
      <patternFill patternType="solid">
        <fgColor theme="0" tint="-0.14999847407452621"/>
        <bgColor theme="0" tint="-0.1499984740745262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39">
    <xf numFmtId="0" fontId="0" fillId="0" borderId="0" xfId="0"/>
    <xf numFmtId="0" fontId="1" fillId="0" borderId="0" xfId="0" applyFont="1"/>
    <xf numFmtId="0" fontId="3" fillId="0" borderId="0" xfId="1"/>
    <xf numFmtId="1" fontId="0" fillId="0" borderId="0" xfId="0" applyNumberFormat="1"/>
    <xf numFmtId="0" fontId="1" fillId="3" borderId="1" xfId="0" applyFont="1" applyFill="1" applyBorder="1" applyAlignment="1">
      <alignment horizontal="left"/>
    </xf>
    <xf numFmtId="0" fontId="0" fillId="0" borderId="0" xfId="0" applyAlignment="1">
      <alignment horizontal="left"/>
    </xf>
    <xf numFmtId="16" fontId="0" fillId="0" borderId="0" xfId="0" applyNumberFormat="1" applyAlignment="1">
      <alignment horizontal="left"/>
    </xf>
    <xf numFmtId="16" fontId="0" fillId="2" borderId="0" xfId="0" applyNumberFormat="1" applyFill="1" applyAlignment="1">
      <alignment horizontal="left"/>
    </xf>
    <xf numFmtId="0" fontId="0" fillId="2" borderId="0" xfId="0" applyFill="1" applyAlignment="1">
      <alignment horizontal="left"/>
    </xf>
    <xf numFmtId="16" fontId="1" fillId="0" borderId="0" xfId="0" applyNumberFormat="1" applyFont="1" applyAlignment="1">
      <alignment horizontal="left"/>
    </xf>
    <xf numFmtId="0" fontId="1" fillId="0" borderId="0" xfId="0" applyFont="1" applyAlignment="1">
      <alignment horizontal="left"/>
    </xf>
    <xf numFmtId="0" fontId="0" fillId="4" borderId="0" xfId="0" applyFill="1"/>
    <xf numFmtId="9" fontId="0" fillId="0" borderId="0" xfId="2" applyFont="1"/>
    <xf numFmtId="0" fontId="5" fillId="0" borderId="0" xfId="0" applyFont="1" applyAlignment="1">
      <alignment horizontal="left"/>
    </xf>
    <xf numFmtId="0" fontId="1" fillId="3" borderId="2" xfId="0" applyFont="1" applyFill="1" applyBorder="1" applyAlignment="1">
      <alignment horizontal="left"/>
    </xf>
    <xf numFmtId="9" fontId="0" fillId="0" borderId="0" xfId="2" applyFont="1" applyAlignment="1">
      <alignment horizontal="left"/>
    </xf>
    <xf numFmtId="9" fontId="0" fillId="5" borderId="0" xfId="2" applyFont="1" applyFill="1"/>
    <xf numFmtId="12" fontId="0" fillId="0" borderId="0" xfId="0" applyNumberFormat="1" applyAlignment="1">
      <alignment horizontal="left"/>
    </xf>
    <xf numFmtId="2" fontId="0" fillId="0" borderId="0" xfId="2" applyNumberFormat="1" applyFont="1"/>
    <xf numFmtId="164" fontId="0" fillId="0" borderId="0" xfId="0" applyNumberFormat="1"/>
    <xf numFmtId="49" fontId="0" fillId="0" borderId="0" xfId="0" applyNumberFormat="1" applyAlignment="1">
      <alignment horizontal="left"/>
    </xf>
    <xf numFmtId="49" fontId="5" fillId="0" borderId="0" xfId="0" applyNumberFormat="1" applyFont="1" applyAlignment="1">
      <alignment horizontal="left"/>
    </xf>
    <xf numFmtId="164" fontId="0" fillId="0" borderId="0" xfId="0" applyNumberFormat="1" applyAlignment="1">
      <alignment horizontal="right"/>
    </xf>
    <xf numFmtId="10" fontId="0" fillId="0" borderId="0" xfId="2" applyNumberFormat="1" applyFont="1"/>
    <xf numFmtId="0" fontId="8" fillId="0" borderId="0" xfId="0" applyFont="1" applyAlignment="1">
      <alignment horizontal="left"/>
    </xf>
    <xf numFmtId="165" fontId="0" fillId="2" borderId="0" xfId="0" applyNumberFormat="1" applyFill="1" applyAlignment="1">
      <alignment horizontal="right"/>
    </xf>
    <xf numFmtId="0" fontId="9" fillId="0" borderId="0" xfId="0" applyFont="1" applyAlignment="1">
      <alignment horizontal="left"/>
    </xf>
    <xf numFmtId="0" fontId="9" fillId="0" borderId="0" xfId="0" applyFont="1" applyAlignment="1">
      <alignment vertical="top" wrapText="1"/>
    </xf>
    <xf numFmtId="166"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164"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1" fontId="1" fillId="3" borderId="1" xfId="0" applyNumberFormat="1" applyFont="1" applyFill="1" applyBorder="1" applyAlignment="1">
      <alignment horizontal="left"/>
    </xf>
    <xf numFmtId="1" fontId="0" fillId="0" borderId="0" xfId="0" applyNumberFormat="1" applyAlignment="1">
      <alignment horizontal="left"/>
    </xf>
    <xf numFmtId="0" fontId="7" fillId="0" borderId="0" xfId="0" applyFont="1" applyAlignment="1"/>
  </cellXfs>
  <cellStyles count="3">
    <cellStyle name="Hyperlink" xfId="1" builtinId="8"/>
    <cellStyle name="Normal" xfId="0" builtinId="0"/>
    <cellStyle name="Per cent" xfId="2" builtinId="5"/>
  </cellStyles>
  <dxfs count="5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left" vertical="bottom" textRotation="0" wrapText="0" indent="0" justifyLastLine="0" shrinkToFit="0" readingOrder="0"/>
    </dxf>
    <dxf>
      <numFmt numFmtId="17" formatCode="#\ ?/?"/>
      <alignment horizontal="left" vertical="bottom" textRotation="0" wrapText="0" indent="0" justifyLastLine="0" shrinkToFit="0" readingOrder="0"/>
    </dxf>
    <dxf>
      <numFmt numFmtId="17" formatCode="#\ ?/?"/>
      <alignment horizontal="left" vertical="bottom" textRotation="0" wrapText="0" indent="0" justifyLastLine="0" shrinkToFit="0" readingOrder="0"/>
    </dxf>
    <dxf>
      <numFmt numFmtId="1" formatCode="0"/>
      <alignment horizontal="left"/>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yyyy/mm/dd;@"/>
      <alignment horizontal="left" vertical="bottom" textRotation="0" wrapText="0" indent="0" justifyLastLine="0" shrinkToFit="0" readingOrder="0"/>
    </dxf>
    <dxf>
      <numFmt numFmtId="166" formatCode="yyyy/mm/dd;@"/>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bottom style="thin">
          <color rgb="FF000000"/>
        </bottom>
      </border>
    </dxf>
    <dxf>
      <alignment horizontal="left"/>
    </dxf>
    <dxf>
      <font>
        <b/>
      </font>
      <fill>
        <patternFill patternType="solid">
          <fgColor indexed="64"/>
          <bgColor rgb="FFC6E0B4"/>
        </patternFill>
      </fill>
      <alignment horizontal="left"/>
      <border>
        <left style="thin">
          <color rgb="FF000000"/>
        </left>
        <right style="thin">
          <color rgb="FF000000"/>
        </right>
        <top/>
        <bottom/>
        <vertical style="thin">
          <color rgb="FF000000"/>
        </vertical>
        <horizontal style="thin">
          <color rgb="FF000000"/>
        </horizontal>
      </border>
    </dxf>
    <dxf>
      <alignment horizontal="left" vertical="bottom" textRotation="0" wrapText="0" indent="0" justifyLastLine="0" shrinkToFit="0" readingOrder="0"/>
    </dxf>
    <dxf>
      <numFmt numFmtId="30" formatCode="@"/>
      <alignment horizontal="left"/>
    </dxf>
    <dxf>
      <alignment horizontal="left"/>
    </dxf>
    <dxf>
      <alignment horizontal="left"/>
    </dxf>
    <dxf>
      <alignment horizontal="left"/>
    </dxf>
    <dxf>
      <alignment horizontal="left"/>
    </dxf>
    <dxf>
      <font>
        <b val="0"/>
        <i val="0"/>
        <strike val="0"/>
        <condense val="0"/>
        <extend val="0"/>
        <outline val="0"/>
        <shadow val="0"/>
        <u val="none"/>
        <vertAlign val="baseline"/>
        <sz val="11"/>
        <color theme="1"/>
        <name val="Calibri"/>
        <family val="2"/>
        <scheme val="minor"/>
      </font>
      <alignment horizontal="left"/>
    </dxf>
    <dxf>
      <font>
        <b val="0"/>
        <i val="0"/>
        <strike val="0"/>
        <condense val="0"/>
        <extend val="0"/>
        <outline val="0"/>
        <shadow val="0"/>
        <u val="none"/>
        <vertAlign val="baseline"/>
        <sz val="11"/>
        <color theme="1"/>
        <name val="Calibri"/>
        <family val="2"/>
        <scheme val="minor"/>
      </font>
      <numFmt numFmtId="167" formatCode="dd\-mmm"/>
      <alignment horizontal="left"/>
    </dxf>
    <dxf>
      <alignment horizontal="left" vertical="bottom" textRotation="0" wrapText="0" indent="0" justifyLastLine="0" shrinkToFit="0" readingOrder="0"/>
    </dxf>
    <dxf>
      <font>
        <b val="0"/>
      </font>
      <alignment horizontal="left"/>
    </dxf>
    <dxf>
      <border>
        <bottom style="thin">
          <color rgb="FF000000"/>
        </bottom>
      </border>
    </dxf>
    <dxf>
      <alignment horizontal="left"/>
    </dxf>
    <dxf>
      <font>
        <b/>
      </font>
      <fill>
        <patternFill patternType="solid">
          <fgColor indexed="64"/>
          <bgColor rgb="FFC6E0B4"/>
        </patternFill>
      </fill>
      <alignment horizontal="left"/>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'Legacy Berekeningen'!$B$2</c:f>
              <c:strCache>
                <c:ptCount val="1"/>
                <c:pt idx="0">
                  <c:v>Primair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Berekeningen'!$A$3:$A$21</c:f>
              <c:strCache>
                <c:ptCount val="19"/>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c:v>
                </c:pt>
                <c:pt idx="12">
                  <c:v>Mystery</c:v>
                </c:pt>
                <c:pt idx="13">
                  <c:v>Romance</c:v>
                </c:pt>
                <c:pt idx="14">
                  <c:v>Sci-Fi</c:v>
                </c:pt>
                <c:pt idx="15">
                  <c:v>Sport</c:v>
                </c:pt>
                <c:pt idx="16">
                  <c:v>Thriller</c:v>
                </c:pt>
                <c:pt idx="17">
                  <c:v>War</c:v>
                </c:pt>
                <c:pt idx="18">
                  <c:v>Western</c:v>
                </c:pt>
              </c:strCache>
            </c:strRef>
          </c:cat>
          <c:val>
            <c:numRef>
              <c:f>'Legacy Berekeningen'!$B$3:$B$21</c:f>
              <c:numCache>
                <c:formatCode>General</c:formatCode>
                <c:ptCount val="19"/>
                <c:pt idx="0">
                  <c:v>17</c:v>
                </c:pt>
                <c:pt idx="1">
                  <c:v>2</c:v>
                </c:pt>
                <c:pt idx="2">
                  <c:v>4</c:v>
                </c:pt>
                <c:pt idx="3">
                  <c:v>2</c:v>
                </c:pt>
                <c:pt idx="4">
                  <c:v>5</c:v>
                </c:pt>
                <c:pt idx="5">
                  <c:v>6</c:v>
                </c:pt>
                <c:pt idx="6">
                  <c:v>1</c:v>
                </c:pt>
                <c:pt idx="7">
                  <c:v>6</c:v>
                </c:pt>
                <c:pt idx="8">
                  <c:v>0</c:v>
                </c:pt>
                <c:pt idx="9">
                  <c:v>1</c:v>
                </c:pt>
                <c:pt idx="10">
                  <c:v>1</c:v>
                </c:pt>
                <c:pt idx="11">
                  <c:v>1</c:v>
                </c:pt>
                <c:pt idx="12">
                  <c:v>1</c:v>
                </c:pt>
                <c:pt idx="13">
                  <c:v>0</c:v>
                </c:pt>
                <c:pt idx="14">
                  <c:v>2</c:v>
                </c:pt>
                <c:pt idx="15">
                  <c:v>0</c:v>
                </c:pt>
                <c:pt idx="16">
                  <c:v>1</c:v>
                </c:pt>
                <c:pt idx="17">
                  <c:v>1</c:v>
                </c:pt>
                <c:pt idx="18">
                  <c:v>0</c:v>
                </c:pt>
              </c:numCache>
            </c:numRef>
          </c:val>
          <c:extLst>
            <c:ext xmlns:c16="http://schemas.microsoft.com/office/drawing/2014/chart" uri="{C3380CC4-5D6E-409C-BE32-E72D297353CC}">
              <c16:uniqueId val="{00000000-8F4D-4D45-AA10-5C5FEFA0C57B}"/>
            </c:ext>
          </c:extLst>
        </c:ser>
        <c:ser>
          <c:idx val="1"/>
          <c:order val="1"/>
          <c:tx>
            <c:strRef>
              <c:f>'Legacy Berekeningen'!$C$2</c:f>
              <c:strCache>
                <c:ptCount val="1"/>
                <c:pt idx="0">
                  <c:v>Secundair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Berekeningen'!$A$3:$A$21</c:f>
              <c:strCache>
                <c:ptCount val="19"/>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c:v>
                </c:pt>
                <c:pt idx="12">
                  <c:v>Mystery</c:v>
                </c:pt>
                <c:pt idx="13">
                  <c:v>Romance</c:v>
                </c:pt>
                <c:pt idx="14">
                  <c:v>Sci-Fi</c:v>
                </c:pt>
                <c:pt idx="15">
                  <c:v>Sport</c:v>
                </c:pt>
                <c:pt idx="16">
                  <c:v>Thriller</c:v>
                </c:pt>
                <c:pt idx="17">
                  <c:v>War</c:v>
                </c:pt>
                <c:pt idx="18">
                  <c:v>Western</c:v>
                </c:pt>
              </c:strCache>
            </c:strRef>
          </c:cat>
          <c:val>
            <c:numRef>
              <c:f>'Legacy Berekeningen'!$C$3:$C$21</c:f>
              <c:numCache>
                <c:formatCode>General</c:formatCode>
                <c:ptCount val="19"/>
                <c:pt idx="0">
                  <c:v>1</c:v>
                </c:pt>
                <c:pt idx="1">
                  <c:v>6</c:v>
                </c:pt>
                <c:pt idx="2">
                  <c:v>0</c:v>
                </c:pt>
                <c:pt idx="3">
                  <c:v>1</c:v>
                </c:pt>
                <c:pt idx="4">
                  <c:v>8</c:v>
                </c:pt>
                <c:pt idx="5">
                  <c:v>1</c:v>
                </c:pt>
                <c:pt idx="6">
                  <c:v>0</c:v>
                </c:pt>
                <c:pt idx="7">
                  <c:v>17</c:v>
                </c:pt>
                <c:pt idx="8">
                  <c:v>1</c:v>
                </c:pt>
                <c:pt idx="9">
                  <c:v>0</c:v>
                </c:pt>
                <c:pt idx="10">
                  <c:v>2</c:v>
                </c:pt>
                <c:pt idx="11">
                  <c:v>0</c:v>
                </c:pt>
                <c:pt idx="12">
                  <c:v>1</c:v>
                </c:pt>
                <c:pt idx="13">
                  <c:v>2</c:v>
                </c:pt>
                <c:pt idx="14">
                  <c:v>5</c:v>
                </c:pt>
                <c:pt idx="15">
                  <c:v>0</c:v>
                </c:pt>
                <c:pt idx="16">
                  <c:v>4</c:v>
                </c:pt>
                <c:pt idx="17">
                  <c:v>1</c:v>
                </c:pt>
                <c:pt idx="18">
                  <c:v>1</c:v>
                </c:pt>
              </c:numCache>
            </c:numRef>
          </c:val>
          <c:extLst>
            <c:ext xmlns:c16="http://schemas.microsoft.com/office/drawing/2014/chart" uri="{C3380CC4-5D6E-409C-BE32-E72D297353CC}">
              <c16:uniqueId val="{00000001-8F4D-4D45-AA10-5C5FEFA0C57B}"/>
            </c:ext>
          </c:extLst>
        </c:ser>
        <c:dLbls>
          <c:dLblPos val="ctr"/>
          <c:showLegendKey val="0"/>
          <c:showVal val="1"/>
          <c:showCatName val="0"/>
          <c:showSerName val="0"/>
          <c:showPercent val="0"/>
          <c:showBubbleSize val="0"/>
        </c:dLbls>
        <c:gapWidth val="150"/>
        <c:overlap val="100"/>
        <c:axId val="1980890128"/>
        <c:axId val="1980888048"/>
      </c:barChart>
      <c:catAx>
        <c:axId val="198089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888048"/>
        <c:crosses val="autoZero"/>
        <c:auto val="1"/>
        <c:lblAlgn val="ctr"/>
        <c:lblOffset val="100"/>
        <c:noMultiLvlLbl val="0"/>
      </c:catAx>
      <c:valAx>
        <c:axId val="198088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890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Totaal telling genres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0B-4716-AEAC-FB8E9D8148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0B-4716-AEAC-FB8E9D8148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0B-4716-AEAC-FB8E9D8148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0B-4716-AEAC-FB8E9D8148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60B-4716-AEAC-FB8E9D8148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60B-4716-AEAC-FB8E9D8148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60B-4716-AEAC-FB8E9D8148D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60B-4716-AEAC-FB8E9D8148D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60B-4716-AEAC-FB8E9D8148D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60B-4716-AEAC-FB8E9D8148D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60B-4716-AEAC-FB8E9D8148D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60B-4716-AEAC-FB8E9D8148D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60B-4716-AEAC-FB8E9D8148D3}"/>
              </c:ext>
            </c:extLst>
          </c:dPt>
          <c:dPt>
            <c:idx val="13"/>
            <c:bubble3D val="0"/>
            <c:explosion val="3"/>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60B-4716-AEAC-FB8E9D8148D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60B-4716-AEAC-FB8E9D8148D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60B-4716-AEAC-FB8E9D8148D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60B-4716-AEAC-FB8E9D8148D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60B-4716-AEAC-FB8E9D8148D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60B-4716-AEAC-FB8E9D8148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'Legacy Berekeningen'!$A$3:$A$21</c:f>
              <c:strCache>
                <c:ptCount val="19"/>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c:v>
                </c:pt>
                <c:pt idx="12">
                  <c:v>Mystery</c:v>
                </c:pt>
                <c:pt idx="13">
                  <c:v>Romance</c:v>
                </c:pt>
                <c:pt idx="14">
                  <c:v>Sci-Fi</c:v>
                </c:pt>
                <c:pt idx="15">
                  <c:v>Sport</c:v>
                </c:pt>
                <c:pt idx="16">
                  <c:v>Thriller</c:v>
                </c:pt>
                <c:pt idx="17">
                  <c:v>War</c:v>
                </c:pt>
                <c:pt idx="18">
                  <c:v>Western</c:v>
                </c:pt>
              </c:strCache>
            </c:strRef>
          </c:cat>
          <c:val>
            <c:numRef>
              <c:f>'Legacy Berekeningen'!$D$3:$D$21</c:f>
              <c:numCache>
                <c:formatCode>General</c:formatCode>
                <c:ptCount val="19"/>
                <c:pt idx="0">
                  <c:v>18</c:v>
                </c:pt>
                <c:pt idx="1">
                  <c:v>8</c:v>
                </c:pt>
                <c:pt idx="2">
                  <c:v>4</c:v>
                </c:pt>
                <c:pt idx="3">
                  <c:v>3</c:v>
                </c:pt>
                <c:pt idx="4">
                  <c:v>13</c:v>
                </c:pt>
                <c:pt idx="5">
                  <c:v>7</c:v>
                </c:pt>
                <c:pt idx="6">
                  <c:v>1</c:v>
                </c:pt>
                <c:pt idx="7">
                  <c:v>23</c:v>
                </c:pt>
                <c:pt idx="8">
                  <c:v>1</c:v>
                </c:pt>
                <c:pt idx="9">
                  <c:v>1</c:v>
                </c:pt>
                <c:pt idx="10">
                  <c:v>3</c:v>
                </c:pt>
                <c:pt idx="11">
                  <c:v>1</c:v>
                </c:pt>
                <c:pt idx="12">
                  <c:v>2</c:v>
                </c:pt>
                <c:pt idx="13">
                  <c:v>2</c:v>
                </c:pt>
                <c:pt idx="14">
                  <c:v>7</c:v>
                </c:pt>
                <c:pt idx="15">
                  <c:v>0</c:v>
                </c:pt>
                <c:pt idx="16">
                  <c:v>5</c:v>
                </c:pt>
                <c:pt idx="17">
                  <c:v>2</c:v>
                </c:pt>
                <c:pt idx="18">
                  <c:v>1</c:v>
                </c:pt>
              </c:numCache>
            </c:numRef>
          </c:val>
          <c:extLst>
            <c:ext xmlns:c16="http://schemas.microsoft.com/office/drawing/2014/chart" uri="{C3380CC4-5D6E-409C-BE32-E72D297353CC}">
              <c16:uniqueId val="{00000026-360B-4716-AEAC-FB8E9D8148D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Jaar</a:t>
            </a:r>
          </a:p>
        </c:rich>
      </c:tx>
      <c:layout>
        <c:manualLayout>
          <c:xMode val="edge"/>
          <c:yMode val="edge"/>
          <c:x val="0.3900485564304462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'Legacy Berekeningen'!$J$3</c:f>
              <c:strCache>
                <c:ptCount val="1"/>
                <c:pt idx="0">
                  <c:v>Min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Berekeningen'!$K$2:$O$2</c:f>
              <c:strCache>
                <c:ptCount val="5"/>
                <c:pt idx="0">
                  <c:v>Rick</c:v>
                </c:pt>
                <c:pt idx="1">
                  <c:v>Berend</c:v>
                </c:pt>
                <c:pt idx="2">
                  <c:v>Joris</c:v>
                </c:pt>
                <c:pt idx="3">
                  <c:v>Jan</c:v>
                </c:pt>
                <c:pt idx="4">
                  <c:v>Gemiddelde</c:v>
                </c:pt>
              </c:strCache>
            </c:strRef>
          </c:cat>
          <c:val>
            <c:numRef>
              <c:f>'Legacy Berekeningen'!$K$3:$O$3</c:f>
              <c:numCache>
                <c:formatCode>General</c:formatCode>
                <c:ptCount val="5"/>
                <c:pt idx="0">
                  <c:v>1995</c:v>
                </c:pt>
                <c:pt idx="1">
                  <c:v>1997</c:v>
                </c:pt>
                <c:pt idx="2">
                  <c:v>1980</c:v>
                </c:pt>
                <c:pt idx="3">
                  <c:v>1946</c:v>
                </c:pt>
                <c:pt idx="4" formatCode="0">
                  <c:v>1979.5</c:v>
                </c:pt>
              </c:numCache>
            </c:numRef>
          </c:val>
          <c:smooth val="0"/>
          <c:extLst>
            <c:ext xmlns:c16="http://schemas.microsoft.com/office/drawing/2014/chart" uri="{C3380CC4-5D6E-409C-BE32-E72D297353CC}">
              <c16:uniqueId val="{00000000-B24E-4D62-8A9E-E13C0B55A609}"/>
            </c:ext>
          </c:extLst>
        </c:ser>
        <c:ser>
          <c:idx val="1"/>
          <c:order val="1"/>
          <c:tx>
            <c:strRef>
              <c:f>'Legacy Berekeningen'!$J$4</c:f>
              <c:strCache>
                <c:ptCount val="1"/>
                <c:pt idx="0">
                  <c:v>Max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Berekeningen'!$K$2:$O$2</c:f>
              <c:strCache>
                <c:ptCount val="5"/>
                <c:pt idx="0">
                  <c:v>Rick</c:v>
                </c:pt>
                <c:pt idx="1">
                  <c:v>Berend</c:v>
                </c:pt>
                <c:pt idx="2">
                  <c:v>Joris</c:v>
                </c:pt>
                <c:pt idx="3">
                  <c:v>Jan</c:v>
                </c:pt>
                <c:pt idx="4">
                  <c:v>Gemiddelde</c:v>
                </c:pt>
              </c:strCache>
            </c:strRef>
          </c:cat>
          <c:val>
            <c:numRef>
              <c:f>'Legacy Berekeningen'!$K$4:$O$4</c:f>
              <c:numCache>
                <c:formatCode>General</c:formatCode>
                <c:ptCount val="5"/>
                <c:pt idx="0">
                  <c:v>2021</c:v>
                </c:pt>
                <c:pt idx="1">
                  <c:v>2021</c:v>
                </c:pt>
                <c:pt idx="2">
                  <c:v>2021</c:v>
                </c:pt>
                <c:pt idx="3">
                  <c:v>2021</c:v>
                </c:pt>
                <c:pt idx="4" formatCode="0">
                  <c:v>2021</c:v>
                </c:pt>
              </c:numCache>
            </c:numRef>
          </c:val>
          <c:smooth val="0"/>
          <c:extLst>
            <c:ext xmlns:c16="http://schemas.microsoft.com/office/drawing/2014/chart" uri="{C3380CC4-5D6E-409C-BE32-E72D297353CC}">
              <c16:uniqueId val="{00000001-B24E-4D62-8A9E-E13C0B55A609}"/>
            </c:ext>
          </c:extLst>
        </c:ser>
        <c:ser>
          <c:idx val="2"/>
          <c:order val="2"/>
          <c:tx>
            <c:strRef>
              <c:f>'Legacy Berekeningen'!$J$5</c:f>
              <c:strCache>
                <c:ptCount val="1"/>
                <c:pt idx="0">
                  <c:v>Gemiddelde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Berekeningen'!$K$2:$O$2</c:f>
              <c:strCache>
                <c:ptCount val="5"/>
                <c:pt idx="0">
                  <c:v>Rick</c:v>
                </c:pt>
                <c:pt idx="1">
                  <c:v>Berend</c:v>
                </c:pt>
                <c:pt idx="2">
                  <c:v>Joris</c:v>
                </c:pt>
                <c:pt idx="3">
                  <c:v>Jan</c:v>
                </c:pt>
                <c:pt idx="4">
                  <c:v>Gemiddelde</c:v>
                </c:pt>
              </c:strCache>
            </c:strRef>
          </c:cat>
          <c:val>
            <c:numRef>
              <c:f>'Legacy Berekeningen'!$K$5:$O$5</c:f>
              <c:numCache>
                <c:formatCode>0</c:formatCode>
                <c:ptCount val="5"/>
                <c:pt idx="0">
                  <c:v>2016</c:v>
                </c:pt>
                <c:pt idx="1">
                  <c:v>2013</c:v>
                </c:pt>
                <c:pt idx="2">
                  <c:v>2007</c:v>
                </c:pt>
                <c:pt idx="3">
                  <c:v>2004</c:v>
                </c:pt>
                <c:pt idx="4">
                  <c:v>2010</c:v>
                </c:pt>
              </c:numCache>
            </c:numRef>
          </c:val>
          <c:smooth val="0"/>
          <c:extLst>
            <c:ext xmlns:c16="http://schemas.microsoft.com/office/drawing/2014/chart" uri="{C3380CC4-5D6E-409C-BE32-E72D297353CC}">
              <c16:uniqueId val="{00000002-B24E-4D62-8A9E-E13C0B55A609}"/>
            </c:ext>
          </c:extLst>
        </c:ser>
        <c:dLbls>
          <c:dLblPos val="t"/>
          <c:showLegendKey val="0"/>
          <c:showVal val="1"/>
          <c:showCatName val="0"/>
          <c:showSerName val="0"/>
          <c:showPercent val="0"/>
          <c:showBubbleSize val="0"/>
        </c:dLbls>
        <c:marker val="1"/>
        <c:smooth val="0"/>
        <c:axId val="1438489424"/>
        <c:axId val="1438489008"/>
      </c:lineChart>
      <c:catAx>
        <c:axId val="143848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489008"/>
        <c:crosses val="autoZero"/>
        <c:auto val="1"/>
        <c:lblAlgn val="ctr"/>
        <c:lblOffset val="100"/>
        <c:noMultiLvlLbl val="0"/>
      </c:catAx>
      <c:valAx>
        <c:axId val="143848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489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Duur</a:t>
            </a:r>
            <a:r>
              <a:rPr lang="en-US" baseline="0"/>
              <a:t> in minuten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'Legacy Berekeningen'!$J$8</c:f>
              <c:strCache>
                <c:ptCount val="1"/>
                <c:pt idx="0">
                  <c:v>Min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Berekeningen'!$K$7:$O$7</c:f>
              <c:strCache>
                <c:ptCount val="5"/>
                <c:pt idx="0">
                  <c:v>Rick</c:v>
                </c:pt>
                <c:pt idx="1">
                  <c:v>Berend</c:v>
                </c:pt>
                <c:pt idx="2">
                  <c:v>Joris</c:v>
                </c:pt>
                <c:pt idx="3">
                  <c:v>Jan</c:v>
                </c:pt>
                <c:pt idx="4">
                  <c:v>Gemiddelde</c:v>
                </c:pt>
              </c:strCache>
            </c:strRef>
          </c:cat>
          <c:val>
            <c:numRef>
              <c:f>'Legacy Berekeningen'!$K$8:$O$8</c:f>
              <c:numCache>
                <c:formatCode>General</c:formatCode>
                <c:ptCount val="5"/>
                <c:pt idx="0">
                  <c:v>95</c:v>
                </c:pt>
                <c:pt idx="1">
                  <c:v>87</c:v>
                </c:pt>
                <c:pt idx="2">
                  <c:v>88</c:v>
                </c:pt>
                <c:pt idx="3">
                  <c:v>75</c:v>
                </c:pt>
                <c:pt idx="4" formatCode="0">
                  <c:v>86.25</c:v>
                </c:pt>
              </c:numCache>
            </c:numRef>
          </c:val>
          <c:smooth val="0"/>
          <c:extLst>
            <c:ext xmlns:c16="http://schemas.microsoft.com/office/drawing/2014/chart" uri="{C3380CC4-5D6E-409C-BE32-E72D297353CC}">
              <c16:uniqueId val="{00000000-B79A-456D-8498-22D14C9BCF57}"/>
            </c:ext>
          </c:extLst>
        </c:ser>
        <c:ser>
          <c:idx val="1"/>
          <c:order val="1"/>
          <c:tx>
            <c:strRef>
              <c:f>'Legacy Berekeningen'!$J$9</c:f>
              <c:strCache>
                <c:ptCount val="1"/>
                <c:pt idx="0">
                  <c:v>Max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Berekeningen'!$K$7:$O$7</c:f>
              <c:strCache>
                <c:ptCount val="5"/>
                <c:pt idx="0">
                  <c:v>Rick</c:v>
                </c:pt>
                <c:pt idx="1">
                  <c:v>Berend</c:v>
                </c:pt>
                <c:pt idx="2">
                  <c:v>Joris</c:v>
                </c:pt>
                <c:pt idx="3">
                  <c:v>Jan</c:v>
                </c:pt>
                <c:pt idx="4">
                  <c:v>Gemiddelde</c:v>
                </c:pt>
              </c:strCache>
            </c:strRef>
          </c:cat>
          <c:val>
            <c:numRef>
              <c:f>'Legacy Berekeningen'!$K$9:$O$9</c:f>
              <c:numCache>
                <c:formatCode>General</c:formatCode>
                <c:ptCount val="5"/>
                <c:pt idx="0">
                  <c:v>172</c:v>
                </c:pt>
                <c:pt idx="1">
                  <c:v>165</c:v>
                </c:pt>
                <c:pt idx="2">
                  <c:v>194</c:v>
                </c:pt>
                <c:pt idx="3">
                  <c:v>164</c:v>
                </c:pt>
                <c:pt idx="4" formatCode="0">
                  <c:v>173.75</c:v>
                </c:pt>
              </c:numCache>
            </c:numRef>
          </c:val>
          <c:smooth val="0"/>
          <c:extLst>
            <c:ext xmlns:c16="http://schemas.microsoft.com/office/drawing/2014/chart" uri="{C3380CC4-5D6E-409C-BE32-E72D297353CC}">
              <c16:uniqueId val="{00000001-B79A-456D-8498-22D14C9BCF57}"/>
            </c:ext>
          </c:extLst>
        </c:ser>
        <c:ser>
          <c:idx val="2"/>
          <c:order val="2"/>
          <c:tx>
            <c:strRef>
              <c:f>'Legacy Berekeningen'!$J$10</c:f>
              <c:strCache>
                <c:ptCount val="1"/>
                <c:pt idx="0">
                  <c:v>Gemiddelde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'Legacy Berekeningen'!$K$7:$O$7</c:f>
              <c:strCache>
                <c:ptCount val="5"/>
                <c:pt idx="0">
                  <c:v>Rick</c:v>
                </c:pt>
                <c:pt idx="1">
                  <c:v>Berend</c:v>
                </c:pt>
                <c:pt idx="2">
                  <c:v>Joris</c:v>
                </c:pt>
                <c:pt idx="3">
                  <c:v>Jan</c:v>
                </c:pt>
                <c:pt idx="4">
                  <c:v>Gemiddelde</c:v>
                </c:pt>
              </c:strCache>
            </c:strRef>
          </c:cat>
          <c:val>
            <c:numRef>
              <c:f>'Legacy Berekeningen'!$K$10:$O$10</c:f>
              <c:numCache>
                <c:formatCode>0</c:formatCode>
                <c:ptCount val="5"/>
                <c:pt idx="0">
                  <c:v>136</c:v>
                </c:pt>
                <c:pt idx="1">
                  <c:v>116</c:v>
                </c:pt>
                <c:pt idx="2">
                  <c:v>122</c:v>
                </c:pt>
                <c:pt idx="3">
                  <c:v>120</c:v>
                </c:pt>
                <c:pt idx="4">
                  <c:v>123.5</c:v>
                </c:pt>
              </c:numCache>
            </c:numRef>
          </c:val>
          <c:smooth val="0"/>
          <c:extLst>
            <c:ext xmlns:c16="http://schemas.microsoft.com/office/drawing/2014/chart" uri="{C3380CC4-5D6E-409C-BE32-E72D297353CC}">
              <c16:uniqueId val="{00000002-B79A-456D-8498-22D14C9BCF57}"/>
            </c:ext>
          </c:extLst>
        </c:ser>
        <c:dLbls>
          <c:dLblPos val="t"/>
          <c:showLegendKey val="0"/>
          <c:showVal val="1"/>
          <c:showCatName val="0"/>
          <c:showSerName val="0"/>
          <c:showPercent val="0"/>
          <c:showBubbleSize val="0"/>
        </c:dLbls>
        <c:marker val="1"/>
        <c:smooth val="0"/>
        <c:axId val="1930208096"/>
        <c:axId val="1930210176"/>
      </c:lineChart>
      <c:catAx>
        <c:axId val="193020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210176"/>
        <c:crosses val="autoZero"/>
        <c:auto val="1"/>
        <c:lblAlgn val="ctr"/>
        <c:lblOffset val="100"/>
        <c:noMultiLvlLbl val="0"/>
      </c:catAx>
      <c:valAx>
        <c:axId val="193021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20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'Legacy Berekeningen'!$A$3</c:f>
              <c:strCache>
                <c:ptCount val="1"/>
                <c:pt idx="0">
                  <c:v>Action</c:v>
                </c:pt>
              </c:strCache>
            </c:strRef>
          </c:tx>
          <c:spPr>
            <a:solidFill>
              <a:schemeClr val="accent1"/>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Berekeningen'!$E$3:$H$3</c:f>
              <c:numCache>
                <c:formatCode>General</c:formatCode>
                <c:ptCount val="4"/>
                <c:pt idx="0">
                  <c:v>4</c:v>
                </c:pt>
                <c:pt idx="1">
                  <c:v>3</c:v>
                </c:pt>
                <c:pt idx="2">
                  <c:v>4</c:v>
                </c:pt>
                <c:pt idx="3">
                  <c:v>6</c:v>
                </c:pt>
              </c:numCache>
            </c:numRef>
          </c:val>
          <c:extLst>
            <c:ext xmlns:c16="http://schemas.microsoft.com/office/drawing/2014/chart" uri="{C3380CC4-5D6E-409C-BE32-E72D297353CC}">
              <c16:uniqueId val="{00000000-07E5-40FE-A039-BC143CAEA52D}"/>
            </c:ext>
          </c:extLst>
        </c:ser>
        <c:ser>
          <c:idx val="1"/>
          <c:order val="1"/>
          <c:tx>
            <c:strRef>
              <c:f>'Legacy Berekeningen'!$A$4</c:f>
              <c:strCache>
                <c:ptCount val="1"/>
                <c:pt idx="0">
                  <c:v>Adventure</c:v>
                </c:pt>
              </c:strCache>
            </c:strRef>
          </c:tx>
          <c:spPr>
            <a:solidFill>
              <a:schemeClr val="accent2"/>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Berekeningen'!$E$4:$H$4</c:f>
              <c:numCache>
                <c:formatCode>General</c:formatCode>
                <c:ptCount val="4"/>
                <c:pt idx="0">
                  <c:v>4</c:v>
                </c:pt>
                <c:pt idx="1">
                  <c:v>1</c:v>
                </c:pt>
                <c:pt idx="2">
                  <c:v>1</c:v>
                </c:pt>
                <c:pt idx="3">
                  <c:v>2</c:v>
                </c:pt>
              </c:numCache>
            </c:numRef>
          </c:val>
          <c:extLst>
            <c:ext xmlns:c16="http://schemas.microsoft.com/office/drawing/2014/chart" uri="{C3380CC4-5D6E-409C-BE32-E72D297353CC}">
              <c16:uniqueId val="{00000001-07E5-40FE-A039-BC143CAEA52D}"/>
            </c:ext>
          </c:extLst>
        </c:ser>
        <c:ser>
          <c:idx val="2"/>
          <c:order val="2"/>
          <c:tx>
            <c:strRef>
              <c:f>'Legacy Berekeningen'!$A$5</c:f>
              <c:strCache>
                <c:ptCount val="1"/>
                <c:pt idx="0">
                  <c:v>Animation</c:v>
                </c:pt>
              </c:strCache>
            </c:strRef>
          </c:tx>
          <c:spPr>
            <a:solidFill>
              <a:schemeClr val="accent3"/>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Berekeningen'!$E$5:$H$5</c:f>
              <c:numCache>
                <c:formatCode>General</c:formatCode>
                <c:ptCount val="4"/>
                <c:pt idx="0">
                  <c:v>0</c:v>
                </c:pt>
                <c:pt idx="1">
                  <c:v>1</c:v>
                </c:pt>
                <c:pt idx="2">
                  <c:v>2</c:v>
                </c:pt>
                <c:pt idx="3">
                  <c:v>0</c:v>
                </c:pt>
              </c:numCache>
            </c:numRef>
          </c:val>
          <c:extLst>
            <c:ext xmlns:c16="http://schemas.microsoft.com/office/drawing/2014/chart" uri="{C3380CC4-5D6E-409C-BE32-E72D297353CC}">
              <c16:uniqueId val="{00000002-07E5-40FE-A039-BC143CAEA52D}"/>
            </c:ext>
          </c:extLst>
        </c:ser>
        <c:ser>
          <c:idx val="3"/>
          <c:order val="3"/>
          <c:tx>
            <c:strRef>
              <c:f>'Legacy Berekeningen'!$A$6</c:f>
              <c:strCache>
                <c:ptCount val="1"/>
                <c:pt idx="0">
                  <c:v>Biography</c:v>
                </c:pt>
              </c:strCache>
            </c:strRef>
          </c:tx>
          <c:spPr>
            <a:solidFill>
              <a:schemeClr val="accent4"/>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Berekeningen'!$E$6:$H$6</c:f>
              <c:numCache>
                <c:formatCode>General</c:formatCode>
                <c:ptCount val="4"/>
                <c:pt idx="0">
                  <c:v>1</c:v>
                </c:pt>
                <c:pt idx="1">
                  <c:v>1</c:v>
                </c:pt>
                <c:pt idx="2">
                  <c:v>0</c:v>
                </c:pt>
                <c:pt idx="3">
                  <c:v>1</c:v>
                </c:pt>
              </c:numCache>
            </c:numRef>
          </c:val>
          <c:extLst>
            <c:ext xmlns:c16="http://schemas.microsoft.com/office/drawing/2014/chart" uri="{C3380CC4-5D6E-409C-BE32-E72D297353CC}">
              <c16:uniqueId val="{00000003-07E5-40FE-A039-BC143CAEA52D}"/>
            </c:ext>
          </c:extLst>
        </c:ser>
        <c:ser>
          <c:idx val="4"/>
          <c:order val="4"/>
          <c:tx>
            <c:strRef>
              <c:f>'Legacy Berekeningen'!$A$7</c:f>
              <c:strCache>
                <c:ptCount val="1"/>
                <c:pt idx="0">
                  <c:v>Comedy</c:v>
                </c:pt>
              </c:strCache>
            </c:strRef>
          </c:tx>
          <c:spPr>
            <a:solidFill>
              <a:schemeClr val="accent5"/>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Berekeningen'!$E$7:$H$7</c:f>
              <c:numCache>
                <c:formatCode>General</c:formatCode>
                <c:ptCount val="4"/>
                <c:pt idx="0">
                  <c:v>2</c:v>
                </c:pt>
                <c:pt idx="1">
                  <c:v>3</c:v>
                </c:pt>
                <c:pt idx="2">
                  <c:v>6</c:v>
                </c:pt>
                <c:pt idx="3">
                  <c:v>1</c:v>
                </c:pt>
              </c:numCache>
            </c:numRef>
          </c:val>
          <c:extLst>
            <c:ext xmlns:c16="http://schemas.microsoft.com/office/drawing/2014/chart" uri="{C3380CC4-5D6E-409C-BE32-E72D297353CC}">
              <c16:uniqueId val="{00000004-07E5-40FE-A039-BC143CAEA52D}"/>
            </c:ext>
          </c:extLst>
        </c:ser>
        <c:ser>
          <c:idx val="5"/>
          <c:order val="5"/>
          <c:tx>
            <c:strRef>
              <c:f>'Legacy Berekeningen'!$A$8</c:f>
              <c:strCache>
                <c:ptCount val="1"/>
                <c:pt idx="0">
                  <c:v>Crime</c:v>
                </c:pt>
              </c:strCache>
            </c:strRef>
          </c:tx>
          <c:spPr>
            <a:solidFill>
              <a:schemeClr val="accent6"/>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Berekeningen'!$E$8:$H$8</c:f>
              <c:numCache>
                <c:formatCode>General</c:formatCode>
                <c:ptCount val="4"/>
                <c:pt idx="0">
                  <c:v>2</c:v>
                </c:pt>
                <c:pt idx="1">
                  <c:v>5</c:v>
                </c:pt>
                <c:pt idx="2">
                  <c:v>0</c:v>
                </c:pt>
                <c:pt idx="3">
                  <c:v>0</c:v>
                </c:pt>
              </c:numCache>
            </c:numRef>
          </c:val>
          <c:extLst>
            <c:ext xmlns:c16="http://schemas.microsoft.com/office/drawing/2014/chart" uri="{C3380CC4-5D6E-409C-BE32-E72D297353CC}">
              <c16:uniqueId val="{00000005-07E5-40FE-A039-BC143CAEA52D}"/>
            </c:ext>
          </c:extLst>
        </c:ser>
        <c:ser>
          <c:idx val="6"/>
          <c:order val="6"/>
          <c:tx>
            <c:strRef>
              <c:f>'Legacy Berekeningen'!$A$9</c:f>
              <c:strCache>
                <c:ptCount val="1"/>
                <c:pt idx="0">
                  <c:v>Documentary</c:v>
                </c:pt>
              </c:strCache>
            </c:strRef>
          </c:tx>
          <c:spPr>
            <a:solidFill>
              <a:schemeClr val="accent1">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Berekeningen'!$E$9:$H$9</c:f>
              <c:numCache>
                <c:formatCode>General</c:formatCode>
                <c:ptCount val="4"/>
                <c:pt idx="0">
                  <c:v>0</c:v>
                </c:pt>
                <c:pt idx="1">
                  <c:v>1</c:v>
                </c:pt>
                <c:pt idx="2">
                  <c:v>0</c:v>
                </c:pt>
                <c:pt idx="3">
                  <c:v>0</c:v>
                </c:pt>
              </c:numCache>
            </c:numRef>
          </c:val>
          <c:extLst>
            <c:ext xmlns:c16="http://schemas.microsoft.com/office/drawing/2014/chart" uri="{C3380CC4-5D6E-409C-BE32-E72D297353CC}">
              <c16:uniqueId val="{00000006-07E5-40FE-A039-BC143CAEA52D}"/>
            </c:ext>
          </c:extLst>
        </c:ser>
        <c:ser>
          <c:idx val="7"/>
          <c:order val="7"/>
          <c:tx>
            <c:strRef>
              <c:f>'Legacy Berekeningen'!$A$10</c:f>
              <c:strCache>
                <c:ptCount val="1"/>
                <c:pt idx="0">
                  <c:v>Drama</c:v>
                </c:pt>
              </c:strCache>
            </c:strRef>
          </c:tx>
          <c:spPr>
            <a:solidFill>
              <a:schemeClr val="accent2">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Berekeningen'!$E$10:$H$10</c:f>
              <c:numCache>
                <c:formatCode>General</c:formatCode>
                <c:ptCount val="4"/>
                <c:pt idx="0">
                  <c:v>7</c:v>
                </c:pt>
                <c:pt idx="1">
                  <c:v>7</c:v>
                </c:pt>
                <c:pt idx="2">
                  <c:v>3</c:v>
                </c:pt>
                <c:pt idx="3">
                  <c:v>6</c:v>
                </c:pt>
              </c:numCache>
            </c:numRef>
          </c:val>
          <c:extLst>
            <c:ext xmlns:c16="http://schemas.microsoft.com/office/drawing/2014/chart" uri="{C3380CC4-5D6E-409C-BE32-E72D297353CC}">
              <c16:uniqueId val="{00000007-07E5-40FE-A039-BC143CAEA52D}"/>
            </c:ext>
          </c:extLst>
        </c:ser>
        <c:ser>
          <c:idx val="8"/>
          <c:order val="8"/>
          <c:tx>
            <c:strRef>
              <c:f>'Legacy Berekeningen'!$A$11</c:f>
              <c:strCache>
                <c:ptCount val="1"/>
                <c:pt idx="0">
                  <c:v>Family</c:v>
                </c:pt>
              </c:strCache>
            </c:strRef>
          </c:tx>
          <c:spPr>
            <a:solidFill>
              <a:schemeClr val="accent3">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Berekeningen'!$E$11:$H$11</c:f>
              <c:numCache>
                <c:formatCode>General</c:formatCode>
                <c:ptCount val="4"/>
                <c:pt idx="0">
                  <c:v>0</c:v>
                </c:pt>
                <c:pt idx="1">
                  <c:v>0</c:v>
                </c:pt>
                <c:pt idx="2">
                  <c:v>0</c:v>
                </c:pt>
                <c:pt idx="3">
                  <c:v>1</c:v>
                </c:pt>
              </c:numCache>
            </c:numRef>
          </c:val>
          <c:extLst>
            <c:ext xmlns:c16="http://schemas.microsoft.com/office/drawing/2014/chart" uri="{C3380CC4-5D6E-409C-BE32-E72D297353CC}">
              <c16:uniqueId val="{00000008-07E5-40FE-A039-BC143CAEA52D}"/>
            </c:ext>
          </c:extLst>
        </c:ser>
        <c:ser>
          <c:idx val="9"/>
          <c:order val="9"/>
          <c:tx>
            <c:strRef>
              <c:f>'Legacy Berekeningen'!$A$12</c:f>
              <c:strCache>
                <c:ptCount val="1"/>
                <c:pt idx="0">
                  <c:v>Fantasy</c:v>
                </c:pt>
              </c:strCache>
            </c:strRef>
          </c:tx>
          <c:spPr>
            <a:solidFill>
              <a:schemeClr val="accent4">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Berekeningen'!$E$12:$H$12</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09-07E5-40FE-A039-BC143CAEA52D}"/>
            </c:ext>
          </c:extLst>
        </c:ser>
        <c:ser>
          <c:idx val="10"/>
          <c:order val="10"/>
          <c:tx>
            <c:strRef>
              <c:f>'Legacy Berekeningen'!$A$13</c:f>
              <c:strCache>
                <c:ptCount val="1"/>
                <c:pt idx="0">
                  <c:v>Horror</c:v>
                </c:pt>
              </c:strCache>
            </c:strRef>
          </c:tx>
          <c:spPr>
            <a:solidFill>
              <a:schemeClr val="accent5">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Berekeningen'!$E$13:$H$13</c:f>
              <c:numCache>
                <c:formatCode>General</c:formatCode>
                <c:ptCount val="4"/>
                <c:pt idx="0">
                  <c:v>1</c:v>
                </c:pt>
                <c:pt idx="1">
                  <c:v>0</c:v>
                </c:pt>
                <c:pt idx="2">
                  <c:v>1</c:v>
                </c:pt>
                <c:pt idx="3">
                  <c:v>1</c:v>
                </c:pt>
              </c:numCache>
            </c:numRef>
          </c:val>
          <c:extLst>
            <c:ext xmlns:c16="http://schemas.microsoft.com/office/drawing/2014/chart" uri="{C3380CC4-5D6E-409C-BE32-E72D297353CC}">
              <c16:uniqueId val="{0000000A-07E5-40FE-A039-BC143CAEA52D}"/>
            </c:ext>
          </c:extLst>
        </c:ser>
        <c:ser>
          <c:idx val="11"/>
          <c:order val="11"/>
          <c:tx>
            <c:strRef>
              <c:f>'Legacy Berekeningen'!$A$14</c:f>
              <c:strCache>
                <c:ptCount val="1"/>
                <c:pt idx="0">
                  <c:v>Music</c:v>
                </c:pt>
              </c:strCache>
            </c:strRef>
          </c:tx>
          <c:spPr>
            <a:solidFill>
              <a:schemeClr val="accent6">
                <a:lumMod val="6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Berekeningen'!$E$14:$H$14</c:f>
              <c:numCache>
                <c:formatCode>General</c:formatCode>
                <c:ptCount val="4"/>
                <c:pt idx="0">
                  <c:v>0</c:v>
                </c:pt>
                <c:pt idx="1">
                  <c:v>0</c:v>
                </c:pt>
                <c:pt idx="2">
                  <c:v>0</c:v>
                </c:pt>
                <c:pt idx="3">
                  <c:v>1</c:v>
                </c:pt>
              </c:numCache>
            </c:numRef>
          </c:val>
          <c:extLst>
            <c:ext xmlns:c16="http://schemas.microsoft.com/office/drawing/2014/chart" uri="{C3380CC4-5D6E-409C-BE32-E72D297353CC}">
              <c16:uniqueId val="{0000000B-07E5-40FE-A039-BC143CAEA52D}"/>
            </c:ext>
          </c:extLst>
        </c:ser>
        <c:ser>
          <c:idx val="12"/>
          <c:order val="12"/>
          <c:tx>
            <c:strRef>
              <c:f>'Legacy Berekeningen'!$A$15</c:f>
              <c:strCache>
                <c:ptCount val="1"/>
                <c:pt idx="0">
                  <c:v>Mystery</c:v>
                </c:pt>
              </c:strCache>
            </c:strRef>
          </c:tx>
          <c:spPr>
            <a:solidFill>
              <a:schemeClr val="accent1">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Berekeningen'!$E$15:$H$15</c:f>
              <c:numCache>
                <c:formatCode>General</c:formatCode>
                <c:ptCount val="4"/>
                <c:pt idx="0">
                  <c:v>1</c:v>
                </c:pt>
                <c:pt idx="1">
                  <c:v>0</c:v>
                </c:pt>
                <c:pt idx="2">
                  <c:v>0</c:v>
                </c:pt>
                <c:pt idx="3">
                  <c:v>1</c:v>
                </c:pt>
              </c:numCache>
            </c:numRef>
          </c:val>
          <c:extLst>
            <c:ext xmlns:c16="http://schemas.microsoft.com/office/drawing/2014/chart" uri="{C3380CC4-5D6E-409C-BE32-E72D297353CC}">
              <c16:uniqueId val="{0000000C-07E5-40FE-A039-BC143CAEA52D}"/>
            </c:ext>
          </c:extLst>
        </c:ser>
        <c:ser>
          <c:idx val="13"/>
          <c:order val="13"/>
          <c:tx>
            <c:strRef>
              <c:f>'Legacy Berekeningen'!$A$16</c:f>
              <c:strCache>
                <c:ptCount val="1"/>
                <c:pt idx="0">
                  <c:v>Romance</c:v>
                </c:pt>
              </c:strCache>
            </c:strRef>
          </c:tx>
          <c:spPr>
            <a:solidFill>
              <a:schemeClr val="accent2">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Berekeningen'!$E$16:$H$16</c:f>
              <c:numCache>
                <c:formatCode>General</c:formatCode>
                <c:ptCount val="4"/>
                <c:pt idx="0">
                  <c:v>0</c:v>
                </c:pt>
                <c:pt idx="1">
                  <c:v>1</c:v>
                </c:pt>
                <c:pt idx="2">
                  <c:v>1</c:v>
                </c:pt>
                <c:pt idx="3">
                  <c:v>0</c:v>
                </c:pt>
              </c:numCache>
            </c:numRef>
          </c:val>
          <c:extLst>
            <c:ext xmlns:c16="http://schemas.microsoft.com/office/drawing/2014/chart" uri="{C3380CC4-5D6E-409C-BE32-E72D297353CC}">
              <c16:uniqueId val="{0000000D-07E5-40FE-A039-BC143CAEA52D}"/>
            </c:ext>
          </c:extLst>
        </c:ser>
        <c:ser>
          <c:idx val="14"/>
          <c:order val="14"/>
          <c:tx>
            <c:strRef>
              <c:f>'Legacy Berekeningen'!$A$17</c:f>
              <c:strCache>
                <c:ptCount val="1"/>
                <c:pt idx="0">
                  <c:v>Sci-Fi</c:v>
                </c:pt>
              </c:strCache>
            </c:strRef>
          </c:tx>
          <c:spPr>
            <a:solidFill>
              <a:schemeClr val="accent3">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Berekeningen'!$E$17:$H$17</c:f>
              <c:numCache>
                <c:formatCode>General</c:formatCode>
                <c:ptCount val="4"/>
                <c:pt idx="0">
                  <c:v>1</c:v>
                </c:pt>
                <c:pt idx="1">
                  <c:v>1</c:v>
                </c:pt>
                <c:pt idx="2">
                  <c:v>1</c:v>
                </c:pt>
                <c:pt idx="3">
                  <c:v>4</c:v>
                </c:pt>
              </c:numCache>
            </c:numRef>
          </c:val>
          <c:extLst>
            <c:ext xmlns:c16="http://schemas.microsoft.com/office/drawing/2014/chart" uri="{C3380CC4-5D6E-409C-BE32-E72D297353CC}">
              <c16:uniqueId val="{0000000E-07E5-40FE-A039-BC143CAEA52D}"/>
            </c:ext>
          </c:extLst>
        </c:ser>
        <c:ser>
          <c:idx val="15"/>
          <c:order val="15"/>
          <c:tx>
            <c:strRef>
              <c:f>'Legacy Berekeningen'!$A$18</c:f>
              <c:strCache>
                <c:ptCount val="1"/>
                <c:pt idx="0">
                  <c:v>Sport</c:v>
                </c:pt>
              </c:strCache>
            </c:strRef>
          </c:tx>
          <c:spPr>
            <a:solidFill>
              <a:schemeClr val="accent4">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Berekeningen'!$E$18:$H$18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F-07E5-40FE-A039-BC143CAEA52D}"/>
            </c:ext>
          </c:extLst>
        </c:ser>
        <c:ser>
          <c:idx val="16"/>
          <c:order val="16"/>
          <c:tx>
            <c:strRef>
              <c:f>'Legacy Berekeningen'!$A$19</c:f>
              <c:strCache>
                <c:ptCount val="1"/>
                <c:pt idx="0">
                  <c:v>Thriller</c:v>
                </c:pt>
              </c:strCache>
            </c:strRef>
          </c:tx>
          <c:spPr>
            <a:solidFill>
              <a:schemeClr val="accent5">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Berekeningen'!$E$19:$H$19</c:f>
              <c:numCache>
                <c:formatCode>General</c:formatCode>
                <c:ptCount val="4"/>
                <c:pt idx="0">
                  <c:v>2</c:v>
                </c:pt>
                <c:pt idx="1">
                  <c:v>0</c:v>
                </c:pt>
                <c:pt idx="2">
                  <c:v>2</c:v>
                </c:pt>
                <c:pt idx="3">
                  <c:v>0</c:v>
                </c:pt>
              </c:numCache>
            </c:numRef>
          </c:val>
          <c:extLst>
            <c:ext xmlns:c16="http://schemas.microsoft.com/office/drawing/2014/chart" uri="{C3380CC4-5D6E-409C-BE32-E72D297353CC}">
              <c16:uniqueId val="{00000010-07E5-40FE-A039-BC143CAEA52D}"/>
            </c:ext>
          </c:extLst>
        </c:ser>
        <c:ser>
          <c:idx val="17"/>
          <c:order val="17"/>
          <c:tx>
            <c:strRef>
              <c:f>'Legacy Berekeningen'!$A$20</c:f>
              <c:strCache>
                <c:ptCount val="1"/>
                <c:pt idx="0">
                  <c:v>War</c:v>
                </c:pt>
              </c:strCache>
            </c:strRef>
          </c:tx>
          <c:spPr>
            <a:solidFill>
              <a:schemeClr val="accent6">
                <a:lumMod val="80000"/>
                <a:lumOff val="2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Berekeningen'!$E$20:$H$20</c:f>
              <c:numCache>
                <c:formatCode>General</c:formatCode>
                <c:ptCount val="4"/>
                <c:pt idx="0">
                  <c:v>1</c:v>
                </c:pt>
                <c:pt idx="1">
                  <c:v>0</c:v>
                </c:pt>
                <c:pt idx="2">
                  <c:v>1</c:v>
                </c:pt>
                <c:pt idx="3">
                  <c:v>0</c:v>
                </c:pt>
              </c:numCache>
            </c:numRef>
          </c:val>
          <c:extLst>
            <c:ext xmlns:c16="http://schemas.microsoft.com/office/drawing/2014/chart" uri="{C3380CC4-5D6E-409C-BE32-E72D297353CC}">
              <c16:uniqueId val="{00000011-07E5-40FE-A039-BC143CAEA52D}"/>
            </c:ext>
          </c:extLst>
        </c:ser>
        <c:ser>
          <c:idx val="18"/>
          <c:order val="18"/>
          <c:tx>
            <c:strRef>
              <c:f>'Legacy Berekeningen'!$A$21</c:f>
              <c:strCache>
                <c:ptCount val="1"/>
                <c:pt idx="0">
                  <c:v>Western</c:v>
                </c:pt>
              </c:strCache>
            </c:strRef>
          </c:tx>
          <c:spPr>
            <a:solidFill>
              <a:schemeClr val="accent1">
                <a:lumMod val="80000"/>
              </a:schemeClr>
            </a:solidFill>
            <a:ln>
              <a:noFill/>
            </a:ln>
            <a:effectLst/>
          </c:spPr>
          <c:invertIfNegative val="0"/>
          <c:cat>
            <c:strRef>
              <c:f>'Legacy Berekeningen'!$E$2:$H$2</c:f>
              <c:strCache>
                <c:ptCount val="4"/>
                <c:pt idx="0">
                  <c:v>Rick</c:v>
                </c:pt>
                <c:pt idx="1">
                  <c:v>Berend</c:v>
                </c:pt>
                <c:pt idx="2">
                  <c:v>Joris</c:v>
                </c:pt>
                <c:pt idx="3">
                  <c:v>Jan</c:v>
                </c:pt>
              </c:strCache>
            </c:strRef>
          </c:cat>
          <c:val>
            <c:numRef>
              <c:f>'Legacy Berekeningen'!$E$21:$H$21</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12-07E5-40FE-A039-BC143CAEA52D}"/>
            </c:ext>
          </c:extLst>
        </c:ser>
        <c:dLbls>
          <c:showLegendKey val="0"/>
          <c:showVal val="0"/>
          <c:showCatName val="0"/>
          <c:showSerName val="0"/>
          <c:showPercent val="0"/>
          <c:showBubbleSize val="0"/>
        </c:dLbls>
        <c:gapWidth val="150"/>
        <c:overlap val="100"/>
        <c:axId val="1453403167"/>
        <c:axId val="1453403999"/>
      </c:barChart>
      <c:catAx>
        <c:axId val="1453403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403999"/>
        <c:crosses val="autoZero"/>
        <c:auto val="1"/>
        <c:lblAlgn val="ctr"/>
        <c:lblOffset val="100"/>
        <c:noMultiLvlLbl val="0"/>
      </c:catAx>
      <c:valAx>
        <c:axId val="14534039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403167"/>
        <c:crosses val="autoZero"/>
        <c:crossBetween val="between"/>
      </c:valAx>
      <c:spPr>
        <a:noFill/>
        <a:ln>
          <a:noFill/>
        </a:ln>
        <a:effectLst/>
      </c:spPr>
    </c:plotArea>
    <c:legend>
      <c:legendPos val="b"/>
      <c:layout>
        <c:manualLayout>
          <c:xMode val="edge"/>
          <c:yMode val="edge"/>
          <c:x val="7.2617876253840363E-2"/>
          <c:y val="0.77954514998539903"/>
          <c:w val="0.86303281857209713"/>
          <c:h val="0.189581714595487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Diversiteit</a:t>
            </a:r>
          </a:p>
        </c:rich>
      </c:tx>
      <c:layout>
        <c:manualLayout>
          <c:xMode val="edge"/>
          <c:yMode val="edge"/>
          <c:x val="0.43668040367749095"/>
          <c:y val="2.0253164556962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'Legacy Diversity'!$A$2</c:f>
              <c:strCache>
                <c:ptCount val="1"/>
                <c:pt idx="0">
                  <c:v>Rick</c:v>
                </c:pt>
              </c:strCache>
            </c:strRef>
          </c:tx>
          <c:spPr>
            <a:ln w="28575" cap="rnd">
              <a:solidFill>
                <a:schemeClr val="accent1"/>
              </a:solidFill>
              <a:round/>
            </a:ln>
            <a:effectLst/>
          </c:spPr>
          <c:marker>
            <c:symbol val="none"/>
          </c:marker>
          <c:cat>
            <c:strRef>
              <c:f>'Legacy Diversity'!$B$1:$M$1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'Legacy Diversity'!$B$2:$M$2</c:f>
              <c:numCache>
                <c:formatCode>0%</c:formatCode>
                <c:ptCount val="12"/>
                <c:pt idx="0">
                  <c:v>0</c:v>
                </c:pt>
                <c:pt idx="1">
                  <c:v>1</c:v>
                </c:pt>
                <c:pt idx="2">
                  <c:v>0.83333333333333337</c:v>
                </c:pt>
                <c:pt idx="3">
                  <c:v>0.75</c:v>
                </c:pt>
                <c:pt idx="4">
                  <c:v>0.7</c:v>
                </c:pt>
                <c:pt idx="5">
                  <c:v>0.75</c:v>
                </c:pt>
                <c:pt idx="6">
                  <c:v>0.7142857142857143</c:v>
                </c:pt>
                <c:pt idx="7">
                  <c:v>0.625</c:v>
                </c:pt>
                <c:pt idx="8">
                  <c:v>0.55555555555555558</c:v>
                </c:pt>
                <c:pt idx="9">
                  <c:v>0.52631578947368418</c:v>
                </c:pt>
                <c:pt idx="10">
                  <c:v>0.42105263157894735</c:v>
                </c:pt>
                <c:pt idx="11">
                  <c:v>0.42105263157894735</c:v>
                </c:pt>
              </c:numCache>
            </c:numRef>
          </c:val>
          <c:smooth val="0"/>
          <c:extLst>
            <c:ext xmlns:c16="http://schemas.microsoft.com/office/drawing/2014/chart" uri="{C3380CC4-5D6E-409C-BE32-E72D297353CC}">
              <c16:uniqueId val="{00000000-AB1B-4EA5-9109-2B42240C5E1F}"/>
            </c:ext>
          </c:extLst>
        </c:ser>
        <c:ser>
          <c:idx val="1"/>
          <c:order val="1"/>
          <c:tx>
            <c:strRef>
              <c:f>'Legacy Diversity'!$A$3</c:f>
              <c:strCache>
                <c:ptCount val="1"/>
                <c:pt idx="0">
                  <c:v>Berend</c:v>
                </c:pt>
              </c:strCache>
            </c:strRef>
          </c:tx>
          <c:spPr>
            <a:ln w="28575" cap="rnd">
              <a:solidFill>
                <a:schemeClr val="accent2"/>
              </a:solidFill>
              <a:round/>
            </a:ln>
            <a:effectLst/>
          </c:spPr>
          <c:marker>
            <c:symbol val="none"/>
          </c:marker>
          <c:cat>
            <c:strRef>
              <c:f>'Legacy Diversity'!$B$1:$M$1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'Legacy Diversity'!$B$3:$M$3</c:f>
              <c:numCache>
                <c:formatCode>0%</c:formatCode>
                <c:ptCount val="12"/>
                <c:pt idx="0">
                  <c:v>1</c:v>
                </c:pt>
                <c:pt idx="1">
                  <c:v>0.5</c:v>
                </c:pt>
                <c:pt idx="2">
                  <c:v>0.66666666666666663</c:v>
                </c:pt>
                <c:pt idx="3">
                  <c:v>0.5</c:v>
                </c:pt>
                <c:pt idx="4">
                  <c:v>0.6</c:v>
                </c:pt>
                <c:pt idx="5">
                  <c:v>0.5</c:v>
                </c:pt>
                <c:pt idx="6">
                  <c:v>0.5</c:v>
                </c:pt>
                <c:pt idx="7">
                  <c:v>0.4375</c:v>
                </c:pt>
                <c:pt idx="8">
                  <c:v>0.3888888888888889</c:v>
                </c:pt>
                <c:pt idx="9">
                  <c:v>0.26315789473684209</c:v>
                </c:pt>
                <c:pt idx="10">
                  <c:v>0.21052631578947367</c:v>
                </c:pt>
                <c:pt idx="11">
                  <c:v>0.31578947368421051</c:v>
                </c:pt>
              </c:numCache>
            </c:numRef>
          </c:val>
          <c:smooth val="0"/>
          <c:extLst>
            <c:ext xmlns:c16="http://schemas.microsoft.com/office/drawing/2014/chart" uri="{C3380CC4-5D6E-409C-BE32-E72D297353CC}">
              <c16:uniqueId val="{00000001-AB1B-4EA5-9109-2B42240C5E1F}"/>
            </c:ext>
          </c:extLst>
        </c:ser>
        <c:ser>
          <c:idx val="2"/>
          <c:order val="2"/>
          <c:tx>
            <c:strRef>
              <c:f>'Legacy Diversity'!$A$4</c:f>
              <c:strCache>
                <c:ptCount val="1"/>
                <c:pt idx="0">
                  <c:v>Joris </c:v>
                </c:pt>
              </c:strCache>
            </c:strRef>
          </c:tx>
          <c:spPr>
            <a:ln w="28575" cap="rnd">
              <a:solidFill>
                <a:schemeClr val="accent3"/>
              </a:solidFill>
              <a:round/>
            </a:ln>
            <a:effectLst/>
          </c:spPr>
          <c:marker>
            <c:symbol val="none"/>
          </c:marker>
          <c:cat>
            <c:strRef>
              <c:f>'Legacy Diversity'!$B$1:$M$1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'Legacy Diversity'!$B$4:$M$4</c:f>
              <c:numCache>
                <c:formatCode>0%</c:formatCode>
                <c:ptCount val="12"/>
                <c:pt idx="0">
                  <c:v>1</c:v>
                </c:pt>
                <c:pt idx="1">
                  <c:v>1</c:v>
                </c:pt>
                <c:pt idx="2">
                  <c:v>0.83333333333333337</c:v>
                </c:pt>
                <c:pt idx="3">
                  <c:v>0.75</c:v>
                </c:pt>
                <c:pt idx="4">
                  <c:v>0.6</c:v>
                </c:pt>
                <c:pt idx="5">
                  <c:v>0.66666666666666663</c:v>
                </c:pt>
                <c:pt idx="6">
                  <c:v>0.6428571428571429</c:v>
                </c:pt>
                <c:pt idx="7">
                  <c:v>0.6875</c:v>
                </c:pt>
                <c:pt idx="8">
                  <c:v>0.66666666666666663</c:v>
                </c:pt>
                <c:pt idx="9">
                  <c:v>0.52631578947368418</c:v>
                </c:pt>
                <c:pt idx="10">
                  <c:v>0.52631578947368418</c:v>
                </c:pt>
                <c:pt idx="11">
                  <c:v>0.47368421052631576</c:v>
                </c:pt>
              </c:numCache>
            </c:numRef>
          </c:val>
          <c:smooth val="0"/>
          <c:extLst>
            <c:ext xmlns:c16="http://schemas.microsoft.com/office/drawing/2014/chart" uri="{C3380CC4-5D6E-409C-BE32-E72D297353CC}">
              <c16:uniqueId val="{00000002-AB1B-4EA5-9109-2B42240C5E1F}"/>
            </c:ext>
          </c:extLst>
        </c:ser>
        <c:ser>
          <c:idx val="3"/>
          <c:order val="3"/>
          <c:tx>
            <c:strRef>
              <c:f>'Legacy Diversity'!$A$5</c:f>
              <c:strCache>
                <c:ptCount val="1"/>
                <c:pt idx="0">
                  <c:v>Jan</c:v>
                </c:pt>
              </c:strCache>
            </c:strRef>
          </c:tx>
          <c:spPr>
            <a:ln w="28575" cap="rnd">
              <a:solidFill>
                <a:schemeClr val="accent4"/>
              </a:solidFill>
              <a:round/>
            </a:ln>
            <a:effectLst/>
          </c:spPr>
          <c:marker>
            <c:symbol val="none"/>
          </c:marker>
          <c:cat>
            <c:strRef>
              <c:f>'Legacy Diversity'!$B$1:$M$1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'Legacy Diversity'!$B$5:$M$5</c:f>
              <c:numCache>
                <c:formatCode>0%</c:formatCode>
                <c:ptCount val="12"/>
                <c:pt idx="0">
                  <c:v>1</c:v>
                </c:pt>
                <c:pt idx="1">
                  <c:v>0.75</c:v>
                </c:pt>
                <c:pt idx="2">
                  <c:v>0.5</c:v>
                </c:pt>
                <c:pt idx="3">
                  <c:v>0.5</c:v>
                </c:pt>
                <c:pt idx="4">
                  <c:v>0.4</c:v>
                </c:pt>
                <c:pt idx="5">
                  <c:v>0.33333333333333331</c:v>
                </c:pt>
                <c:pt idx="6">
                  <c:v>0.35714285714285715</c:v>
                </c:pt>
                <c:pt idx="7">
                  <c:v>0.375</c:v>
                </c:pt>
                <c:pt idx="8">
                  <c:v>0.33333333333333331</c:v>
                </c:pt>
                <c:pt idx="9">
                  <c:v>0.21052631578947367</c:v>
                </c:pt>
                <c:pt idx="10">
                  <c:v>0.26315789473684209</c:v>
                </c:pt>
                <c:pt idx="11">
                  <c:v>0.36842105263157893</c:v>
                </c:pt>
              </c:numCache>
            </c:numRef>
          </c:val>
          <c:smooth val="0"/>
          <c:extLst>
            <c:ext xmlns:c16="http://schemas.microsoft.com/office/drawing/2014/chart" uri="{C3380CC4-5D6E-409C-BE32-E72D297353CC}">
              <c16:uniqueId val="{00000003-AB1B-4EA5-9109-2B42240C5E1F}"/>
            </c:ext>
          </c:extLst>
        </c:ser>
        <c:dLbls>
          <c:showLegendKey val="0"/>
          <c:showVal val="0"/>
          <c:showCatName val="0"/>
          <c:showSerName val="0"/>
          <c:showPercent val="0"/>
          <c:showBubbleSize val="0"/>
        </c:dLbls>
        <c:smooth val="0"/>
        <c:axId val="1997807472"/>
        <c:axId val="1997807888"/>
      </c:lineChart>
      <c:catAx>
        <c:axId val="19978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07888"/>
        <c:crosses val="autoZero"/>
        <c:auto val="1"/>
        <c:lblAlgn val="ctr"/>
        <c:lblOffset val="100"/>
        <c:noMultiLvlLbl val="0"/>
      </c:catAx>
      <c:valAx>
        <c:axId val="199780788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0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Duur</a:t>
            </a:r>
            <a:r>
              <a:rPr lang="en-US" baseline="0"/>
              <a:t> in minuten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berekeningen!$I$8</c:f>
              <c:strCache>
                <c:ptCount val="1"/>
                <c:pt idx="0">
                  <c:v>Min</c:v>
                </c:pt>
              </c:strCache>
            </c:strRef>
          </c:tx>
          <c:spPr>
            <a:ln w="28575" cap="rnd">
              <a:solidFill>
                <a:schemeClr val="accent1"/>
              </a:solidFill>
              <a:round/>
            </a:ln>
            <a:effectLst/>
          </c:spPr>
          <c:marker>
            <c:symbol val="none"/>
          </c:marker>
          <c:cat>
            <c:strRef>
              <c:f>berekeningen!$J$7:$N$7</c:f>
              <c:strCache>
                <c:ptCount val="5"/>
                <c:pt idx="0">
                  <c:v>Rick</c:v>
                </c:pt>
                <c:pt idx="1">
                  <c:v>Berend</c:v>
                </c:pt>
                <c:pt idx="2">
                  <c:v>Joris</c:v>
                </c:pt>
                <c:pt idx="3">
                  <c:v>Jan</c:v>
                </c:pt>
                <c:pt idx="4">
                  <c:v>Gemiddelde</c:v>
                </c:pt>
              </c:strCache>
            </c:strRef>
          </c:cat>
          <c:val>
            <c:numRef>
              <c:f>berekeningen!$J$8:$N$8</c:f>
              <c:numCache>
                <c:formatCode>General</c:formatCode>
                <c:ptCount val="5"/>
                <c:pt idx="0">
                  <c:v>95</c:v>
                </c:pt>
                <c:pt idx="1">
                  <c:v>87</c:v>
                </c:pt>
                <c:pt idx="2">
                  <c:v>88</c:v>
                </c:pt>
                <c:pt idx="3">
                  <c:v>75</c:v>
                </c:pt>
                <c:pt idx="4" formatCode="0">
                  <c:v>86.25</c:v>
                </c:pt>
              </c:numCache>
            </c:numRef>
          </c:val>
          <c:smooth val="0"/>
          <c:extLst>
            <c:ext xmlns:c16="http://schemas.microsoft.com/office/drawing/2014/chart" uri="{C3380CC4-5D6E-409C-BE32-E72D297353CC}">
              <c16:uniqueId val="{00000000-9D3B-4F00-9739-1BC68129DC98}"/>
            </c:ext>
          </c:extLst>
        </c:ser>
        <c:ser>
          <c:idx val="1"/>
          <c:order val="1"/>
          <c:tx>
            <c:strRef>
              <c:f>berekeningen!$I$9</c:f>
              <c:strCache>
                <c:ptCount val="1"/>
                <c:pt idx="0">
                  <c:v>Max</c:v>
                </c:pt>
              </c:strCache>
            </c:strRef>
          </c:tx>
          <c:spPr>
            <a:ln w="28575" cap="rnd">
              <a:solidFill>
                <a:schemeClr val="accent2"/>
              </a:solidFill>
              <a:round/>
            </a:ln>
            <a:effectLst/>
          </c:spPr>
          <c:marker>
            <c:symbol val="none"/>
          </c:marker>
          <c:cat>
            <c:strRef>
              <c:f>berekeningen!$J$7:$N$7</c:f>
              <c:strCache>
                <c:ptCount val="5"/>
                <c:pt idx="0">
                  <c:v>Rick</c:v>
                </c:pt>
                <c:pt idx="1">
                  <c:v>Berend</c:v>
                </c:pt>
                <c:pt idx="2">
                  <c:v>Joris</c:v>
                </c:pt>
                <c:pt idx="3">
                  <c:v>Jan</c:v>
                </c:pt>
                <c:pt idx="4">
                  <c:v>Gemiddelde</c:v>
                </c:pt>
              </c:strCache>
            </c:strRef>
          </c:cat>
          <c:val>
            <c:numRef>
              <c:f>berekeningen!$J$9:$N$9</c:f>
              <c:numCache>
                <c:formatCode>General</c:formatCode>
                <c:ptCount val="5"/>
                <c:pt idx="0">
                  <c:v>172</c:v>
                </c:pt>
                <c:pt idx="1">
                  <c:v>165</c:v>
                </c:pt>
                <c:pt idx="2">
                  <c:v>194</c:v>
                </c:pt>
                <c:pt idx="3">
                  <c:v>164</c:v>
                </c:pt>
                <c:pt idx="4" formatCode="0">
                  <c:v>173.75</c:v>
                </c:pt>
              </c:numCache>
            </c:numRef>
          </c:val>
          <c:smooth val="0"/>
          <c:extLst>
            <c:ext xmlns:c16="http://schemas.microsoft.com/office/drawing/2014/chart" uri="{C3380CC4-5D6E-409C-BE32-E72D297353CC}">
              <c16:uniqueId val="{00000001-9D3B-4F00-9739-1BC68129DC98}"/>
            </c:ext>
          </c:extLst>
        </c:ser>
        <c:ser>
          <c:idx val="2"/>
          <c:order val="2"/>
          <c:tx>
            <c:strRef>
              <c:f>berekeningen!$I$10</c:f>
              <c:strCache>
                <c:ptCount val="1"/>
                <c:pt idx="0">
                  <c:v>Gemiddelde</c:v>
                </c:pt>
              </c:strCache>
            </c:strRef>
          </c:tx>
          <c:spPr>
            <a:ln w="28575" cap="rnd">
              <a:solidFill>
                <a:schemeClr val="accent3"/>
              </a:solidFill>
              <a:round/>
            </a:ln>
            <a:effectLst/>
          </c:spPr>
          <c:marker>
            <c:symbol val="none"/>
          </c:marker>
          <c:cat>
            <c:strRef>
              <c:f>berekeningen!$J$7:$N$7</c:f>
              <c:strCache>
                <c:ptCount val="5"/>
                <c:pt idx="0">
                  <c:v>Rick</c:v>
                </c:pt>
                <c:pt idx="1">
                  <c:v>Berend</c:v>
                </c:pt>
                <c:pt idx="2">
                  <c:v>Joris</c:v>
                </c:pt>
                <c:pt idx="3">
                  <c:v>Jan</c:v>
                </c:pt>
                <c:pt idx="4">
                  <c:v>Gemiddelde</c:v>
                </c:pt>
              </c:strCache>
            </c:strRef>
          </c:cat>
          <c:val>
            <c:numRef>
              <c:f>berekeningen!$J$10:$N$10</c:f>
              <c:numCache>
                <c:formatCode>0</c:formatCode>
                <c:ptCount val="5"/>
                <c:pt idx="0">
                  <c:v>136</c:v>
                </c:pt>
                <c:pt idx="1">
                  <c:v>116</c:v>
                </c:pt>
                <c:pt idx="2">
                  <c:v>122</c:v>
                </c:pt>
                <c:pt idx="3">
                  <c:v>120</c:v>
                </c:pt>
                <c:pt idx="4">
                  <c:v>123.5</c:v>
                </c:pt>
              </c:numCache>
            </c:numRef>
          </c:val>
          <c:smooth val="0"/>
          <c:extLst>
            <c:ext xmlns:c16="http://schemas.microsoft.com/office/drawing/2014/chart" uri="{C3380CC4-5D6E-409C-BE32-E72D297353CC}">
              <c16:uniqueId val="{00000002-9D3B-4F00-9739-1BC68129DC98}"/>
            </c:ext>
          </c:extLst>
        </c:ser>
        <c:dLbls>
          <c:showLegendKey val="0"/>
          <c:showVal val="0"/>
          <c:showCatName val="0"/>
          <c:showSerName val="0"/>
          <c:showPercent val="0"/>
          <c:showBubbleSize val="0"/>
        </c:dLbls>
        <c:smooth val="0"/>
        <c:axId val="1329232448"/>
        <c:axId val="1329232864"/>
      </c:lineChart>
      <c:catAx>
        <c:axId val="132923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232864"/>
        <c:crosses val="autoZero"/>
        <c:auto val="1"/>
        <c:lblAlgn val="ctr"/>
        <c:lblOffset val="100"/>
        <c:noMultiLvlLbl val="0"/>
      </c:catAx>
      <c:valAx>
        <c:axId val="132923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232448"/>
        <c:crosses val="autoZero"/>
        <c:crossBetween val="between"/>
      </c:valAx>
      <c:spPr>
        <a:noFill/>
        <a:ln>
          <a:noFill/>
        </a:ln>
        <a:effectLst/>
      </c:spPr>
    </c:plotArea>
    <c:legend>
      <c:legendPos val="b"/>
      <c:layout>
        <c:manualLayout>
          <c:xMode val="edge"/>
          <c:yMode val="edge"/>
          <c:x val="0.28771344225509327"/>
          <c:y val="0.89900610105855971"/>
          <c:w val="0.42944103538216305"/>
          <c:h val="7.45038327162746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berekeningen!$I$3</c:f>
              <c:strCache>
                <c:ptCount val="1"/>
                <c:pt idx="0">
                  <c:v>Min</c:v>
                </c:pt>
              </c:strCache>
            </c:strRef>
          </c:tx>
          <c:spPr>
            <a:ln w="28575" cap="rnd">
              <a:solidFill>
                <a:schemeClr val="accent1"/>
              </a:solidFill>
              <a:round/>
            </a:ln>
            <a:effectLst/>
          </c:spPr>
          <c:marker>
            <c:symbol val="none"/>
          </c:marker>
          <c:cat>
            <c:strRef>
              <c:f>berekeningen!$J$2:$N$2</c:f>
              <c:strCache>
                <c:ptCount val="5"/>
                <c:pt idx="0">
                  <c:v>Rick</c:v>
                </c:pt>
                <c:pt idx="1">
                  <c:v>Berend</c:v>
                </c:pt>
                <c:pt idx="2">
                  <c:v>Joris</c:v>
                </c:pt>
                <c:pt idx="3">
                  <c:v>Jan</c:v>
                </c:pt>
                <c:pt idx="4">
                  <c:v>Gemiddelde</c:v>
                </c:pt>
              </c:strCache>
            </c:strRef>
          </c:cat>
          <c:val>
            <c:numRef>
              <c:f>berekeningen!$J$3:$N$3</c:f>
              <c:numCache>
                <c:formatCode>0</c:formatCode>
                <c:ptCount val="5"/>
                <c:pt idx="0">
                  <c:v>1960</c:v>
                </c:pt>
                <c:pt idx="1">
                  <c:v>1967</c:v>
                </c:pt>
                <c:pt idx="2">
                  <c:v>1980</c:v>
                </c:pt>
                <c:pt idx="3">
                  <c:v>1942</c:v>
                </c:pt>
                <c:pt idx="4">
                  <c:v>1962.25</c:v>
                </c:pt>
              </c:numCache>
            </c:numRef>
          </c:val>
          <c:smooth val="0"/>
          <c:extLst>
            <c:ext xmlns:c16="http://schemas.microsoft.com/office/drawing/2014/chart" uri="{C3380CC4-5D6E-409C-BE32-E72D297353CC}">
              <c16:uniqueId val="{00000000-1BF5-44B7-8B33-6CF1BB6D14E6}"/>
            </c:ext>
          </c:extLst>
        </c:ser>
        <c:ser>
          <c:idx val="1"/>
          <c:order val="1"/>
          <c:tx>
            <c:strRef>
              <c:f>berekeningen!$I$4</c:f>
              <c:strCache>
                <c:ptCount val="1"/>
                <c:pt idx="0">
                  <c:v>Max</c:v>
                </c:pt>
              </c:strCache>
            </c:strRef>
          </c:tx>
          <c:spPr>
            <a:ln w="28575" cap="rnd">
              <a:solidFill>
                <a:schemeClr val="accent2"/>
              </a:solidFill>
              <a:round/>
            </a:ln>
            <a:effectLst/>
          </c:spPr>
          <c:marker>
            <c:symbol val="none"/>
          </c:marker>
          <c:cat>
            <c:strRef>
              <c:f>berekeningen!$J$2:$N$2</c:f>
              <c:strCache>
                <c:ptCount val="5"/>
                <c:pt idx="0">
                  <c:v>Rick</c:v>
                </c:pt>
                <c:pt idx="1">
                  <c:v>Berend</c:v>
                </c:pt>
                <c:pt idx="2">
                  <c:v>Joris</c:v>
                </c:pt>
                <c:pt idx="3">
                  <c:v>Jan</c:v>
                </c:pt>
                <c:pt idx="4">
                  <c:v>Gemiddelde</c:v>
                </c:pt>
              </c:strCache>
            </c:strRef>
          </c:cat>
          <c:val>
            <c:numRef>
              <c:f>berekeningen!$J$4:$N$4</c:f>
              <c:numCache>
                <c:formatCode>0</c:formatCode>
                <c:ptCount val="5"/>
                <c:pt idx="0">
                  <c:v>2024</c:v>
                </c:pt>
                <c:pt idx="1">
                  <c:v>2024</c:v>
                </c:pt>
                <c:pt idx="2">
                  <c:v>2023</c:v>
                </c:pt>
                <c:pt idx="3">
                  <c:v>2023</c:v>
                </c:pt>
                <c:pt idx="4">
                  <c:v>2023.5</c:v>
                </c:pt>
              </c:numCache>
            </c:numRef>
          </c:val>
          <c:smooth val="0"/>
          <c:extLst>
            <c:ext xmlns:c16="http://schemas.microsoft.com/office/drawing/2014/chart" uri="{C3380CC4-5D6E-409C-BE32-E72D297353CC}">
              <c16:uniqueId val="{00000001-1BF5-44B7-8B33-6CF1BB6D14E6}"/>
            </c:ext>
          </c:extLst>
        </c:ser>
        <c:ser>
          <c:idx val="2"/>
          <c:order val="2"/>
          <c:tx>
            <c:strRef>
              <c:f>berekeningen!$I$5</c:f>
              <c:strCache>
                <c:ptCount val="1"/>
                <c:pt idx="0">
                  <c:v>Gemiddelde</c:v>
                </c:pt>
              </c:strCache>
            </c:strRef>
          </c:tx>
          <c:spPr>
            <a:ln w="28575" cap="rnd">
              <a:solidFill>
                <a:schemeClr val="accent3"/>
              </a:solidFill>
              <a:round/>
            </a:ln>
            <a:effectLst/>
          </c:spPr>
          <c:marker>
            <c:symbol val="none"/>
          </c:marker>
          <c:cat>
            <c:strRef>
              <c:f>berekeningen!$J$2:$N$2</c:f>
              <c:strCache>
                <c:ptCount val="5"/>
                <c:pt idx="0">
                  <c:v>Rick</c:v>
                </c:pt>
                <c:pt idx="1">
                  <c:v>Berend</c:v>
                </c:pt>
                <c:pt idx="2">
                  <c:v>Joris</c:v>
                </c:pt>
                <c:pt idx="3">
                  <c:v>Jan</c:v>
                </c:pt>
                <c:pt idx="4">
                  <c:v>Gemiddelde</c:v>
                </c:pt>
              </c:strCache>
            </c:strRef>
          </c:cat>
          <c:val>
            <c:numRef>
              <c:f>berekeningen!$J$5:$N$5</c:f>
              <c:numCache>
                <c:formatCode>0</c:formatCode>
                <c:ptCount val="5"/>
                <c:pt idx="0">
                  <c:v>2016</c:v>
                </c:pt>
                <c:pt idx="1">
                  <c:v>2013</c:v>
                </c:pt>
                <c:pt idx="2">
                  <c:v>2007</c:v>
                </c:pt>
                <c:pt idx="3">
                  <c:v>2004</c:v>
                </c:pt>
                <c:pt idx="4">
                  <c:v>2010</c:v>
                </c:pt>
              </c:numCache>
            </c:numRef>
          </c:val>
          <c:smooth val="0"/>
          <c:extLst>
            <c:ext xmlns:c16="http://schemas.microsoft.com/office/drawing/2014/chart" uri="{C3380CC4-5D6E-409C-BE32-E72D297353CC}">
              <c16:uniqueId val="{00000002-1BF5-44B7-8B33-6CF1BB6D14E6}"/>
            </c:ext>
          </c:extLst>
        </c:ser>
        <c:dLbls>
          <c:showLegendKey val="0"/>
          <c:showVal val="0"/>
          <c:showCatName val="0"/>
          <c:showSerName val="0"/>
          <c:showPercent val="0"/>
          <c:showBubbleSize val="0"/>
        </c:dLbls>
        <c:smooth val="0"/>
        <c:axId val="1376322960"/>
        <c:axId val="1376328784"/>
      </c:lineChart>
      <c:catAx>
        <c:axId val="137632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28784"/>
        <c:crosses val="autoZero"/>
        <c:auto val="1"/>
        <c:lblAlgn val="ctr"/>
        <c:lblOffset val="100"/>
        <c:noMultiLvlLbl val="0"/>
      </c:catAx>
      <c:valAx>
        <c:axId val="1376328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22960"/>
        <c:crosses val="autoZero"/>
        <c:crossBetween val="between"/>
      </c:valAx>
      <c:spPr>
        <a:noFill/>
        <a:ln>
          <a:noFill/>
        </a:ln>
        <a:effectLst/>
      </c:spPr>
    </c:plotArea>
    <c:legend>
      <c:legendPos val="b"/>
      <c:layout>
        <c:manualLayout>
          <c:xMode val="edge"/>
          <c:yMode val="edge"/>
          <c:x val="0.31591234096465559"/>
          <c:y val="0.89459109002103199"/>
          <c:w val="0.3950442979648377"/>
          <c:h val="7.45038327162746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berekeningen!$A$3</c:f>
              <c:strCache>
                <c:ptCount val="1"/>
                <c:pt idx="0">
                  <c:v>Action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berekeningen!$C$3:$F$3</c:f>
              <c:numCache>
                <c:formatCode>0.0</c:formatCode>
                <c:ptCount val="4"/>
                <c:pt idx="0">
                  <c:v>4.3166666666666664</c:v>
                </c:pt>
                <c:pt idx="1">
                  <c:v>5.0083333333333337</c:v>
                </c:pt>
                <c:pt idx="2">
                  <c:v>3.416666666666667</c:v>
                </c:pt>
                <c:pt idx="3">
                  <c:v>4.5095238095238095</c:v>
                </c:pt>
              </c:numCache>
            </c:numRef>
          </c:val>
          <c:extLst>
            <c:ext xmlns:c16="http://schemas.microsoft.com/office/drawing/2014/chart" uri="{C3380CC4-5D6E-409C-BE32-E72D297353CC}">
              <c16:uniqueId val="{00000000-B8C6-4F0E-831D-3C131D2AC24C}"/>
            </c:ext>
          </c:extLst>
        </c:ser>
        <c:ser>
          <c:idx val="1"/>
          <c:order val="1"/>
          <c:tx>
            <c:strRef>
              <c:f>berekeningen!$A$4</c:f>
              <c:strCache>
                <c:ptCount val="1"/>
                <c:pt idx="0">
                  <c:v>Adventure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berekeningen!$C$4:$F$4</c:f>
              <c:numCache>
                <c:formatCode>0.0</c:formatCode>
                <c:ptCount val="4"/>
                <c:pt idx="0">
                  <c:v>2.9666666666666668</c:v>
                </c:pt>
                <c:pt idx="1">
                  <c:v>1.5083333333333333</c:v>
                </c:pt>
                <c:pt idx="2">
                  <c:v>1.4833333333333334</c:v>
                </c:pt>
                <c:pt idx="3">
                  <c:v>2.3928571428571428</c:v>
                </c:pt>
              </c:numCache>
            </c:numRef>
          </c:val>
          <c:extLst>
            <c:ext xmlns:c16="http://schemas.microsoft.com/office/drawing/2014/chart" uri="{C3380CC4-5D6E-409C-BE32-E72D297353CC}">
              <c16:uniqueId val="{00000001-B8C6-4F0E-831D-3C131D2AC24C}"/>
            </c:ext>
          </c:extLst>
        </c:ser>
        <c:ser>
          <c:idx val="2"/>
          <c:order val="2"/>
          <c:tx>
            <c:strRef>
              <c:f>berekeningen!$A$5</c:f>
              <c:strCache>
                <c:ptCount val="1"/>
                <c:pt idx="0">
                  <c:v>Animation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berekeningen!$C$5:$F$5</c:f>
              <c:numCache>
                <c:formatCode>0.0</c:formatCode>
                <c:ptCount val="4"/>
                <c:pt idx="0">
                  <c:v>0</c:v>
                </c:pt>
                <c:pt idx="1">
                  <c:v>0.77499999999999991</c:v>
                </c:pt>
                <c:pt idx="2">
                  <c:v>0.7</c:v>
                </c:pt>
                <c:pt idx="3">
                  <c:v>0</c:v>
                </c:pt>
              </c:numCache>
            </c:numRef>
          </c:val>
          <c:extLst>
            <c:ext xmlns:c16="http://schemas.microsoft.com/office/drawing/2014/chart" uri="{C3380CC4-5D6E-409C-BE32-E72D297353CC}">
              <c16:uniqueId val="{00000002-B8C6-4F0E-831D-3C131D2AC24C}"/>
            </c:ext>
          </c:extLst>
        </c:ser>
        <c:ser>
          <c:idx val="3"/>
          <c:order val="3"/>
          <c:tx>
            <c:strRef>
              <c:f>berekeningen!$A$6</c:f>
              <c:strCache>
                <c:ptCount val="1"/>
                <c:pt idx="0">
                  <c:v>Biography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berekeningen!$C$6:$F$6</c:f>
              <c:numCache>
                <c:formatCode>0.0</c:formatCode>
                <c:ptCount val="4"/>
                <c:pt idx="0">
                  <c:v>0.66666666666666663</c:v>
                </c:pt>
                <c:pt idx="1">
                  <c:v>0.66666666666666663</c:v>
                </c:pt>
                <c:pt idx="2">
                  <c:v>1.7499999999999998</c:v>
                </c:pt>
                <c:pt idx="3">
                  <c:v>0.58333333333333326</c:v>
                </c:pt>
              </c:numCache>
            </c:numRef>
          </c:val>
          <c:extLst>
            <c:ext xmlns:c16="http://schemas.microsoft.com/office/drawing/2014/chart" uri="{C3380CC4-5D6E-409C-BE32-E72D297353CC}">
              <c16:uniqueId val="{00000003-B8C6-4F0E-831D-3C131D2AC24C}"/>
            </c:ext>
          </c:extLst>
        </c:ser>
        <c:ser>
          <c:idx val="4"/>
          <c:order val="4"/>
          <c:tx>
            <c:strRef>
              <c:f>berekeningen!$A$7</c:f>
              <c:strCache>
                <c:ptCount val="1"/>
                <c:pt idx="0">
                  <c:v>Comedy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berekeningen!$C$7:$F$7</c:f>
              <c:numCache>
                <c:formatCode>0.0</c:formatCode>
                <c:ptCount val="4"/>
                <c:pt idx="0">
                  <c:v>5.5833333333333321</c:v>
                </c:pt>
                <c:pt idx="1">
                  <c:v>4.4000000000000004</c:v>
                </c:pt>
                <c:pt idx="2">
                  <c:v>4.9833333333333343</c:v>
                </c:pt>
                <c:pt idx="3">
                  <c:v>5.3428571428571425</c:v>
                </c:pt>
              </c:numCache>
            </c:numRef>
          </c:val>
          <c:extLst>
            <c:ext xmlns:c16="http://schemas.microsoft.com/office/drawing/2014/chart" uri="{C3380CC4-5D6E-409C-BE32-E72D297353CC}">
              <c16:uniqueId val="{00000004-B8C6-4F0E-831D-3C131D2AC24C}"/>
            </c:ext>
          </c:extLst>
        </c:ser>
        <c:ser>
          <c:idx val="5"/>
          <c:order val="5"/>
          <c:tx>
            <c:strRef>
              <c:f>berekeningen!$A$8</c:f>
              <c:strCache>
                <c:ptCount val="1"/>
                <c:pt idx="0">
                  <c:v>Crime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berekeningen!$C$8:$F$8</c:f>
              <c:numCache>
                <c:formatCode>0.0</c:formatCode>
                <c:ptCount val="4"/>
                <c:pt idx="0">
                  <c:v>2.6166666666666663</c:v>
                </c:pt>
                <c:pt idx="1">
                  <c:v>5.5166666666666666</c:v>
                </c:pt>
                <c:pt idx="2">
                  <c:v>1.25</c:v>
                </c:pt>
                <c:pt idx="3">
                  <c:v>1.4166666666666665</c:v>
                </c:pt>
              </c:numCache>
            </c:numRef>
          </c:val>
          <c:extLst>
            <c:ext xmlns:c16="http://schemas.microsoft.com/office/drawing/2014/chart" uri="{C3380CC4-5D6E-409C-BE32-E72D297353CC}">
              <c16:uniqueId val="{00000005-B8C6-4F0E-831D-3C131D2AC24C}"/>
            </c:ext>
          </c:extLst>
        </c:ser>
        <c:ser>
          <c:idx val="6"/>
          <c:order val="6"/>
          <c:tx>
            <c:strRef>
              <c:f>berekeningen!$A$9</c:f>
              <c:strCache>
                <c:ptCount val="1"/>
                <c:pt idx="0">
                  <c:v>Documentary</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berekeningen!$C$9:$F$9</c:f>
              <c:numCache>
                <c:formatCode>0.0</c:formatCode>
                <c:ptCount val="4"/>
                <c:pt idx="0">
                  <c:v>0</c:v>
                </c:pt>
                <c:pt idx="1">
                  <c:v>0.33333333333333331</c:v>
                </c:pt>
                <c:pt idx="2">
                  <c:v>0</c:v>
                </c:pt>
                <c:pt idx="3">
                  <c:v>0</c:v>
                </c:pt>
              </c:numCache>
            </c:numRef>
          </c:val>
          <c:extLst>
            <c:ext xmlns:c16="http://schemas.microsoft.com/office/drawing/2014/chart" uri="{C3380CC4-5D6E-409C-BE32-E72D297353CC}">
              <c16:uniqueId val="{00000006-B8C6-4F0E-831D-3C131D2AC24C}"/>
            </c:ext>
          </c:extLst>
        </c:ser>
        <c:ser>
          <c:idx val="7"/>
          <c:order val="7"/>
          <c:tx>
            <c:strRef>
              <c:f>berekeningen!$A$10</c:f>
              <c:strCache>
                <c:ptCount val="1"/>
                <c:pt idx="0">
                  <c:v>Drama</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berekeningen!$C$10:$F$10</c:f>
              <c:numCache>
                <c:formatCode>0.0</c:formatCode>
                <c:ptCount val="4"/>
                <c:pt idx="0">
                  <c:v>6.4999999999999982</c:v>
                </c:pt>
                <c:pt idx="1">
                  <c:v>8.1749999999999989</c:v>
                </c:pt>
                <c:pt idx="2">
                  <c:v>5.9499999999999993</c:v>
                </c:pt>
                <c:pt idx="3">
                  <c:v>6.0666666666666655</c:v>
                </c:pt>
              </c:numCache>
            </c:numRef>
          </c:val>
          <c:extLst>
            <c:ext xmlns:c16="http://schemas.microsoft.com/office/drawing/2014/chart" uri="{C3380CC4-5D6E-409C-BE32-E72D297353CC}">
              <c16:uniqueId val="{00000007-B8C6-4F0E-831D-3C131D2AC24C}"/>
            </c:ext>
          </c:extLst>
        </c:ser>
        <c:ser>
          <c:idx val="8"/>
          <c:order val="8"/>
          <c:tx>
            <c:strRef>
              <c:f>berekeningen!$A$11</c:f>
              <c:strCache>
                <c:ptCount val="1"/>
                <c:pt idx="0">
                  <c:v>Family</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berekeningen!$C$11:$F$11</c:f>
              <c:numCache>
                <c:formatCode>0.0</c:formatCode>
                <c:ptCount val="4"/>
                <c:pt idx="0">
                  <c:v>0.33333333333333331</c:v>
                </c:pt>
                <c:pt idx="1">
                  <c:v>0.98333333333333339</c:v>
                </c:pt>
                <c:pt idx="2">
                  <c:v>0.53333333333333333</c:v>
                </c:pt>
                <c:pt idx="3">
                  <c:v>0.33333333333333331</c:v>
                </c:pt>
              </c:numCache>
            </c:numRef>
          </c:val>
          <c:extLst>
            <c:ext xmlns:c16="http://schemas.microsoft.com/office/drawing/2014/chart" uri="{C3380CC4-5D6E-409C-BE32-E72D297353CC}">
              <c16:uniqueId val="{00000008-B8C6-4F0E-831D-3C131D2AC24C}"/>
            </c:ext>
          </c:extLst>
        </c:ser>
        <c:ser>
          <c:idx val="9"/>
          <c:order val="9"/>
          <c:tx>
            <c:strRef>
              <c:f>berekeningen!$A$12</c:f>
              <c:strCache>
                <c:ptCount val="1"/>
                <c:pt idx="0">
                  <c:v>Fantasy</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berekeningen!$C$12:$F$12</c:f>
              <c:numCache>
                <c:formatCode>0.0</c:formatCode>
                <c:ptCount val="4"/>
                <c:pt idx="0">
                  <c:v>1.2333333333333332</c:v>
                </c:pt>
                <c:pt idx="1">
                  <c:v>0.32500000000000001</c:v>
                </c:pt>
                <c:pt idx="2">
                  <c:v>0.53333333333333333</c:v>
                </c:pt>
                <c:pt idx="3">
                  <c:v>1.2595238095238095</c:v>
                </c:pt>
              </c:numCache>
            </c:numRef>
          </c:val>
          <c:extLst>
            <c:ext xmlns:c16="http://schemas.microsoft.com/office/drawing/2014/chart" uri="{C3380CC4-5D6E-409C-BE32-E72D297353CC}">
              <c16:uniqueId val="{00000009-B8C6-4F0E-831D-3C131D2AC24C}"/>
            </c:ext>
          </c:extLst>
        </c:ser>
        <c:ser>
          <c:idx val="10"/>
          <c:order val="10"/>
          <c:tx>
            <c:strRef>
              <c:f>berekeningen!$A$13</c:f>
              <c:strCache>
                <c:ptCount val="1"/>
                <c:pt idx="0">
                  <c:v>History</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berekeningen!$C$13:$F$13</c:f>
              <c:numCache>
                <c:formatCode>0.0</c:formatCode>
                <c:ptCount val="4"/>
                <c:pt idx="0">
                  <c:v>1.4999999999999998</c:v>
                </c:pt>
                <c:pt idx="1">
                  <c:v>0</c:v>
                </c:pt>
                <c:pt idx="2">
                  <c:v>0.25</c:v>
                </c:pt>
                <c:pt idx="3">
                  <c:v>0.91666666666666652</c:v>
                </c:pt>
              </c:numCache>
            </c:numRef>
          </c:val>
          <c:extLst>
            <c:ext xmlns:c16="http://schemas.microsoft.com/office/drawing/2014/chart" uri="{C3380CC4-5D6E-409C-BE32-E72D297353CC}">
              <c16:uniqueId val="{0000000A-B8C6-4F0E-831D-3C131D2AC24C}"/>
            </c:ext>
          </c:extLst>
        </c:ser>
        <c:ser>
          <c:idx val="11"/>
          <c:order val="11"/>
          <c:tx>
            <c:strRef>
              <c:f>berekeningen!$A$14</c:f>
              <c:strCache>
                <c:ptCount val="1"/>
                <c:pt idx="0">
                  <c:v>Horror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berekeningen!$C$14:$F$14</c:f>
              <c:numCache>
                <c:formatCode>0.0</c:formatCode>
                <c:ptCount val="4"/>
                <c:pt idx="0">
                  <c:v>1.3333333333333333</c:v>
                </c:pt>
                <c:pt idx="1">
                  <c:v>0.33333333333333331</c:v>
                </c:pt>
                <c:pt idx="2">
                  <c:v>0.83333333333333326</c:v>
                </c:pt>
                <c:pt idx="3">
                  <c:v>2.5595238095238093</c:v>
                </c:pt>
              </c:numCache>
            </c:numRef>
          </c:val>
          <c:extLst>
            <c:ext xmlns:c16="http://schemas.microsoft.com/office/drawing/2014/chart" uri="{C3380CC4-5D6E-409C-BE32-E72D297353CC}">
              <c16:uniqueId val="{0000000B-B8C6-4F0E-831D-3C131D2AC24C}"/>
            </c:ext>
          </c:extLst>
        </c:ser>
        <c:ser>
          <c:idx val="12"/>
          <c:order val="12"/>
          <c:tx>
            <c:strRef>
              <c:f>berekeningen!$A$15</c:f>
              <c:strCache>
                <c:ptCount val="1"/>
                <c:pt idx="0">
                  <c:v>Music</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berekeningen!$C$15:$F$15</c:f>
              <c:numCache>
                <c:formatCode>0.0</c:formatCode>
                <c:ptCount val="4"/>
                <c:pt idx="0">
                  <c:v>0.2</c:v>
                </c:pt>
                <c:pt idx="1">
                  <c:v>1.4166666666666665</c:v>
                </c:pt>
                <c:pt idx="2">
                  <c:v>0.33333333333333331</c:v>
                </c:pt>
                <c:pt idx="3">
                  <c:v>0.91666666666666652</c:v>
                </c:pt>
              </c:numCache>
            </c:numRef>
          </c:val>
          <c:extLst>
            <c:ext xmlns:c16="http://schemas.microsoft.com/office/drawing/2014/chart" uri="{C3380CC4-5D6E-409C-BE32-E72D297353CC}">
              <c16:uniqueId val="{0000000C-B8C6-4F0E-831D-3C131D2AC24C}"/>
            </c:ext>
          </c:extLst>
        </c:ser>
        <c:ser>
          <c:idx val="13"/>
          <c:order val="13"/>
          <c:tx>
            <c:strRef>
              <c:f>berekeningen!$A$16</c:f>
              <c:strCache>
                <c:ptCount val="1"/>
                <c:pt idx="0">
                  <c:v>Mystery</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berekeningen!$C$16:$F$16</c:f>
              <c:numCache>
                <c:formatCode>0.0</c:formatCode>
                <c:ptCount val="4"/>
                <c:pt idx="0">
                  <c:v>1.5333333333333332</c:v>
                </c:pt>
                <c:pt idx="1">
                  <c:v>1.4833333333333332</c:v>
                </c:pt>
                <c:pt idx="2">
                  <c:v>0.33333333333333331</c:v>
                </c:pt>
                <c:pt idx="3">
                  <c:v>1.2333333333333332</c:v>
                </c:pt>
              </c:numCache>
            </c:numRef>
          </c:val>
          <c:extLst>
            <c:ext xmlns:c16="http://schemas.microsoft.com/office/drawing/2014/chart" uri="{C3380CC4-5D6E-409C-BE32-E72D297353CC}">
              <c16:uniqueId val="{0000000D-B8C6-4F0E-831D-3C131D2AC24C}"/>
            </c:ext>
          </c:extLst>
        </c:ser>
        <c:ser>
          <c:idx val="14"/>
          <c:order val="14"/>
          <c:tx>
            <c:strRef>
              <c:f>berekeningen!$A$17</c:f>
              <c:strCache>
                <c:ptCount val="1"/>
                <c:pt idx="0">
                  <c:v>Romance</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berekeningen!$C$17:$F$17</c:f>
              <c:numCache>
                <c:formatCode>0.0</c:formatCode>
                <c:ptCount val="4"/>
                <c:pt idx="0">
                  <c:v>1.583333333333333</c:v>
                </c:pt>
                <c:pt idx="1">
                  <c:v>1.7916666666666665</c:v>
                </c:pt>
                <c:pt idx="2">
                  <c:v>1.0333333333333332</c:v>
                </c:pt>
                <c:pt idx="3">
                  <c:v>1.583333333333333</c:v>
                </c:pt>
              </c:numCache>
            </c:numRef>
          </c:val>
          <c:extLst>
            <c:ext xmlns:c16="http://schemas.microsoft.com/office/drawing/2014/chart" uri="{C3380CC4-5D6E-409C-BE32-E72D297353CC}">
              <c16:uniqueId val="{0000000E-B8C6-4F0E-831D-3C131D2AC24C}"/>
            </c:ext>
          </c:extLst>
        </c:ser>
        <c:ser>
          <c:idx val="15"/>
          <c:order val="15"/>
          <c:tx>
            <c:strRef>
              <c:f>berekeningen!$A$18</c:f>
              <c:strCache>
                <c:ptCount val="1"/>
                <c:pt idx="0">
                  <c:v>Sci-Fi</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berekeningen!$C$18:$F$18</c:f>
              <c:numCache>
                <c:formatCode>0.0</c:formatCode>
                <c:ptCount val="4"/>
                <c:pt idx="0">
                  <c:v>3.3</c:v>
                </c:pt>
                <c:pt idx="1">
                  <c:v>0.73333333333333339</c:v>
                </c:pt>
                <c:pt idx="2">
                  <c:v>0.7</c:v>
                </c:pt>
                <c:pt idx="3">
                  <c:v>3.4261904761904765</c:v>
                </c:pt>
              </c:numCache>
            </c:numRef>
          </c:val>
          <c:extLst>
            <c:ext xmlns:c16="http://schemas.microsoft.com/office/drawing/2014/chart" uri="{C3380CC4-5D6E-409C-BE32-E72D297353CC}">
              <c16:uniqueId val="{0000000F-B8C6-4F0E-831D-3C131D2AC24C}"/>
            </c:ext>
          </c:extLst>
        </c:ser>
        <c:ser>
          <c:idx val="16"/>
          <c:order val="16"/>
          <c:tx>
            <c:strRef>
              <c:f>berekeningen!$A$19</c:f>
              <c:strCache>
                <c:ptCount val="1"/>
                <c:pt idx="0">
                  <c:v>Sport</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berekeningen!$C$19:$F$19</c:f>
              <c:numCache>
                <c:formatCode>0.0</c:formatCode>
                <c:ptCount val="4"/>
                <c:pt idx="0">
                  <c:v>0</c:v>
                </c:pt>
                <c:pt idx="1">
                  <c:v>0.45833333333333331</c:v>
                </c:pt>
                <c:pt idx="2">
                  <c:v>0.58333333333333326</c:v>
                </c:pt>
                <c:pt idx="3">
                  <c:v>0.5</c:v>
                </c:pt>
              </c:numCache>
            </c:numRef>
          </c:val>
          <c:extLst>
            <c:ext xmlns:c16="http://schemas.microsoft.com/office/drawing/2014/chart" uri="{C3380CC4-5D6E-409C-BE32-E72D297353CC}">
              <c16:uniqueId val="{00000010-B8C6-4F0E-831D-3C131D2AC24C}"/>
            </c:ext>
          </c:extLst>
        </c:ser>
        <c:ser>
          <c:idx val="17"/>
          <c:order val="17"/>
          <c:tx>
            <c:strRef>
              <c:f>berekeningen!$A$20</c:f>
              <c:strCache>
                <c:ptCount val="1"/>
                <c:pt idx="0">
                  <c:v>Thriller</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berekeningen!$C$20:$F$20</c:f>
              <c:numCache>
                <c:formatCode>0.0</c:formatCode>
                <c:ptCount val="4"/>
                <c:pt idx="0">
                  <c:v>5.45</c:v>
                </c:pt>
                <c:pt idx="1">
                  <c:v>5.4250000000000007</c:v>
                </c:pt>
                <c:pt idx="2">
                  <c:v>4.166666666666667</c:v>
                </c:pt>
                <c:pt idx="3">
                  <c:v>3.1261904761904766</c:v>
                </c:pt>
              </c:numCache>
            </c:numRef>
          </c:val>
          <c:extLst>
            <c:ext xmlns:c16="http://schemas.microsoft.com/office/drawing/2014/chart" uri="{C3380CC4-5D6E-409C-BE32-E72D297353CC}">
              <c16:uniqueId val="{00000011-B8C6-4F0E-831D-3C131D2AC24C}"/>
            </c:ext>
          </c:extLst>
        </c:ser>
        <c:ser>
          <c:idx val="18"/>
          <c:order val="18"/>
          <c:tx>
            <c:strRef>
              <c:f>berekeningen!$A$21</c:f>
              <c:strCache>
                <c:ptCount val="1"/>
                <c:pt idx="0">
                  <c:v>War</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berekeningen!$C$2:$F$2</c:f>
              <c:strCache>
                <c:ptCount val="4"/>
                <c:pt idx="0">
                  <c:v>Rick</c:v>
                </c:pt>
                <c:pt idx="1">
                  <c:v>Berend</c:v>
                </c:pt>
                <c:pt idx="2">
                  <c:v>Joris</c:v>
                </c:pt>
                <c:pt idx="3">
                  <c:v>Jan</c:v>
                </c:pt>
              </c:strCache>
            </c:strRef>
          </c:cat>
          <c:val>
            <c:numRef>
              <c:f>berekeningen!$C$21:$F$21</c:f>
              <c:numCache>
                <c:formatCode>0.0</c:formatCode>
                <c:ptCount val="4"/>
                <c:pt idx="0">
                  <c:v>0.58333333333333326</c:v>
                </c:pt>
                <c:pt idx="1">
                  <c:v>0.66666666666666663</c:v>
                </c:pt>
                <c:pt idx="2">
                  <c:v>0.83333333333333326</c:v>
                </c:pt>
                <c:pt idx="3">
                  <c:v>1.5833333333333333</c:v>
                </c:pt>
              </c:numCache>
            </c:numRef>
          </c:val>
          <c:extLst>
            <c:ext xmlns:c16="http://schemas.microsoft.com/office/drawing/2014/chart" uri="{C3380CC4-5D6E-409C-BE32-E72D297353CC}">
              <c16:uniqueId val="{00000012-B8C6-4F0E-831D-3C131D2AC24C}"/>
            </c:ext>
          </c:extLst>
        </c:ser>
        <c:dLbls>
          <c:showLegendKey val="0"/>
          <c:showVal val="1"/>
          <c:showCatName val="0"/>
          <c:showSerName val="0"/>
          <c:showPercent val="0"/>
          <c:showBubbleSize val="0"/>
        </c:dLbls>
        <c:gapWidth val="75"/>
        <c:overlap val="100"/>
        <c:axId val="153936128"/>
        <c:axId val="153944864"/>
      </c:barChart>
      <c:catAx>
        <c:axId val="15393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44864"/>
        <c:crosses val="autoZero"/>
        <c:auto val="1"/>
        <c:lblAlgn val="ctr"/>
        <c:lblOffset val="100"/>
        <c:noMultiLvlLbl val="0"/>
      </c:catAx>
      <c:valAx>
        <c:axId val="1539448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36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Score over tijd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1"/>
          <c:order val="0"/>
          <c:tx>
            <c:strRef>
              <c:f>Mastersheet!$N$1</c:f>
              <c:strCache>
                <c:ptCount val="1"/>
                <c:pt idx="0">
                  <c:v>Score</c:v>
                </c:pt>
              </c:strCache>
            </c:strRef>
          </c:tx>
          <c:spPr>
            <a:ln w="28575" cap="rnd">
              <a:solidFill>
                <a:schemeClr val="accent6">
                  <a:lumMod val="60000"/>
                </a:schemeClr>
              </a:solidFill>
              <a:round/>
            </a:ln>
            <a:effectLst/>
          </c:spPr>
          <c:marker>
            <c:symbol val="none"/>
          </c:marker>
          <c:trendline>
            <c:name>trend</c:name>
            <c:spPr>
              <a:ln w="19050" cap="rnd">
                <a:solidFill>
                  <a:schemeClr val="accent6">
                    <a:lumMod val="60000"/>
                  </a:schemeClr>
                </a:solidFill>
                <a:prstDash val="sysDot"/>
              </a:ln>
              <a:effectLst/>
            </c:spPr>
            <c:trendlineType val="linear"/>
            <c:dispRSqr val="0"/>
            <c:dispEq val="0"/>
          </c:trendline>
          <c:cat>
            <c:numRef>
              <c:f>Mastersheet!$C$2:$C$156</c:f>
              <c:numCache>
                <c:formatCode>General</c:formatCode>
                <c:ptCount val="155"/>
                <c:pt idx="0">
                  <c:v>0</c:v>
                </c:pt>
                <c:pt idx="1">
                  <c:v>0</c:v>
                </c:pt>
                <c:pt idx="2">
                  <c:v>1</c:v>
                </c:pt>
                <c:pt idx="3">
                  <c:v>1</c:v>
                </c:pt>
                <c:pt idx="4">
                  <c:v>1</c:v>
                </c:pt>
                <c:pt idx="5">
                  <c:v>1</c:v>
                </c:pt>
                <c:pt idx="6">
                  <c:v>2</c:v>
                </c:pt>
                <c:pt idx="7">
                  <c:v>2</c:v>
                </c:pt>
                <c:pt idx="8">
                  <c:v>2</c:v>
                </c:pt>
                <c:pt idx="9">
                  <c:v>2</c:v>
                </c:pt>
                <c:pt idx="10">
                  <c:v>3</c:v>
                </c:pt>
                <c:pt idx="11">
                  <c:v>3</c:v>
                </c:pt>
                <c:pt idx="12">
                  <c:v>3</c:v>
                </c:pt>
                <c:pt idx="13">
                  <c:v>3</c:v>
                </c:pt>
                <c:pt idx="14">
                  <c:v>4</c:v>
                </c:pt>
                <c:pt idx="15">
                  <c:v>4</c:v>
                </c:pt>
                <c:pt idx="16">
                  <c:v>4</c:v>
                </c:pt>
                <c:pt idx="17">
                  <c:v>4</c:v>
                </c:pt>
                <c:pt idx="18">
                  <c:v>5</c:v>
                </c:pt>
                <c:pt idx="19">
                  <c:v>5</c:v>
                </c:pt>
                <c:pt idx="20">
                  <c:v>5</c:v>
                </c:pt>
                <c:pt idx="21">
                  <c:v>5</c:v>
                </c:pt>
                <c:pt idx="22">
                  <c:v>6</c:v>
                </c:pt>
                <c:pt idx="23">
                  <c:v>6</c:v>
                </c:pt>
                <c:pt idx="24">
                  <c:v>6</c:v>
                </c:pt>
                <c:pt idx="25">
                  <c:v>6</c:v>
                </c:pt>
                <c:pt idx="26">
                  <c:v>7</c:v>
                </c:pt>
                <c:pt idx="27">
                  <c:v>7</c:v>
                </c:pt>
                <c:pt idx="28">
                  <c:v>7</c:v>
                </c:pt>
                <c:pt idx="29">
                  <c:v>7</c:v>
                </c:pt>
                <c:pt idx="30">
                  <c:v>8</c:v>
                </c:pt>
                <c:pt idx="31">
                  <c:v>8</c:v>
                </c:pt>
                <c:pt idx="32">
                  <c:v>8</c:v>
                </c:pt>
                <c:pt idx="33">
                  <c:v>8</c:v>
                </c:pt>
                <c:pt idx="34">
                  <c:v>9</c:v>
                </c:pt>
                <c:pt idx="35">
                  <c:v>9</c:v>
                </c:pt>
                <c:pt idx="36">
                  <c:v>9</c:v>
                </c:pt>
                <c:pt idx="37">
                  <c:v>9</c:v>
                </c:pt>
                <c:pt idx="38">
                  <c:v>10</c:v>
                </c:pt>
                <c:pt idx="39">
                  <c:v>10</c:v>
                </c:pt>
                <c:pt idx="40">
                  <c:v>10</c:v>
                </c:pt>
                <c:pt idx="41">
                  <c:v>10</c:v>
                </c:pt>
                <c:pt idx="42">
                  <c:v>11</c:v>
                </c:pt>
                <c:pt idx="43">
                  <c:v>11</c:v>
                </c:pt>
                <c:pt idx="44">
                  <c:v>11</c:v>
                </c:pt>
                <c:pt idx="45">
                  <c:v>11</c:v>
                </c:pt>
                <c:pt idx="46">
                  <c:v>12</c:v>
                </c:pt>
                <c:pt idx="47">
                  <c:v>12</c:v>
                </c:pt>
                <c:pt idx="48">
                  <c:v>12</c:v>
                </c:pt>
                <c:pt idx="49">
                  <c:v>12</c:v>
                </c:pt>
                <c:pt idx="50">
                  <c:v>13</c:v>
                </c:pt>
                <c:pt idx="51">
                  <c:v>13</c:v>
                </c:pt>
                <c:pt idx="52">
                  <c:v>13</c:v>
                </c:pt>
                <c:pt idx="53">
                  <c:v>13</c:v>
                </c:pt>
                <c:pt idx="54">
                  <c:v>13</c:v>
                </c:pt>
                <c:pt idx="55">
                  <c:v>14</c:v>
                </c:pt>
                <c:pt idx="56">
                  <c:v>14</c:v>
                </c:pt>
                <c:pt idx="57">
                  <c:v>14</c:v>
                </c:pt>
                <c:pt idx="58">
                  <c:v>14</c:v>
                </c:pt>
                <c:pt idx="59">
                  <c:v>15</c:v>
                </c:pt>
                <c:pt idx="60">
                  <c:v>15</c:v>
                </c:pt>
                <c:pt idx="61">
                  <c:v>15</c:v>
                </c:pt>
                <c:pt idx="62">
                  <c:v>15</c:v>
                </c:pt>
                <c:pt idx="63">
                  <c:v>16</c:v>
                </c:pt>
                <c:pt idx="64">
                  <c:v>16</c:v>
                </c:pt>
                <c:pt idx="65">
                  <c:v>16</c:v>
                </c:pt>
                <c:pt idx="66">
                  <c:v>16</c:v>
                </c:pt>
                <c:pt idx="67">
                  <c:v>17</c:v>
                </c:pt>
                <c:pt idx="68">
                  <c:v>17</c:v>
                </c:pt>
                <c:pt idx="69">
                  <c:v>17</c:v>
                </c:pt>
                <c:pt idx="70">
                  <c:v>17</c:v>
                </c:pt>
                <c:pt idx="71">
                  <c:v>18</c:v>
                </c:pt>
                <c:pt idx="72">
                  <c:v>18</c:v>
                </c:pt>
                <c:pt idx="73">
                  <c:v>18</c:v>
                </c:pt>
                <c:pt idx="74">
                  <c:v>18</c:v>
                </c:pt>
                <c:pt idx="75">
                  <c:v>19</c:v>
                </c:pt>
                <c:pt idx="76">
                  <c:v>19</c:v>
                </c:pt>
                <c:pt idx="77">
                  <c:v>19</c:v>
                </c:pt>
                <c:pt idx="78">
                  <c:v>19</c:v>
                </c:pt>
                <c:pt idx="79">
                  <c:v>20</c:v>
                </c:pt>
                <c:pt idx="80">
                  <c:v>20</c:v>
                </c:pt>
                <c:pt idx="81">
                  <c:v>20</c:v>
                </c:pt>
                <c:pt idx="82">
                  <c:v>20</c:v>
                </c:pt>
                <c:pt idx="83">
                  <c:v>20</c:v>
                </c:pt>
                <c:pt idx="84">
                  <c:v>21</c:v>
                </c:pt>
                <c:pt idx="85">
                  <c:v>21</c:v>
                </c:pt>
                <c:pt idx="86">
                  <c:v>21</c:v>
                </c:pt>
                <c:pt idx="87">
                  <c:v>21</c:v>
                </c:pt>
                <c:pt idx="88">
                  <c:v>22</c:v>
                </c:pt>
                <c:pt idx="89">
                  <c:v>22</c:v>
                </c:pt>
                <c:pt idx="90">
                  <c:v>22</c:v>
                </c:pt>
                <c:pt idx="91">
                  <c:v>22</c:v>
                </c:pt>
                <c:pt idx="92">
                  <c:v>23</c:v>
                </c:pt>
                <c:pt idx="93">
                  <c:v>23</c:v>
                </c:pt>
                <c:pt idx="94">
                  <c:v>23</c:v>
                </c:pt>
                <c:pt idx="95">
                  <c:v>23</c:v>
                </c:pt>
                <c:pt idx="96">
                  <c:v>24</c:v>
                </c:pt>
                <c:pt idx="97">
                  <c:v>24</c:v>
                </c:pt>
                <c:pt idx="98">
                  <c:v>24</c:v>
                </c:pt>
                <c:pt idx="99">
                  <c:v>24</c:v>
                </c:pt>
                <c:pt idx="100">
                  <c:v>25</c:v>
                </c:pt>
                <c:pt idx="101">
                  <c:v>25</c:v>
                </c:pt>
                <c:pt idx="102">
                  <c:v>25</c:v>
                </c:pt>
                <c:pt idx="103">
                  <c:v>25</c:v>
                </c:pt>
                <c:pt idx="104">
                  <c:v>25</c:v>
                </c:pt>
                <c:pt idx="105">
                  <c:v>26</c:v>
                </c:pt>
                <c:pt idx="106">
                  <c:v>26</c:v>
                </c:pt>
                <c:pt idx="107">
                  <c:v>26</c:v>
                </c:pt>
                <c:pt idx="108">
                  <c:v>26</c:v>
                </c:pt>
                <c:pt idx="109">
                  <c:v>27</c:v>
                </c:pt>
                <c:pt idx="110">
                  <c:v>27</c:v>
                </c:pt>
                <c:pt idx="111">
                  <c:v>27</c:v>
                </c:pt>
                <c:pt idx="112">
                  <c:v>27</c:v>
                </c:pt>
                <c:pt idx="113">
                  <c:v>28</c:v>
                </c:pt>
                <c:pt idx="114">
                  <c:v>28</c:v>
                </c:pt>
                <c:pt idx="115">
                  <c:v>28</c:v>
                </c:pt>
                <c:pt idx="116">
                  <c:v>28</c:v>
                </c:pt>
                <c:pt idx="117">
                  <c:v>29</c:v>
                </c:pt>
                <c:pt idx="118">
                  <c:v>29</c:v>
                </c:pt>
                <c:pt idx="119">
                  <c:v>29</c:v>
                </c:pt>
                <c:pt idx="120">
                  <c:v>29</c:v>
                </c:pt>
                <c:pt idx="121">
                  <c:v>30</c:v>
                </c:pt>
                <c:pt idx="122">
                  <c:v>30</c:v>
                </c:pt>
                <c:pt idx="123">
                  <c:v>30</c:v>
                </c:pt>
                <c:pt idx="124">
                  <c:v>30</c:v>
                </c:pt>
                <c:pt idx="125">
                  <c:v>31</c:v>
                </c:pt>
                <c:pt idx="126">
                  <c:v>31</c:v>
                </c:pt>
                <c:pt idx="127">
                  <c:v>31</c:v>
                </c:pt>
                <c:pt idx="128">
                  <c:v>31</c:v>
                </c:pt>
                <c:pt idx="129">
                  <c:v>32</c:v>
                </c:pt>
                <c:pt idx="130">
                  <c:v>32</c:v>
                </c:pt>
                <c:pt idx="131">
                  <c:v>32</c:v>
                </c:pt>
                <c:pt idx="132">
                  <c:v>32</c:v>
                </c:pt>
                <c:pt idx="133">
                  <c:v>33</c:v>
                </c:pt>
                <c:pt idx="134">
                  <c:v>33</c:v>
                </c:pt>
                <c:pt idx="135">
                  <c:v>33</c:v>
                </c:pt>
                <c:pt idx="136">
                  <c:v>33</c:v>
                </c:pt>
                <c:pt idx="137">
                  <c:v>34</c:v>
                </c:pt>
                <c:pt idx="138">
                  <c:v>34</c:v>
                </c:pt>
                <c:pt idx="139">
                  <c:v>34</c:v>
                </c:pt>
                <c:pt idx="140">
                  <c:v>34</c:v>
                </c:pt>
                <c:pt idx="141">
                  <c:v>35</c:v>
                </c:pt>
                <c:pt idx="142">
                  <c:v>35</c:v>
                </c:pt>
                <c:pt idx="143">
                  <c:v>35</c:v>
                </c:pt>
                <c:pt idx="144">
                  <c:v>35</c:v>
                </c:pt>
                <c:pt idx="145">
                  <c:v>36</c:v>
                </c:pt>
                <c:pt idx="146">
                  <c:v>36</c:v>
                </c:pt>
                <c:pt idx="147">
                  <c:v>36</c:v>
                </c:pt>
                <c:pt idx="148">
                  <c:v>36</c:v>
                </c:pt>
                <c:pt idx="149">
                  <c:v>37</c:v>
                </c:pt>
                <c:pt idx="150">
                  <c:v>37</c:v>
                </c:pt>
                <c:pt idx="151">
                  <c:v>37</c:v>
                </c:pt>
                <c:pt idx="152">
                  <c:v>37</c:v>
                </c:pt>
                <c:pt idx="153">
                  <c:v>37</c:v>
                </c:pt>
                <c:pt idx="154">
                  <c:v>35</c:v>
                </c:pt>
              </c:numCache>
            </c:numRef>
          </c:cat>
          <c:val>
            <c:numRef>
              <c:f>Mastersheet!$N$2:$N$156</c:f>
              <c:numCache>
                <c:formatCode>0.0</c:formatCode>
                <c:ptCount val="155"/>
                <c:pt idx="0">
                  <c:v>7.3</c:v>
                </c:pt>
                <c:pt idx="1">
                  <c:v>8.3000000000000007</c:v>
                </c:pt>
                <c:pt idx="2">
                  <c:v>8</c:v>
                </c:pt>
                <c:pt idx="3">
                  <c:v>7.1</c:v>
                </c:pt>
                <c:pt idx="4">
                  <c:v>5.8</c:v>
                </c:pt>
                <c:pt idx="5">
                  <c:v>7.7</c:v>
                </c:pt>
                <c:pt idx="6">
                  <c:v>8.5</c:v>
                </c:pt>
                <c:pt idx="7">
                  <c:v>7.7</c:v>
                </c:pt>
                <c:pt idx="8">
                  <c:v>7.3</c:v>
                </c:pt>
                <c:pt idx="9">
                  <c:v>8.1</c:v>
                </c:pt>
                <c:pt idx="10">
                  <c:v>6.9</c:v>
                </c:pt>
                <c:pt idx="11">
                  <c:v>8.1</c:v>
                </c:pt>
                <c:pt idx="12">
                  <c:v>7.6</c:v>
                </c:pt>
                <c:pt idx="13">
                  <c:v>7.5</c:v>
                </c:pt>
                <c:pt idx="14">
                  <c:v>7.4</c:v>
                </c:pt>
                <c:pt idx="15">
                  <c:v>8.6</c:v>
                </c:pt>
                <c:pt idx="16">
                  <c:v>5.3</c:v>
                </c:pt>
                <c:pt idx="17">
                  <c:v>7.8</c:v>
                </c:pt>
                <c:pt idx="18">
                  <c:v>6.9</c:v>
                </c:pt>
                <c:pt idx="19">
                  <c:v>6.6</c:v>
                </c:pt>
                <c:pt idx="20">
                  <c:v>8.1999999999999993</c:v>
                </c:pt>
                <c:pt idx="21">
                  <c:v>7.9</c:v>
                </c:pt>
                <c:pt idx="22">
                  <c:v>7.5</c:v>
                </c:pt>
                <c:pt idx="23">
                  <c:v>6.1</c:v>
                </c:pt>
                <c:pt idx="24">
                  <c:v>7.7</c:v>
                </c:pt>
                <c:pt idx="25">
                  <c:v>8</c:v>
                </c:pt>
                <c:pt idx="26">
                  <c:v>8.1999999999999993</c:v>
                </c:pt>
                <c:pt idx="27">
                  <c:v>7.5</c:v>
                </c:pt>
                <c:pt idx="28">
                  <c:v>6.9</c:v>
                </c:pt>
                <c:pt idx="29">
                  <c:v>8</c:v>
                </c:pt>
                <c:pt idx="30">
                  <c:v>8</c:v>
                </c:pt>
                <c:pt idx="31">
                  <c:v>7.7</c:v>
                </c:pt>
                <c:pt idx="32">
                  <c:v>6.8</c:v>
                </c:pt>
                <c:pt idx="33">
                  <c:v>7.8</c:v>
                </c:pt>
                <c:pt idx="34">
                  <c:v>8.1</c:v>
                </c:pt>
                <c:pt idx="35">
                  <c:v>7.8</c:v>
                </c:pt>
                <c:pt idx="36">
                  <c:v>7.9</c:v>
                </c:pt>
                <c:pt idx="37">
                  <c:v>5.0999999999999996</c:v>
                </c:pt>
                <c:pt idx="38">
                  <c:v>7</c:v>
                </c:pt>
                <c:pt idx="39">
                  <c:v>8.3000000000000007</c:v>
                </c:pt>
                <c:pt idx="40">
                  <c:v>8.1999999999999993</c:v>
                </c:pt>
                <c:pt idx="41">
                  <c:v>8.6</c:v>
                </c:pt>
                <c:pt idx="42">
                  <c:v>7.1</c:v>
                </c:pt>
                <c:pt idx="43">
                  <c:v>7.1</c:v>
                </c:pt>
                <c:pt idx="44">
                  <c:v>7.7</c:v>
                </c:pt>
                <c:pt idx="45">
                  <c:v>6.3</c:v>
                </c:pt>
                <c:pt idx="46">
                  <c:v>7.4</c:v>
                </c:pt>
                <c:pt idx="47">
                  <c:v>8.4</c:v>
                </c:pt>
                <c:pt idx="48">
                  <c:v>7.9</c:v>
                </c:pt>
                <c:pt idx="49">
                  <c:v>6.1</c:v>
                </c:pt>
                <c:pt idx="50">
                  <c:v>6.6</c:v>
                </c:pt>
                <c:pt idx="51">
                  <c:v>7.4</c:v>
                </c:pt>
                <c:pt idx="52">
                  <c:v>6.8</c:v>
                </c:pt>
                <c:pt idx="53">
                  <c:v>7</c:v>
                </c:pt>
                <c:pt idx="54">
                  <c:v>7.5</c:v>
                </c:pt>
                <c:pt idx="55">
                  <c:v>8.6</c:v>
                </c:pt>
                <c:pt idx="56">
                  <c:v>6.8</c:v>
                </c:pt>
                <c:pt idx="57">
                  <c:v>7.7</c:v>
                </c:pt>
                <c:pt idx="58">
                  <c:v>7.4</c:v>
                </c:pt>
                <c:pt idx="59">
                  <c:v>8.1</c:v>
                </c:pt>
                <c:pt idx="60">
                  <c:v>7.4</c:v>
                </c:pt>
                <c:pt idx="61">
                  <c:v>8.1999999999999993</c:v>
                </c:pt>
                <c:pt idx="62">
                  <c:v>7.8</c:v>
                </c:pt>
                <c:pt idx="63">
                  <c:v>8.6999999999999993</c:v>
                </c:pt>
                <c:pt idx="64">
                  <c:v>7.1</c:v>
                </c:pt>
                <c:pt idx="65">
                  <c:v>6.1</c:v>
                </c:pt>
                <c:pt idx="66">
                  <c:v>7.8</c:v>
                </c:pt>
                <c:pt idx="67">
                  <c:v>7.1</c:v>
                </c:pt>
                <c:pt idx="68">
                  <c:v>7.3</c:v>
                </c:pt>
                <c:pt idx="69">
                  <c:v>7.6</c:v>
                </c:pt>
                <c:pt idx="70">
                  <c:v>7.1</c:v>
                </c:pt>
                <c:pt idx="71">
                  <c:v>8</c:v>
                </c:pt>
                <c:pt idx="72">
                  <c:v>7.7</c:v>
                </c:pt>
                <c:pt idx="73">
                  <c:v>7.7</c:v>
                </c:pt>
                <c:pt idx="74">
                  <c:v>7.7</c:v>
                </c:pt>
                <c:pt idx="75">
                  <c:v>7.7</c:v>
                </c:pt>
                <c:pt idx="76">
                  <c:v>7.6</c:v>
                </c:pt>
                <c:pt idx="77">
                  <c:v>7.6</c:v>
                </c:pt>
                <c:pt idx="78">
                  <c:v>7.2</c:v>
                </c:pt>
                <c:pt idx="79">
                  <c:v>7</c:v>
                </c:pt>
                <c:pt idx="80">
                  <c:v>6.3</c:v>
                </c:pt>
                <c:pt idx="81">
                  <c:v>8.4</c:v>
                </c:pt>
                <c:pt idx="82">
                  <c:v>6.9</c:v>
                </c:pt>
                <c:pt idx="83">
                  <c:v>6.5</c:v>
                </c:pt>
                <c:pt idx="84">
                  <c:v>7.4</c:v>
                </c:pt>
                <c:pt idx="85">
                  <c:v>8.1999999999999993</c:v>
                </c:pt>
                <c:pt idx="86">
                  <c:v>8</c:v>
                </c:pt>
                <c:pt idx="87">
                  <c:v>7.3</c:v>
                </c:pt>
                <c:pt idx="88">
                  <c:v>6.8</c:v>
                </c:pt>
                <c:pt idx="89">
                  <c:v>7.8</c:v>
                </c:pt>
                <c:pt idx="90">
                  <c:v>8.1999999999999993</c:v>
                </c:pt>
                <c:pt idx="91">
                  <c:v>6.7</c:v>
                </c:pt>
                <c:pt idx="92">
                  <c:v>5.7</c:v>
                </c:pt>
                <c:pt idx="93">
                  <c:v>6.6</c:v>
                </c:pt>
                <c:pt idx="94">
                  <c:v>6.9</c:v>
                </c:pt>
                <c:pt idx="95">
                  <c:v>7.4</c:v>
                </c:pt>
                <c:pt idx="96">
                  <c:v>6.2</c:v>
                </c:pt>
                <c:pt idx="97">
                  <c:v>7.5</c:v>
                </c:pt>
                <c:pt idx="98">
                  <c:v>7.2</c:v>
                </c:pt>
                <c:pt idx="99">
                  <c:v>7.4</c:v>
                </c:pt>
                <c:pt idx="100">
                  <c:v>7.6</c:v>
                </c:pt>
                <c:pt idx="101">
                  <c:v>7.2</c:v>
                </c:pt>
                <c:pt idx="102">
                  <c:v>7.3</c:v>
                </c:pt>
                <c:pt idx="103">
                  <c:v>7.2</c:v>
                </c:pt>
                <c:pt idx="104">
                  <c:v>7.7</c:v>
                </c:pt>
                <c:pt idx="105">
                  <c:v>6.5</c:v>
                </c:pt>
                <c:pt idx="106">
                  <c:v>6.9</c:v>
                </c:pt>
                <c:pt idx="107">
                  <c:v>8.1</c:v>
                </c:pt>
                <c:pt idx="108">
                  <c:v>7</c:v>
                </c:pt>
                <c:pt idx="109">
                  <c:v>8</c:v>
                </c:pt>
                <c:pt idx="110">
                  <c:v>6.8</c:v>
                </c:pt>
                <c:pt idx="111">
                  <c:v>6.4</c:v>
                </c:pt>
                <c:pt idx="112">
                  <c:v>8.4</c:v>
                </c:pt>
                <c:pt idx="113">
                  <c:v>7</c:v>
                </c:pt>
                <c:pt idx="114">
                  <c:v>7.5</c:v>
                </c:pt>
                <c:pt idx="115">
                  <c:v>7.7</c:v>
                </c:pt>
                <c:pt idx="116">
                  <c:v>7.6</c:v>
                </c:pt>
                <c:pt idx="117">
                  <c:v>7.1</c:v>
                </c:pt>
                <c:pt idx="118">
                  <c:v>8.1</c:v>
                </c:pt>
                <c:pt idx="119">
                  <c:v>8.5</c:v>
                </c:pt>
                <c:pt idx="120">
                  <c:v>8.5</c:v>
                </c:pt>
                <c:pt idx="121">
                  <c:v>7.7</c:v>
                </c:pt>
                <c:pt idx="122">
                  <c:v>7.9</c:v>
                </c:pt>
                <c:pt idx="123">
                  <c:v>8.4</c:v>
                </c:pt>
                <c:pt idx="124">
                  <c:v>6.1</c:v>
                </c:pt>
                <c:pt idx="125">
                  <c:v>7.7</c:v>
                </c:pt>
                <c:pt idx="126">
                  <c:v>6.6</c:v>
                </c:pt>
                <c:pt idx="127">
                  <c:v>7.3</c:v>
                </c:pt>
                <c:pt idx="128">
                  <c:v>7.8</c:v>
                </c:pt>
                <c:pt idx="129">
                  <c:v>8.5</c:v>
                </c:pt>
                <c:pt idx="130">
                  <c:v>7.8</c:v>
                </c:pt>
                <c:pt idx="131">
                  <c:v>6.8</c:v>
                </c:pt>
                <c:pt idx="132">
                  <c:v>6.8</c:v>
                </c:pt>
                <c:pt idx="133">
                  <c:v>5.5</c:v>
                </c:pt>
                <c:pt idx="134">
                  <c:v>7.2</c:v>
                </c:pt>
                <c:pt idx="135">
                  <c:v>8.1</c:v>
                </c:pt>
                <c:pt idx="136">
                  <c:v>8.5</c:v>
                </c:pt>
                <c:pt idx="137">
                  <c:v>6.6</c:v>
                </c:pt>
                <c:pt idx="138">
                  <c:v>6.9</c:v>
                </c:pt>
                <c:pt idx="139">
                  <c:v>7.8</c:v>
                </c:pt>
                <c:pt idx="140">
                  <c:v>7.1</c:v>
                </c:pt>
                <c:pt idx="141">
                  <c:v>8.3000000000000007</c:v>
                </c:pt>
                <c:pt idx="142">
                  <c:v>3.6</c:v>
                </c:pt>
                <c:pt idx="143">
                  <c:v>7</c:v>
                </c:pt>
                <c:pt idx="144">
                  <c:v>5.9</c:v>
                </c:pt>
                <c:pt idx="145">
                  <c:v>7.7</c:v>
                </c:pt>
                <c:pt idx="146">
                  <c:v>8.3000000000000007</c:v>
                </c:pt>
                <c:pt idx="147">
                  <c:v>7.1</c:v>
                </c:pt>
                <c:pt idx="148">
                  <c:v>7</c:v>
                </c:pt>
                <c:pt idx="149">
                  <c:v>6.6</c:v>
                </c:pt>
                <c:pt idx="150">
                  <c:v>8.8000000000000007</c:v>
                </c:pt>
                <c:pt idx="151">
                  <c:v>7.4</c:v>
                </c:pt>
                <c:pt idx="152">
                  <c:v>5.5</c:v>
                </c:pt>
                <c:pt idx="153">
                  <c:v>7.4</c:v>
                </c:pt>
                <c:pt idx="154">
                  <c:v>6.5</c:v>
                </c:pt>
              </c:numCache>
            </c:numRef>
          </c:val>
          <c:smooth val="0"/>
          <c:extLst>
            <c:ext xmlns:c16="http://schemas.microsoft.com/office/drawing/2014/chart" uri="{C3380CC4-5D6E-409C-BE32-E72D297353CC}">
              <c16:uniqueId val="{00000001-D3D4-4640-89D5-A2FBFEF0A03C}"/>
            </c:ext>
          </c:extLst>
        </c:ser>
        <c:dLbls>
          <c:showLegendKey val="0"/>
          <c:showVal val="0"/>
          <c:showCatName val="0"/>
          <c:showSerName val="0"/>
          <c:showPercent val="0"/>
          <c:showBubbleSize val="0"/>
        </c:dLbls>
        <c:smooth val="0"/>
        <c:axId val="817479767"/>
        <c:axId val="817496135"/>
      </c:lineChart>
      <c:catAx>
        <c:axId val="817479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96135"/>
        <c:crosses val="autoZero"/>
        <c:auto val="1"/>
        <c:lblAlgn val="ctr"/>
        <c:lblOffset val="100"/>
        <c:noMultiLvlLbl val="0"/>
      </c:catAx>
      <c:valAx>
        <c:axId val="81749613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79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EB1158C-4118-4722-8E89-2C636FD65C7E}">
          <cx:tx>
            <cx:txData>
              <cx:f>_xlchart.v1.1</cx:f>
              <cx:v>Totaal</cx:v>
            </cx:txData>
          </cx:tx>
          <cx:dataLabels>
            <cx:numFmt formatCode="#,##0.00" sourceLinked="0"/>
            <cx:spPr>
              <a:noFill/>
              <a:ln>
                <a:noFill/>
              </a:ln>
            </cx:spPr>
            <cx:txPr>
              <a:bodyPr spcFirstLastPara="1" vertOverflow="ellipsis" horzOverflow="overflow" wrap="square" lIns="0" tIns="0" rIns="0" bIns="0" anchor="ctr" anchorCtr="1"/>
              <a:lstStyle/>
              <a:p>
                <a:pPr algn="ctr" rtl="0">
                  <a:defRPr>
                    <a:ln>
                      <a:solidFill>
                        <a:schemeClr val="bg1"/>
                      </a:solidFill>
                    </a:ln>
                    <a:solidFill>
                      <a:schemeClr val="bg1"/>
                    </a:solidFill>
                  </a:defRPr>
                </a:pPr>
                <a:endParaRPr lang="en-US" sz="900" b="0" i="0" u="none" strike="noStrike" kern="1200" baseline="0">
                  <a:ln>
                    <a:solidFill>
                      <a:schemeClr val="bg1"/>
                    </a:solidFill>
                  </a:ln>
                  <a:solidFill>
                    <a:schemeClr val="bg1"/>
                  </a:solidFill>
                  <a:latin typeface="Calibri" panose="020F0502020204030204"/>
                </a:endParaRPr>
              </a:p>
            </cx:txPr>
            <cx:visibility seriesName="0" categoryName="1" value="1"/>
            <cx:separator>, </cx:separator>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microsoft.com/office/2014/relationships/chartEx" Target="../charts/chartEx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142875</xdr:colOff>
      <xdr:row>0</xdr:row>
      <xdr:rowOff>158115</xdr:rowOff>
    </xdr:from>
    <xdr:to>
      <xdr:col>21</xdr:col>
      <xdr:colOff>419100</xdr:colOff>
      <xdr:row>20</xdr:row>
      <xdr:rowOff>110490</xdr:rowOff>
    </xdr:to>
    <xdr:graphicFrame macro="">
      <xdr:nvGraphicFramePr>
        <xdr:cNvPr id="6" name="Chart 33">
          <a:extLst>
            <a:ext uri="{FF2B5EF4-FFF2-40B4-BE49-F238E27FC236}">
              <a16:creationId xmlns:a16="http://schemas.microsoft.com/office/drawing/2014/main" id="{67170AEA-8050-4B2F-BAEE-56E3FB55F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260351</xdr:colOff>
      <xdr:row>1</xdr:row>
      <xdr:rowOff>33130</xdr:rowOff>
    </xdr:from>
    <xdr:to>
      <xdr:col>8</xdr:col>
      <xdr:colOff>152400</xdr:colOff>
      <xdr:row>19</xdr:row>
      <xdr:rowOff>171450</xdr:rowOff>
    </xdr:to>
    <xdr:graphicFrame macro="">
      <xdr:nvGraphicFramePr>
        <xdr:cNvPr id="41" name="Grafiek 15">
          <a:extLst>
            <a:ext uri="{FF2B5EF4-FFF2-40B4-BE49-F238E27FC236}">
              <a16:creationId xmlns:a16="http://schemas.microsoft.com/office/drawing/2014/main" id="{06AE9A9C-2348-4CEA-89B8-358BD25EA784}"/>
            </a:ext>
            <a:ext uri="{147F2762-F138-4A5C-976F-8EAC2B608ADB}">
              <a16:predDERef xmlns:a16="http://schemas.microsoft.com/office/drawing/2014/main" pred="{67170AEA-8050-4B2F-BAEE-56E3FB55F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20</xdr:row>
      <xdr:rowOff>66675</xdr:rowOff>
    </xdr:from>
    <xdr:to>
      <xdr:col>12</xdr:col>
      <xdr:colOff>381000</xdr:colOff>
      <xdr:row>39</xdr:row>
      <xdr:rowOff>123825</xdr:rowOff>
    </xdr:to>
    <xdr:graphicFrame macro="">
      <xdr:nvGraphicFramePr>
        <xdr:cNvPr id="7" name="Chart 3">
          <a:extLst>
            <a:ext uri="{FF2B5EF4-FFF2-40B4-BE49-F238E27FC236}">
              <a16:creationId xmlns:a16="http://schemas.microsoft.com/office/drawing/2014/main" id="{9EED8B1F-4E8F-416E-8B57-1C0AC63BBD26}"/>
            </a:ext>
            <a:ext uri="{147F2762-F138-4A5C-976F-8EAC2B608ADB}">
              <a16:predDERef xmlns:a16="http://schemas.microsoft.com/office/drawing/2014/main" pred="{06AE9A9C-2348-4CEA-89B8-358BD25EA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497204</xdr:colOff>
      <xdr:row>20</xdr:row>
      <xdr:rowOff>95249</xdr:rowOff>
    </xdr:from>
    <xdr:to>
      <xdr:col>21</xdr:col>
      <xdr:colOff>561975</xdr:colOff>
      <xdr:row>39</xdr:row>
      <xdr:rowOff>123824</xdr:rowOff>
    </xdr:to>
    <xdr:graphicFrame macro="">
      <xdr:nvGraphicFramePr>
        <xdr:cNvPr id="8" name="Chart 4">
          <a:extLst>
            <a:ext uri="{FF2B5EF4-FFF2-40B4-BE49-F238E27FC236}">
              <a16:creationId xmlns:a16="http://schemas.microsoft.com/office/drawing/2014/main" id="{EF016556-35B2-46C8-AB77-0ECDF94420A3}"/>
            </a:ext>
            <a:ext uri="{147F2762-F138-4A5C-976F-8EAC2B608ADB}">
              <a16:predDERef xmlns:a16="http://schemas.microsoft.com/office/drawing/2014/main" pred="{9EED8B1F-4E8F-416E-8B57-1C0AC63BB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15240</xdr:colOff>
      <xdr:row>0</xdr:row>
      <xdr:rowOff>85725</xdr:rowOff>
    </xdr:from>
    <xdr:to>
      <xdr:col>32</xdr:col>
      <xdr:colOff>62865</xdr:colOff>
      <xdr:row>17</xdr:row>
      <xdr:rowOff>130492</xdr:rowOff>
    </xdr:to>
    <xdr:graphicFrame macro="">
      <xdr:nvGraphicFramePr>
        <xdr:cNvPr id="9" name="Chart 8">
          <a:extLst>
            <a:ext uri="{FF2B5EF4-FFF2-40B4-BE49-F238E27FC236}">
              <a16:creationId xmlns:a16="http://schemas.microsoft.com/office/drawing/2014/main" id="{5BFD5B46-10E9-4DA3-BAC1-7F8E31B09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27334</xdr:colOff>
      <xdr:row>19</xdr:row>
      <xdr:rowOff>45968</xdr:rowOff>
    </xdr:from>
    <xdr:to>
      <xdr:col>32</xdr:col>
      <xdr:colOff>88294</xdr:colOff>
      <xdr:row>38</xdr:row>
      <xdr:rowOff>188843</xdr:rowOff>
    </xdr:to>
    <xdr:graphicFrame macro="">
      <xdr:nvGraphicFramePr>
        <xdr:cNvPr id="10" name="Chart 9">
          <a:extLst>
            <a:ext uri="{FF2B5EF4-FFF2-40B4-BE49-F238E27FC236}">
              <a16:creationId xmlns:a16="http://schemas.microsoft.com/office/drawing/2014/main" id="{413D1F91-B540-4821-8E08-ACB9734A8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132521</xdr:colOff>
      <xdr:row>1</xdr:row>
      <xdr:rowOff>1240</xdr:rowOff>
    </xdr:from>
    <xdr:to>
      <xdr:col>16</xdr:col>
      <xdr:colOff>66261</xdr:colOff>
      <xdr:row>27</xdr:row>
      <xdr:rowOff>182217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1A8D9B0-AEE6-4ED6-91AC-80ACE7C7E508}"/>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twoCellAnchor>
    <xdr:from>
      <xdr:col>1</xdr:col>
      <xdr:colOff>134591</xdr:colOff>
      <xdr:row>28</xdr:row>
      <xdr:rowOff>33132</xdr:rowOff>
    </xdr:from>
    <xdr:to>
      <xdr:col>9</xdr:col>
      <xdr:colOff>448916</xdr:colOff>
      <xdr:row>45</xdr:row>
      <xdr:rowOff>132522</xdr:rowOff>
    </xdr:to>
    <xdr:graphicFrame macro="">
      <xdr:nvGraphicFramePr>
        <xdr:cNvPr id="3" name="Chart 2">
          <a:extLst>
            <a:ext uri="{FF2B5EF4-FFF2-40B4-BE49-F238E27FC236}">
              <a16:creationId xmlns:a16="http://schemas.microsoft.com/office/drawing/2014/main" id="{0D2568D5-3D40-415D-963A-4DC0BB87C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551208</xdr:colOff>
      <xdr:row>28</xdr:row>
      <xdr:rowOff>71232</xdr:rowOff>
    </xdr:from>
    <xdr:to>
      <xdr:col>19</xdr:col>
      <xdr:colOff>257174</xdr:colOff>
      <xdr:row>45</xdr:row>
      <xdr:rowOff>152814</xdr:rowOff>
    </xdr:to>
    <xdr:graphicFrame macro="">
      <xdr:nvGraphicFramePr>
        <xdr:cNvPr id="4" name="Chart 3">
          <a:extLst>
            <a:ext uri="{FF2B5EF4-FFF2-40B4-BE49-F238E27FC236}">
              <a16:creationId xmlns:a16="http://schemas.microsoft.com/office/drawing/2014/main" id="{BE087D90-72EE-47AC-B4F2-6C74E98C3DAC}"/>
            </a:ext>
            <a:ext uri="{147F2762-F138-4A5C-976F-8EAC2B608ADB}">
              <a16:predDERef xmlns:a16="http://schemas.microsoft.com/office/drawing/2014/main" pred="{0D2568D5-3D40-415D-963A-4DC0BB87C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107673</xdr:colOff>
      <xdr:row>1</xdr:row>
      <xdr:rowOff>0</xdr:rowOff>
    </xdr:from>
    <xdr:to>
      <xdr:col>30</xdr:col>
      <xdr:colOff>248479</xdr:colOff>
      <xdr:row>27</xdr:row>
      <xdr:rowOff>173935</xdr:rowOff>
    </xdr:to>
    <xdr:graphicFrame macro="">
      <xdr:nvGraphicFramePr>
        <xdr:cNvPr id="6" name="Chart 5">
          <a:extLst>
            <a:ext uri="{FF2B5EF4-FFF2-40B4-BE49-F238E27FC236}">
              <a16:creationId xmlns:a16="http://schemas.microsoft.com/office/drawing/2014/main" id="{D1169269-0D4D-4890-A7A5-566AFF83B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314325</xdr:colOff>
      <xdr:row>28</xdr:row>
      <xdr:rowOff>57150</xdr:rowOff>
    </xdr:from>
    <xdr:to>
      <xdr:col>31</xdr:col>
      <xdr:colOff>28575</xdr:colOff>
      <xdr:row>46</xdr:row>
      <xdr:rowOff>0</xdr:rowOff>
    </xdr:to>
    <xdr:graphicFrame macro="">
      <xdr:nvGraphicFramePr>
        <xdr:cNvPr id="7" name="Grafiek 6">
          <a:extLst>
            <a:ext uri="{FF2B5EF4-FFF2-40B4-BE49-F238E27FC236}">
              <a16:creationId xmlns:a16="http://schemas.microsoft.com/office/drawing/2014/main" id="{102587B2-27B8-4CD9-BE39-F075E92BBDE8}"/>
            </a:ext>
            <a:ext uri="{147F2762-F138-4A5C-976F-8EAC2B608ADB}">
              <a16:predDERef xmlns:a16="http://schemas.microsoft.com/office/drawing/2014/main" pred="{D1169269-0D4D-4890-A7A5-566AFF83B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368202-25E2-43C1-AD33-486465F2D091}" name="Table1" displayName="Table1" ref="A1:J52" totalsRowShown="0" headerRowDxfId="51" dataDxfId="50" headerRowBorderDxfId="49">
  <autoFilter ref="A1:J52" xr:uid="{64368202-25E2-43C1-AD33-486465F2D091}"/>
  <tableColumns count="10">
    <tableColumn id="1" xr3:uid="{6E354FD8-3EF5-4DF4-81CD-6D105AB534E7}" name="Nr." dataDxfId="48"/>
    <tableColumn id="17" xr3:uid="{0E276457-5EE1-481A-8570-AC0026C27588}" name="Rnd" dataDxfId="47"/>
    <tableColumn id="2" xr3:uid="{C83ED05B-8389-4E59-A784-E14BFA4FC853}" name="Datum" dataDxfId="46"/>
    <tableColumn id="3" xr3:uid="{6F0E9845-453D-42CA-ABD8-C57B6E516E6D}" name="Meister" dataDxfId="45"/>
    <tableColumn id="4" xr3:uid="{B189929E-7A50-458D-B19E-17CFB6DDF77B}" name="Film" dataDxfId="44"/>
    <tableColumn id="5" xr3:uid="{B9382648-5E90-44DA-9810-DB922FD5C807}" name="Jaar" dataDxfId="43"/>
    <tableColumn id="6" xr3:uid="{5ECFD3C5-A261-45DF-8AA9-633925054E90}" name="Genre" dataDxfId="42"/>
    <tableColumn id="7" xr3:uid="{0CFD2653-9732-4629-A410-45B334C9138E}" name="Optioneel genre" dataDxfId="41"/>
    <tableColumn id="8" xr3:uid="{13E4142E-8941-42EC-A97C-69A51424E02C}" name="Tijdsduur in min" dataDxfId="40"/>
    <tableColumn id="9" xr3:uid="{03831FE5-E3EF-4A98-98B0-AA674F4E06AB}" name="Al gezien?" dataDxfId="3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FD2746-7553-4A05-BC7E-8CC1A71D95C0}" name="master2" displayName="master2" ref="B1:O198" totalsRowCount="1" headerRowDxfId="38" dataDxfId="37" headerRowBorderDxfId="36">
  <autoFilter ref="B1:O197" xr:uid="{9AFD2746-7553-4A05-BC7E-8CC1A71D95C0}"/>
  <sortState xmlns:xlrd2="http://schemas.microsoft.com/office/spreadsheetml/2017/richdata2" ref="A2:L50">
    <sortCondition ref="D1:D50"/>
  </sortState>
  <tableColumns count="14">
    <tableColumn id="14" xr3:uid="{70FCD7BC-7D4A-4D04-A437-CB7A870853FD}" name="Jaar" dataDxfId="34" totalsRowDxfId="35"/>
    <tableColumn id="17" xr3:uid="{A46EFDDF-46D7-4DC6-8969-7E71AFE342D4}" name="Rnd" dataDxfId="32" totalsRowDxfId="33"/>
    <tableColumn id="2" xr3:uid="{23BCC478-46FF-41BC-B818-13EE432CAB46}" name="Datum" dataDxfId="30" totalsRowDxfId="31"/>
    <tableColumn id="3" xr3:uid="{3948F028-F610-4522-9997-B26CF38C29BF}" name="Meister" dataDxfId="28" totalsRowDxfId="29"/>
    <tableColumn id="7" xr3:uid="{DF01CCFB-A204-4931-BAE4-63C747705E86}" name="TT_Code" totalsRowDxfId="27"/>
    <tableColumn id="4" xr3:uid="{850C64A0-2186-472C-A20F-06C13B8998A3}" name="Film" totalsRowDxfId="26"/>
    <tableColumn id="5" xr3:uid="{F85D237D-CBFA-43BC-833A-A966BF5F1BC0}" name="Jaar2" dataDxfId="24" totalsRowDxfId="25"/>
    <tableColumn id="6" xr3:uid="{A3F12E3B-BAA7-442E-AF34-A5CC6B8A65AC}" name="Genres" totalsRowDxfId="23"/>
    <tableColumn id="8" xr3:uid="{14E34A84-FD96-4C57-A931-D8BA696C8055}" name="Tijdsduur in min" dataDxfId="21" totalsRowDxfId="22"/>
    <tableColumn id="9" xr3:uid="{74B27AAE-6C34-4280-B328-2DF9F8D0DE79}" name="Al gezien?" totalsRowDxfId="20"/>
    <tableColumn id="10" xr3:uid="{216ED885-B983-473C-BBD7-4AF6890AC781}" name="Weging" totalsRowDxfId="19">
      <calculatedColumnFormula>IFERROR(1/((LEN(master2[[#This Row],[Genres]])-LEN(SUBSTITUTE(master2[[#This Row],[Genres]],"'","")))/2),0)</calculatedColumnFormula>
    </tableColumn>
    <tableColumn id="11" xr3:uid="{EA165850-EB01-4ABE-8064-CC14C0EDF137}" name="Tags" totalsRowDxfId="18"/>
    <tableColumn id="12" xr3:uid="{36440DE1-8C0A-494D-9D84-8CE863AD223C}" name="Score" dataDxfId="16" totalsRowDxfId="17"/>
    <tableColumn id="13" xr3:uid="{2D7F4AD7-67F1-49AF-9E08-C92592A2C5DA}" name="Dag" dataDxfId="14" totalsRowDxfId="15">
      <calculatedColumnFormula>TEXT(WEEKDAY(master2[[#This Row],[Datum]]),"dddd")</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06C041-C785-46BF-8DC7-321990FB8DCD}" name="Table3" displayName="Table3" ref="A1:M5" totalsRowShown="0" dataDxfId="13">
  <autoFilter ref="A1:M5" xr:uid="{A806C041-C785-46BF-8DC7-321990FB8DCD}"/>
  <tableColumns count="13">
    <tableColumn id="1" xr3:uid="{E30165C9-72B1-4901-88E7-22F634B347FE}" name="Ronde" dataDxfId="12"/>
    <tableColumn id="2" xr3:uid="{C89A0896-4E56-4655-B3B1-DA13E07C8ED9}" name="1" dataDxfId="11"/>
    <tableColumn id="3" xr3:uid="{9A840FBC-A7E8-4B0A-B7A6-18EC3B2BE03D}" name="2" dataDxfId="10"/>
    <tableColumn id="4" xr3:uid="{0F4CC189-ADE8-4E1D-BD70-BD4EB8F1ACD8}" name="3" dataDxfId="9"/>
    <tableColumn id="5" xr3:uid="{8375EC7C-CA59-404A-A596-8E039FFA38BD}" name="4" dataDxfId="8"/>
    <tableColumn id="6" xr3:uid="{26EAF738-2710-4A8C-87DE-36EF83A992EF}" name="5" dataDxfId="7"/>
    <tableColumn id="7" xr3:uid="{53C5BC1F-4F25-4E73-BE75-CBEAD88AF676}" name="6" dataDxfId="6"/>
    <tableColumn id="8" xr3:uid="{FE471BF7-2FB1-4EC5-B07E-2556071B1B13}" name="7" dataDxfId="5"/>
    <tableColumn id="9" xr3:uid="{BDF966CA-315E-4B39-A2E2-8E17AF0D2455}" name="8" dataDxfId="4"/>
    <tableColumn id="10" xr3:uid="{23B7A047-5D6C-46EF-973D-F465FED27463}" name="9" dataDxfId="3"/>
    <tableColumn id="11" xr3:uid="{4F5A65A0-E2CF-441A-B813-E4E01D5E8534}" name="10" dataDxfId="2"/>
    <tableColumn id="12" xr3:uid="{F02BD313-23AE-4C70-8482-BD7C5D408EE8}" name="11" dataDxfId="1">
      <calculatedColumnFormula>IF(COUNTIFS(Table1[Rnd],L$1,Table1[Meister],$A2)=1,
IF(COUNT(L28:L46)&gt;=SUM(L28:L46),COUNT(L28:L46)-COUNTIF(L28:L46,0),IF(ROUNDDOWN(AVERAGE(L28:L46),0)=ROUNDUP(AVERAGE(L28:L46),0),COUNT(L28:L46),COUNTIF(L28:L46,ROUNDDOWN(AVERAGE(L28:L46),0))+COUNTIF(L28:L46,ROUNDUP(AVERAGE(L28:L46),0))))/IF(COUNT(L28:L46)&gt;SUM(L28:L46),SUM(L28:L46),COUNT(L28:L46)),"")</calculatedColumnFormula>
    </tableColumn>
    <tableColumn id="13" xr3:uid="{C5D838C5-2B7D-488C-B277-C7CF5E3B0225}" name="12"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13"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18"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3"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7"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12"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17"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2"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16"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20" Type="http://schemas.openxmlformats.org/officeDocument/2006/relationships/printerSettings" Target="../printerSettings/printerSettings3.bin"/><Relationship Id="rId1"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6"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11"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5"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15"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10"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19" Type="http://schemas.openxmlformats.org/officeDocument/2006/relationships/hyperlink" Target="https://www.imdb.com/search/title?genres=history&amp;title_type=feature&amp;explore=genres&amp;pf_rd_m=A2FGELUUNOQJNL&amp;pf_rd_p=facfbd0c-6f3d-4c05-9348-22eebd58852e&amp;pf_rd_r=VXXS2S9P42HEPBZR3X4E&amp;pf_rd_s=center-6&amp;pf_rd_t=15051&amp;pf_rd_i=genre&amp;ref_=ft_gnr_mvpop_12" TargetMode="External"/><Relationship Id="rId4"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9"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14"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13"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18"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3"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7"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12"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17"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2"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16"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20" Type="http://schemas.openxmlformats.org/officeDocument/2006/relationships/printerSettings" Target="../printerSettings/printerSettings4.bin"/><Relationship Id="rId1"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6"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11"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5"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15"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10"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19" Type="http://schemas.openxmlformats.org/officeDocument/2006/relationships/hyperlink" Target="https://www.imdb.com/search/title?genres=family&amp;title_type=feature&amp;explore=genres&amp;pf_rd_m=A2FGELUUNOQJNL&amp;pf_rd_p=facfbd0c-6f3d-4c05-9348-22eebd58852e&amp;pf_rd_r=VXXS2S9P42HEPBZR3X4E&amp;pf_rd_s=center-6&amp;pf_rd_t=15051&amp;pf_rd_i=genre&amp;ref_=ft_gnr_mvpop_9" TargetMode="External"/><Relationship Id="rId4"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9"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14"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21"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42"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47"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63"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68"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16"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11"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24"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32"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37"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40"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45"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53"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58"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66"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74"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5"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61"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19" Type="http://schemas.openxmlformats.org/officeDocument/2006/relationships/hyperlink" Target="https://www.imdb.com/search/title?genres=family&amp;title_type=feature&amp;explore=genres&amp;pf_rd_m=A2FGELUUNOQJNL&amp;pf_rd_p=facfbd0c-6f3d-4c05-9348-22eebd58852e&amp;pf_rd_r=VXXS2S9P42HEPBZR3X4E&amp;pf_rd_s=center-6&amp;pf_rd_t=15051&amp;pf_rd_i=genre&amp;ref_=ft_gnr_mvpop_9" TargetMode="External"/><Relationship Id="rId14"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 Id="rId22"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27"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30"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35"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43"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48"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56"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64"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69"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77" Type="http://schemas.openxmlformats.org/officeDocument/2006/relationships/printerSettings" Target="../printerSettings/printerSettings5.bin"/><Relationship Id="rId8"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51"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72"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3"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12"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17"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25"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33"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 Id="rId38" Type="http://schemas.openxmlformats.org/officeDocument/2006/relationships/hyperlink" Target="https://www.imdb.com/search/title?genres=family&amp;title_type=feature&amp;explore=genres&amp;pf_rd_m=A2FGELUUNOQJNL&amp;pf_rd_p=facfbd0c-6f3d-4c05-9348-22eebd58852e&amp;pf_rd_r=VXXS2S9P42HEPBZR3X4E&amp;pf_rd_s=center-6&amp;pf_rd_t=15051&amp;pf_rd_i=genre&amp;ref_=ft_gnr_mvpop_9" TargetMode="External"/><Relationship Id="rId46"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59"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67"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20"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41"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54"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62"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70"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75"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1"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6"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15"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23"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28"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36"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49"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57" Type="http://schemas.openxmlformats.org/officeDocument/2006/relationships/hyperlink" Target="https://www.imdb.com/search/title?genres=family&amp;title_type=feature&amp;explore=genres&amp;pf_rd_m=A2FGELUUNOQJNL&amp;pf_rd_p=facfbd0c-6f3d-4c05-9348-22eebd58852e&amp;pf_rd_r=VXXS2S9P42HEPBZR3X4E&amp;pf_rd_s=center-6&amp;pf_rd_t=15051&amp;pf_rd_i=genre&amp;ref_=ft_gnr_mvpop_9" TargetMode="External"/><Relationship Id="rId10"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31"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44"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52"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 Id="rId60"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65"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73"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78" Type="http://schemas.openxmlformats.org/officeDocument/2006/relationships/table" Target="../tables/table3.xml"/><Relationship Id="rId4"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9"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13"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18"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39"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34"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50"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55"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76" Type="http://schemas.openxmlformats.org/officeDocument/2006/relationships/hyperlink" Target="https://www.imdb.com/search/title?genres=family&amp;title_type=feature&amp;explore=genres&amp;pf_rd_m=A2FGELUUNOQJNL&amp;pf_rd_p=facfbd0c-6f3d-4c05-9348-22eebd58852e&amp;pf_rd_r=VXXS2S9P42HEPBZR3X4E&amp;pf_rd_s=center-6&amp;pf_rd_t=15051&amp;pf_rd_i=genre&amp;ref_=ft_gnr_mvpop_9" TargetMode="External"/><Relationship Id="rId7"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71"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 Id="rId2"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29"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mdb.com/search/title?genres=drama&amp;title_type=feature&amp;explore=genres&amp;pf_rd_m=A2FGELUUNOQJNL&amp;pf_rd_p=facfbd0c-6f3d-4c05-9348-22eebd58852e&amp;pf_rd_r=VXXS2S9P42HEPBZR3X4E&amp;pf_rd_s=center-6&amp;pf_rd_t=15051&amp;pf_rd_i=genre&amp;ref_=ft_gnr_mvpop_8" TargetMode="External"/><Relationship Id="rId13" Type="http://schemas.openxmlformats.org/officeDocument/2006/relationships/hyperlink" Target="https://www.imdb.com/search/title?genres=romance&amp;title_type=feature&amp;explore=genres&amp;pf_rd_m=A2FGELUUNOQJNL&amp;pf_rd_p=facfbd0c-6f3d-4c05-9348-22eebd58852e&amp;pf_rd_r=VXXS2S9P42HEPBZR3X4E&amp;pf_rd_s=center-6&amp;pf_rd_t=15051&amp;pf_rd_i=genre&amp;ref_=ft_gnr_mvpop_17" TargetMode="External"/><Relationship Id="rId18" Type="http://schemas.openxmlformats.org/officeDocument/2006/relationships/hyperlink" Target="https://www.imdb.com/search/title?genres=western&amp;title_type=feature&amp;explore=genres&amp;pf_rd_m=A2FGELUUNOQJNL&amp;pf_rd_p=facfbd0c-6f3d-4c05-9348-22eebd58852e&amp;pf_rd_r=VXXS2S9P42HEPBZR3X4E&amp;pf_rd_s=center-6&amp;pf_rd_t=15051&amp;pf_rd_i=genre&amp;ref_=ft_gnr_mvpop_24" TargetMode="External"/><Relationship Id="rId3" Type="http://schemas.openxmlformats.org/officeDocument/2006/relationships/hyperlink" Target="https://www.imdb.com/search/title?genres=animation&amp;title_type=feature&amp;explore=genres&amp;pf_rd_m=A2FGELUUNOQJNL&amp;pf_rd_p=facfbd0c-6f3d-4c05-9348-22eebd58852e&amp;pf_rd_r=VXXS2S9P42HEPBZR3X4E&amp;pf_rd_s=center-6&amp;pf_rd_t=15051&amp;pf_rd_i=genre&amp;ref_=ft_gnr_mvpop_3" TargetMode="External"/><Relationship Id="rId7" Type="http://schemas.openxmlformats.org/officeDocument/2006/relationships/hyperlink" Target="https://www.imdb.com/search/title?genres=documentary&amp;explore=genres&amp;pf_rd_m=A2FGELUUNOQJNL&amp;pf_rd_p=facfbd0c-6f3d-4c05-9348-22eebd58852e&amp;pf_rd_r=VXXS2S9P42HEPBZR3X4E&amp;pf_rd_s=center-6&amp;pf_rd_t=15051&amp;pf_rd_i=genre&amp;ref_=ft_gnr_mvpop_7" TargetMode="External"/><Relationship Id="rId12" Type="http://schemas.openxmlformats.org/officeDocument/2006/relationships/hyperlink" Target="https://www.imdb.com/search/title?genres=mystery&amp;title_type=feature&amp;explore=genres&amp;pf_rd_m=A2FGELUUNOQJNL&amp;pf_rd_p=facfbd0c-6f3d-4c05-9348-22eebd58852e&amp;pf_rd_r=VXXS2S9P42HEPBZR3X4E&amp;pf_rd_s=center-6&amp;pf_rd_t=15051&amp;pf_rd_i=genre&amp;ref_=ft_gnr_mvpop_16" TargetMode="External"/><Relationship Id="rId17" Type="http://schemas.openxmlformats.org/officeDocument/2006/relationships/hyperlink" Target="https://www.imdb.com/search/title?genres=war&amp;title_type=feature&amp;explore=genres&amp;pf_rd_m=A2FGELUUNOQJNL&amp;pf_rd_p=facfbd0c-6f3d-4c05-9348-22eebd58852e&amp;pf_rd_r=VXXS2S9P42HEPBZR3X4E&amp;pf_rd_s=center-6&amp;pf_rd_t=15051&amp;pf_rd_i=genre&amp;ref_=ft_gnr_mvpop_23" TargetMode="External"/><Relationship Id="rId2" Type="http://schemas.openxmlformats.org/officeDocument/2006/relationships/hyperlink" Target="https://www.imdb.com/search/title?genres=adventure&amp;title_type=feature&amp;explore=genres&amp;pf_rd_m=A2FGELUUNOQJNL&amp;pf_rd_p=facfbd0c-6f3d-4c05-9348-22eebd58852e&amp;pf_rd_r=VXXS2S9P42HEPBZR3X4E&amp;pf_rd_s=center-6&amp;pf_rd_t=15051&amp;pf_rd_i=genre&amp;ref_=ft_gnr_mvpop_2" TargetMode="External"/><Relationship Id="rId16" Type="http://schemas.openxmlformats.org/officeDocument/2006/relationships/hyperlink" Target="https://www.imdb.com/search/title?genres=thriller&amp;title_type=feature&amp;explore=genres&amp;pf_rd_m=A2FGELUUNOQJNL&amp;pf_rd_p=facfbd0c-6f3d-4c05-9348-22eebd58852e&amp;pf_rd_r=VXXS2S9P42HEPBZR3X4E&amp;pf_rd_s=center-6&amp;pf_rd_t=15051&amp;pf_rd_i=genre&amp;ref_=ft_gnr_mvpop_22" TargetMode="External"/><Relationship Id="rId20" Type="http://schemas.openxmlformats.org/officeDocument/2006/relationships/printerSettings" Target="../printerSettings/printerSettings6.bin"/><Relationship Id="rId1" Type="http://schemas.openxmlformats.org/officeDocument/2006/relationships/hyperlink" Target="https://www.imdb.com/search/title?genres=action&amp;title_type=feature&amp;explore=genres&amp;pf_rd_m=A2FGELUUNOQJNL&amp;pf_rd_p=facfbd0c-6f3d-4c05-9348-22eebd58852e&amp;pf_rd_r=VXXS2S9P42HEPBZR3X4E&amp;pf_rd_s=center-6&amp;pf_rd_t=15051&amp;pf_rd_i=genre&amp;ref_=ft_gnr_mvpop_1" TargetMode="External"/><Relationship Id="rId6" Type="http://schemas.openxmlformats.org/officeDocument/2006/relationships/hyperlink" Target="https://www.imdb.com/search/title?genres=crime&amp;title_type=feature&amp;explore=genres&amp;pf_rd_m=A2FGELUUNOQJNL&amp;pf_rd_p=facfbd0c-6f3d-4c05-9348-22eebd58852e&amp;pf_rd_r=VXXS2S9P42HEPBZR3X4E&amp;pf_rd_s=center-6&amp;pf_rd_t=15051&amp;pf_rd_i=genre&amp;ref_=ft_gnr_mvpop_6" TargetMode="External"/><Relationship Id="rId11" Type="http://schemas.openxmlformats.org/officeDocument/2006/relationships/hyperlink" Target="https://www.imdb.com/search/title?genres=music&amp;title_type=feature&amp;explore=genres&amp;pf_rd_m=A2FGELUUNOQJNL&amp;pf_rd_p=facfbd0c-6f3d-4c05-9348-22eebd58852e&amp;pf_rd_r=VXXS2S9P42HEPBZR3X4E&amp;pf_rd_s=center-6&amp;pf_rd_t=15051&amp;pf_rd_i=genre&amp;ref_=ft_gnr_mvpop_14" TargetMode="External"/><Relationship Id="rId5" Type="http://schemas.openxmlformats.org/officeDocument/2006/relationships/hyperlink" Target="https://www.imdb.com/search/title?genres=comedy&amp;title_type=feature&amp;explore=genres&amp;pf_rd_m=A2FGELUUNOQJNL&amp;pf_rd_p=facfbd0c-6f3d-4c05-9348-22eebd58852e&amp;pf_rd_r=VXXS2S9P42HEPBZR3X4E&amp;pf_rd_s=center-6&amp;pf_rd_t=15051&amp;pf_rd_i=genre&amp;ref_=ft_gnr_mvpop_5" TargetMode="External"/><Relationship Id="rId15" Type="http://schemas.openxmlformats.org/officeDocument/2006/relationships/hyperlink" Target="https://www.imdb.com/search/title?genres=sport&amp;title_type=feature&amp;explore=genres&amp;pf_rd_m=A2FGELUUNOQJNL&amp;pf_rd_p=facfbd0c-6f3d-4c05-9348-22eebd58852e&amp;pf_rd_r=VXXS2S9P42HEPBZR3X4E&amp;pf_rd_s=center-6&amp;pf_rd_t=15051&amp;pf_rd_i=genre&amp;ref_=ft_gnr_mvpop_20" TargetMode="External"/><Relationship Id="rId10" Type="http://schemas.openxmlformats.org/officeDocument/2006/relationships/hyperlink" Target="https://www.imdb.com/search/title?genres=horror&amp;title_type=feature&amp;explore=genres&amp;pf_rd_m=A2FGELUUNOQJNL&amp;pf_rd_p=facfbd0c-6f3d-4c05-9348-22eebd58852e&amp;pf_rd_r=VXXS2S9P42HEPBZR3X4E&amp;pf_rd_s=center-6&amp;pf_rd_t=15051&amp;pf_rd_i=genre&amp;ref_=ft_gnr_mvpop_13" TargetMode="External"/><Relationship Id="rId19" Type="http://schemas.openxmlformats.org/officeDocument/2006/relationships/hyperlink" Target="https://www.imdb.com/search/title?genres=history&amp;title_type=feature&amp;explore=genres&amp;pf_rd_m=A2FGELUUNOQJNL&amp;pf_rd_p=facfbd0c-6f3d-4c05-9348-22eebd58852e&amp;pf_rd_r=VXXS2S9P42HEPBZR3X4E&amp;pf_rd_s=center-6&amp;pf_rd_t=15051&amp;pf_rd_i=genre&amp;ref_=ft_gnr_mvpop_12" TargetMode="External"/><Relationship Id="rId4" Type="http://schemas.openxmlformats.org/officeDocument/2006/relationships/hyperlink" Target="https://www.imdb.com/search/title?genres=biography&amp;title_type=feature&amp;explore=genres&amp;pf_rd_m=A2FGELUUNOQJNL&amp;pf_rd_p=facfbd0c-6f3d-4c05-9348-22eebd58852e&amp;pf_rd_r=VXXS2S9P42HEPBZR3X4E&amp;pf_rd_s=center-6&amp;pf_rd_t=15051&amp;pf_rd_i=genre&amp;ref_=ft_gnr_mvpop_4" TargetMode="External"/><Relationship Id="rId9" Type="http://schemas.openxmlformats.org/officeDocument/2006/relationships/hyperlink" Target="https://www.imdb.com/search/title?genres=fantasy&amp;title_type=feature&amp;explore=genres&amp;pf_rd_m=A2FGELUUNOQJNL&amp;pf_rd_p=facfbd0c-6f3d-4c05-9348-22eebd58852e&amp;pf_rd_r=VXXS2S9P42HEPBZR3X4E&amp;pf_rd_s=center-6&amp;pf_rd_t=15051&amp;pf_rd_i=genre&amp;ref_=ft_gnr_mvpop_10" TargetMode="External"/><Relationship Id="rId14" Type="http://schemas.openxmlformats.org/officeDocument/2006/relationships/hyperlink" Target="https://www.imdb.com/search/title?genres=sci-fi&amp;title_type=feature&amp;explore=genres&amp;pf_rd_m=A2FGELUUNOQJNL&amp;pf_rd_p=facfbd0c-6f3d-4c05-9348-22eebd58852e&amp;pf_rd_r=VXXS2S9P42HEPBZR3X4E&amp;pf_rd_s=center-6&amp;pf_rd_t=15051&amp;pf_rd_i=genre&amp;ref_=ft_gnr_mvpop_18"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35E86-9BCE-484C-83F9-2A44CE9991C4}">
  <dimension ref="A1:R75"/>
  <sheetViews>
    <sheetView zoomScale="114" zoomScaleNormal="130" workbookViewId="0">
      <pane ySplit="1" topLeftCell="A23" activePane="bottomLeft" state="frozen"/>
      <selection pane="bottomLeft" activeCell="D1" sqref="D1"/>
      <selection activeCell="D1" sqref="D1"/>
    </sheetView>
  </sheetViews>
  <sheetFormatPr defaultColWidth="9.140625" defaultRowHeight="15"/>
  <cols>
    <col min="1" max="1" width="5" style="5" customWidth="1"/>
    <col min="2" max="2" width="7" style="5" bestFit="1" customWidth="1"/>
    <col min="3" max="3" width="9.140625" style="5" bestFit="1" customWidth="1"/>
    <col min="4" max="4" width="13.140625" style="5" bestFit="1" customWidth="1"/>
    <col min="5" max="5" width="33.140625" style="5" bestFit="1" customWidth="1"/>
    <col min="6" max="6" width="6.7109375" style="5" bestFit="1" customWidth="1"/>
    <col min="7" max="7" width="10.28515625" style="5" bestFit="1" customWidth="1"/>
    <col min="8" max="8" width="17.5703125" style="5" customWidth="1"/>
    <col min="9" max="9" width="17.7109375" style="5" bestFit="1" customWidth="1"/>
    <col min="10" max="10" width="12.42578125" style="5" customWidth="1"/>
    <col min="11" max="16384" width="9.140625" style="5"/>
  </cols>
  <sheetData>
    <row r="1" spans="1:10">
      <c r="A1" s="4" t="s">
        <v>0</v>
      </c>
      <c r="B1" s="4" t="s">
        <v>1</v>
      </c>
      <c r="C1" s="4" t="s">
        <v>2</v>
      </c>
      <c r="D1" s="4" t="s">
        <v>3</v>
      </c>
      <c r="E1" s="4" t="s">
        <v>4</v>
      </c>
      <c r="F1" s="4" t="s">
        <v>5</v>
      </c>
      <c r="G1" s="4" t="s">
        <v>6</v>
      </c>
      <c r="H1" s="4" t="s">
        <v>7</v>
      </c>
      <c r="I1" s="4" t="s">
        <v>8</v>
      </c>
      <c r="J1" s="14" t="s">
        <v>9</v>
      </c>
    </row>
    <row r="2" spans="1:10">
      <c r="A2" s="5">
        <v>-1</v>
      </c>
      <c r="B2" s="5">
        <f>0</f>
        <v>0</v>
      </c>
      <c r="C2" s="6">
        <v>44261</v>
      </c>
      <c r="D2" s="5" t="s">
        <v>10</v>
      </c>
      <c r="E2" s="5" t="s">
        <v>11</v>
      </c>
      <c r="F2" s="5">
        <v>2020</v>
      </c>
      <c r="G2" s="5" t="s">
        <v>12</v>
      </c>
      <c r="H2" s="5" t="s">
        <v>13</v>
      </c>
      <c r="I2" s="20">
        <v>150</v>
      </c>
      <c r="J2" s="5" t="s">
        <v>14</v>
      </c>
    </row>
    <row r="3" spans="1:10">
      <c r="A3" s="5">
        <f>A2+1</f>
        <v>0</v>
      </c>
      <c r="B3" s="5">
        <f>IF(D3="Rick",B2+1,B2)</f>
        <v>0</v>
      </c>
      <c r="C3" s="6">
        <v>44270</v>
      </c>
      <c r="D3" s="5" t="s">
        <v>10</v>
      </c>
      <c r="E3" s="5" t="s">
        <v>15</v>
      </c>
      <c r="F3" s="5">
        <v>2020</v>
      </c>
      <c r="G3" s="5" t="s">
        <v>16</v>
      </c>
      <c r="H3" s="5" t="s">
        <v>17</v>
      </c>
      <c r="I3" s="20">
        <v>48</v>
      </c>
      <c r="J3" s="5" t="s">
        <v>14</v>
      </c>
    </row>
    <row r="4" spans="1:10">
      <c r="A4" s="5">
        <f t="shared" ref="A4:A56" si="0">A3+1</f>
        <v>1</v>
      </c>
      <c r="B4" s="5">
        <f t="shared" ref="B4:B56" si="1">IF(D4="Rick",B3+1,B3)</f>
        <v>1</v>
      </c>
      <c r="C4" s="6">
        <v>44274</v>
      </c>
      <c r="D4" s="5" t="s">
        <v>18</v>
      </c>
      <c r="E4" s="5" t="s">
        <v>19</v>
      </c>
      <c r="F4" s="5">
        <v>1995</v>
      </c>
      <c r="G4" s="5" t="s">
        <v>20</v>
      </c>
      <c r="H4" s="5" t="s">
        <v>21</v>
      </c>
      <c r="I4" s="20">
        <v>129</v>
      </c>
      <c r="J4" s="5" t="s">
        <v>22</v>
      </c>
    </row>
    <row r="5" spans="1:10">
      <c r="A5" s="5">
        <f t="shared" si="0"/>
        <v>2</v>
      </c>
      <c r="B5" s="5">
        <f t="shared" si="1"/>
        <v>1</v>
      </c>
      <c r="C5" s="6">
        <v>44279</v>
      </c>
      <c r="D5" s="5" t="s">
        <v>23</v>
      </c>
      <c r="E5" s="5" t="s">
        <v>24</v>
      </c>
      <c r="F5" s="5">
        <v>2020</v>
      </c>
      <c r="G5" s="5" t="s">
        <v>25</v>
      </c>
      <c r="H5" s="5" t="s">
        <v>26</v>
      </c>
      <c r="I5" s="20">
        <v>139</v>
      </c>
      <c r="J5" s="5" t="s">
        <v>14</v>
      </c>
    </row>
    <row r="6" spans="1:10">
      <c r="A6" s="5">
        <f t="shared" si="0"/>
        <v>3</v>
      </c>
      <c r="B6" s="5">
        <f t="shared" si="1"/>
        <v>1</v>
      </c>
      <c r="C6" s="6">
        <v>44286</v>
      </c>
      <c r="D6" s="5" t="s">
        <v>27</v>
      </c>
      <c r="E6" s="5" t="s">
        <v>28</v>
      </c>
      <c r="F6" s="5">
        <v>2012</v>
      </c>
      <c r="G6" s="5" t="s">
        <v>12</v>
      </c>
      <c r="H6" s="5" t="s">
        <v>21</v>
      </c>
      <c r="I6" s="20">
        <v>131</v>
      </c>
      <c r="J6" s="5" t="s">
        <v>22</v>
      </c>
    </row>
    <row r="7" spans="1:10">
      <c r="A7" s="5">
        <f t="shared" si="0"/>
        <v>4</v>
      </c>
      <c r="B7" s="5">
        <f t="shared" si="1"/>
        <v>1</v>
      </c>
      <c r="C7" s="6">
        <v>44293</v>
      </c>
      <c r="D7" s="5" t="s">
        <v>29</v>
      </c>
      <c r="E7" s="5" t="s">
        <v>30</v>
      </c>
      <c r="F7" s="5">
        <v>2009</v>
      </c>
      <c r="G7" s="5" t="s">
        <v>21</v>
      </c>
      <c r="H7" s="5" t="s">
        <v>26</v>
      </c>
      <c r="I7" s="20">
        <v>157</v>
      </c>
      <c r="J7" s="5" t="s">
        <v>22</v>
      </c>
    </row>
    <row r="8" spans="1:10">
      <c r="A8" s="5">
        <f t="shared" si="0"/>
        <v>5</v>
      </c>
      <c r="B8" s="5">
        <f t="shared" si="1"/>
        <v>2</v>
      </c>
      <c r="C8" s="6">
        <v>44300</v>
      </c>
      <c r="D8" s="5" t="s">
        <v>18</v>
      </c>
      <c r="E8" s="5" t="s">
        <v>31</v>
      </c>
      <c r="F8" s="5">
        <v>2019</v>
      </c>
      <c r="G8" s="5" t="s">
        <v>13</v>
      </c>
      <c r="H8" s="5" t="s">
        <v>17</v>
      </c>
      <c r="I8" s="20">
        <v>172</v>
      </c>
      <c r="J8" s="5" t="s">
        <v>22</v>
      </c>
    </row>
    <row r="9" spans="1:10">
      <c r="A9" s="5">
        <f t="shared" si="0"/>
        <v>6</v>
      </c>
      <c r="B9" s="5">
        <f t="shared" si="1"/>
        <v>2</v>
      </c>
      <c r="C9" s="6">
        <v>44307</v>
      </c>
      <c r="D9" s="5" t="s">
        <v>23</v>
      </c>
      <c r="E9" s="5" t="s">
        <v>32</v>
      </c>
      <c r="F9" s="5">
        <v>2007</v>
      </c>
      <c r="G9" s="5" t="s">
        <v>25</v>
      </c>
      <c r="H9" s="5" t="s">
        <v>26</v>
      </c>
      <c r="I9" s="20">
        <v>157</v>
      </c>
      <c r="J9" s="5" t="s">
        <v>22</v>
      </c>
    </row>
    <row r="10" spans="1:10">
      <c r="A10" s="5">
        <f t="shared" si="0"/>
        <v>7</v>
      </c>
      <c r="B10" s="5">
        <f t="shared" si="1"/>
        <v>2</v>
      </c>
      <c r="C10" s="6">
        <v>44314</v>
      </c>
      <c r="D10" s="5" t="s">
        <v>27</v>
      </c>
      <c r="E10" s="5" t="s">
        <v>33</v>
      </c>
      <c r="F10" s="5">
        <v>2013</v>
      </c>
      <c r="G10" s="5" t="s">
        <v>17</v>
      </c>
      <c r="H10" s="5" t="s">
        <v>34</v>
      </c>
      <c r="I10" s="20">
        <v>114</v>
      </c>
      <c r="J10" s="5" t="s">
        <v>22</v>
      </c>
    </row>
    <row r="11" spans="1:10">
      <c r="A11" s="5">
        <f t="shared" si="0"/>
        <v>8</v>
      </c>
      <c r="B11" s="5">
        <f t="shared" si="1"/>
        <v>2</v>
      </c>
      <c r="C11" s="6">
        <v>44321</v>
      </c>
      <c r="D11" s="5" t="s">
        <v>29</v>
      </c>
      <c r="E11" s="5" t="s">
        <v>35</v>
      </c>
      <c r="F11" s="5">
        <v>1982</v>
      </c>
      <c r="G11" s="5" t="s">
        <v>21</v>
      </c>
      <c r="H11" s="5" t="s">
        <v>12</v>
      </c>
      <c r="I11" s="20">
        <v>117</v>
      </c>
      <c r="J11" s="5" t="s">
        <v>14</v>
      </c>
    </row>
    <row r="12" spans="1:10">
      <c r="A12" s="5">
        <f t="shared" si="0"/>
        <v>9</v>
      </c>
      <c r="B12" s="5">
        <f t="shared" si="1"/>
        <v>3</v>
      </c>
      <c r="C12" s="6">
        <v>44328</v>
      </c>
      <c r="D12" s="5" t="s">
        <v>18</v>
      </c>
      <c r="E12" s="5" t="s">
        <v>36</v>
      </c>
      <c r="F12" s="5">
        <v>2016</v>
      </c>
      <c r="G12" s="5" t="s">
        <v>26</v>
      </c>
      <c r="H12" s="5" t="s">
        <v>17</v>
      </c>
      <c r="I12" s="20">
        <v>95</v>
      </c>
      <c r="J12" s="5" t="s">
        <v>14</v>
      </c>
    </row>
    <row r="13" spans="1:10">
      <c r="A13" s="5">
        <f t="shared" si="0"/>
        <v>10</v>
      </c>
      <c r="B13" s="5">
        <f t="shared" si="1"/>
        <v>3</v>
      </c>
      <c r="C13" s="6">
        <v>44335</v>
      </c>
      <c r="D13" s="5" t="s">
        <v>23</v>
      </c>
      <c r="E13" s="5" t="s">
        <v>37</v>
      </c>
      <c r="F13" s="5">
        <v>1998</v>
      </c>
      <c r="G13" s="5" t="s">
        <v>12</v>
      </c>
      <c r="H13" s="5" t="s">
        <v>17</v>
      </c>
      <c r="I13" s="20">
        <v>107</v>
      </c>
      <c r="J13" s="5" t="s">
        <v>14</v>
      </c>
    </row>
    <row r="14" spans="1:10">
      <c r="A14" s="5">
        <f t="shared" si="0"/>
        <v>11</v>
      </c>
      <c r="B14" s="5">
        <f t="shared" si="1"/>
        <v>3</v>
      </c>
      <c r="C14" s="6">
        <v>44342</v>
      </c>
      <c r="D14" s="5" t="s">
        <v>27</v>
      </c>
      <c r="E14" s="5" t="s">
        <v>38</v>
      </c>
      <c r="F14" s="5">
        <v>2021</v>
      </c>
      <c r="G14" s="5" t="s">
        <v>16</v>
      </c>
      <c r="H14" s="5" t="s">
        <v>17</v>
      </c>
      <c r="I14" s="20">
        <v>114</v>
      </c>
      <c r="J14" s="5" t="s">
        <v>14</v>
      </c>
    </row>
    <row r="15" spans="1:10">
      <c r="A15" s="5">
        <f t="shared" si="0"/>
        <v>12</v>
      </c>
      <c r="B15" s="5">
        <f t="shared" si="1"/>
        <v>3</v>
      </c>
      <c r="C15" s="6">
        <v>44349</v>
      </c>
      <c r="D15" s="5" t="s">
        <v>29</v>
      </c>
      <c r="E15" s="5" t="s">
        <v>39</v>
      </c>
      <c r="F15" s="5">
        <v>1990</v>
      </c>
      <c r="G15" s="5" t="s">
        <v>12</v>
      </c>
      <c r="H15" s="5" t="s">
        <v>21</v>
      </c>
      <c r="I15" s="20">
        <v>113</v>
      </c>
      <c r="J15" s="5" t="s">
        <v>22</v>
      </c>
    </row>
    <row r="16" spans="1:10">
      <c r="A16" s="5">
        <f t="shared" si="0"/>
        <v>13</v>
      </c>
      <c r="B16" s="5">
        <f t="shared" si="1"/>
        <v>4</v>
      </c>
      <c r="C16" s="6">
        <v>44356</v>
      </c>
      <c r="D16" s="5" t="s">
        <v>18</v>
      </c>
      <c r="E16" s="5" t="s">
        <v>40</v>
      </c>
      <c r="F16" s="5">
        <v>2021</v>
      </c>
      <c r="G16" s="5" t="s">
        <v>41</v>
      </c>
      <c r="H16" s="5" t="s">
        <v>26</v>
      </c>
      <c r="I16" s="20">
        <v>126</v>
      </c>
      <c r="J16" s="5" t="s">
        <v>14</v>
      </c>
    </row>
    <row r="17" spans="1:10">
      <c r="A17" s="5">
        <f t="shared" si="0"/>
        <v>14</v>
      </c>
      <c r="B17" s="5">
        <f t="shared" si="1"/>
        <v>4</v>
      </c>
      <c r="C17" s="6">
        <v>44363</v>
      </c>
      <c r="D17" s="5" t="s">
        <v>23</v>
      </c>
      <c r="E17" s="5" t="s">
        <v>42</v>
      </c>
      <c r="F17" s="5">
        <v>2021</v>
      </c>
      <c r="G17" s="5" t="s">
        <v>17</v>
      </c>
      <c r="H17" s="5" t="s">
        <v>26</v>
      </c>
      <c r="I17" s="20">
        <v>87</v>
      </c>
      <c r="J17" s="5" t="s">
        <v>14</v>
      </c>
    </row>
    <row r="18" spans="1:10">
      <c r="A18" s="5">
        <f t="shared" si="0"/>
        <v>15</v>
      </c>
      <c r="B18" s="5">
        <f t="shared" si="1"/>
        <v>4</v>
      </c>
      <c r="C18" s="6">
        <v>44370</v>
      </c>
      <c r="D18" s="5" t="s">
        <v>27</v>
      </c>
      <c r="E18" s="5" t="s">
        <v>43</v>
      </c>
      <c r="F18" s="5">
        <v>2012</v>
      </c>
      <c r="G18" s="5" t="s">
        <v>12</v>
      </c>
      <c r="H18" s="5" t="s">
        <v>44</v>
      </c>
      <c r="I18" s="20">
        <v>90</v>
      </c>
      <c r="J18" s="5" t="s">
        <v>22</v>
      </c>
    </row>
    <row r="19" spans="1:10">
      <c r="A19" s="5">
        <f t="shared" si="0"/>
        <v>16</v>
      </c>
      <c r="B19" s="5">
        <f t="shared" si="1"/>
        <v>4</v>
      </c>
      <c r="C19" s="6">
        <v>44377</v>
      </c>
      <c r="D19" s="5" t="s">
        <v>29</v>
      </c>
      <c r="E19" s="5" t="s">
        <v>45</v>
      </c>
      <c r="F19" s="5">
        <v>2007</v>
      </c>
      <c r="G19" s="5" t="s">
        <v>46</v>
      </c>
      <c r="H19" s="5" t="s">
        <v>26</v>
      </c>
      <c r="I19" s="20">
        <v>85</v>
      </c>
      <c r="J19" s="5" t="s">
        <v>22</v>
      </c>
    </row>
    <row r="20" spans="1:10">
      <c r="A20" s="5">
        <f t="shared" si="0"/>
        <v>17</v>
      </c>
      <c r="B20" s="5">
        <f t="shared" si="1"/>
        <v>5</v>
      </c>
      <c r="C20" s="6">
        <v>44384</v>
      </c>
      <c r="D20" s="5" t="s">
        <v>18</v>
      </c>
      <c r="E20" s="5" t="s">
        <v>47</v>
      </c>
      <c r="F20" s="5">
        <v>2020</v>
      </c>
      <c r="G20" s="5" t="s">
        <v>44</v>
      </c>
      <c r="H20" s="5" t="s">
        <v>13</v>
      </c>
      <c r="I20" s="20">
        <v>150</v>
      </c>
      <c r="J20" s="5" t="s">
        <v>14</v>
      </c>
    </row>
    <row r="21" spans="1:10">
      <c r="A21" s="5">
        <f t="shared" si="0"/>
        <v>18</v>
      </c>
      <c r="B21" s="5">
        <f t="shared" si="1"/>
        <v>5</v>
      </c>
      <c r="C21" s="6">
        <v>44391</v>
      </c>
      <c r="D21" s="5" t="s">
        <v>23</v>
      </c>
      <c r="E21" s="5" t="s">
        <v>48</v>
      </c>
      <c r="F21" s="5">
        <v>2014</v>
      </c>
      <c r="G21" s="5" t="s">
        <v>16</v>
      </c>
      <c r="H21" s="5" t="s">
        <v>34</v>
      </c>
      <c r="I21" s="20">
        <v>92</v>
      </c>
      <c r="J21" s="5" t="s">
        <v>14</v>
      </c>
    </row>
    <row r="22" spans="1:10">
      <c r="A22" s="5">
        <f t="shared" si="0"/>
        <v>19</v>
      </c>
      <c r="B22" s="5">
        <f t="shared" si="1"/>
        <v>5</v>
      </c>
      <c r="C22" s="6">
        <v>44398</v>
      </c>
      <c r="D22" s="5" t="s">
        <v>27</v>
      </c>
      <c r="E22" s="5" t="s">
        <v>49</v>
      </c>
      <c r="F22" s="5">
        <v>2006</v>
      </c>
      <c r="G22" s="5" t="s">
        <v>16</v>
      </c>
      <c r="H22" s="5" t="s">
        <v>17</v>
      </c>
      <c r="I22" s="20">
        <v>132</v>
      </c>
      <c r="J22" s="5" t="s">
        <v>22</v>
      </c>
    </row>
    <row r="23" spans="1:10">
      <c r="A23" s="5">
        <f t="shared" si="0"/>
        <v>20</v>
      </c>
      <c r="B23" s="5">
        <f t="shared" si="1"/>
        <v>5</v>
      </c>
      <c r="C23" s="6">
        <v>44405</v>
      </c>
      <c r="D23" s="5" t="s">
        <v>29</v>
      </c>
      <c r="E23" s="5" t="s">
        <v>50</v>
      </c>
      <c r="F23" s="5">
        <v>2014</v>
      </c>
      <c r="G23" s="5" t="s">
        <v>12</v>
      </c>
      <c r="H23" s="5" t="s">
        <v>21</v>
      </c>
      <c r="I23" s="20">
        <v>113</v>
      </c>
      <c r="J23" s="5" t="s">
        <v>14</v>
      </c>
    </row>
    <row r="24" spans="1:10">
      <c r="A24" s="5">
        <f t="shared" si="0"/>
        <v>21</v>
      </c>
      <c r="B24" s="5">
        <f t="shared" si="1"/>
        <v>6</v>
      </c>
      <c r="C24" s="6">
        <v>44412</v>
      </c>
      <c r="D24" s="5" t="s">
        <v>18</v>
      </c>
      <c r="E24" s="5" t="s">
        <v>51</v>
      </c>
      <c r="F24" s="5">
        <v>2010</v>
      </c>
      <c r="G24" s="5" t="s">
        <v>12</v>
      </c>
      <c r="H24" s="5" t="s">
        <v>34</v>
      </c>
      <c r="I24" s="20">
        <v>141</v>
      </c>
      <c r="J24" s="5" t="s">
        <v>14</v>
      </c>
    </row>
    <row r="25" spans="1:10">
      <c r="A25" s="5">
        <f t="shared" si="0"/>
        <v>22</v>
      </c>
      <c r="B25" s="5">
        <f t="shared" si="1"/>
        <v>6</v>
      </c>
      <c r="C25" s="6">
        <v>44419</v>
      </c>
      <c r="D25" s="5" t="s">
        <v>23</v>
      </c>
      <c r="E25" s="5" t="s">
        <v>52</v>
      </c>
      <c r="F25" s="5">
        <v>2016</v>
      </c>
      <c r="G25" s="5" t="s">
        <v>25</v>
      </c>
      <c r="H25" s="5" t="s">
        <v>26</v>
      </c>
      <c r="I25" s="20">
        <v>96</v>
      </c>
      <c r="J25" s="5" t="s">
        <v>14</v>
      </c>
    </row>
    <row r="26" spans="1:10">
      <c r="A26" s="5">
        <f t="shared" si="0"/>
        <v>23</v>
      </c>
      <c r="B26" s="5">
        <f t="shared" si="1"/>
        <v>6</v>
      </c>
      <c r="C26" s="6">
        <v>44426</v>
      </c>
      <c r="D26" s="5" t="s">
        <v>27</v>
      </c>
      <c r="E26" s="5" t="s">
        <v>53</v>
      </c>
      <c r="F26" s="5">
        <v>2012</v>
      </c>
      <c r="G26" s="5" t="s">
        <v>26</v>
      </c>
      <c r="H26" s="5" t="s">
        <v>13</v>
      </c>
      <c r="I26" s="20">
        <v>120</v>
      </c>
      <c r="J26" s="5" t="s">
        <v>22</v>
      </c>
    </row>
    <row r="27" spans="1:10">
      <c r="A27" s="5">
        <f>A26+1</f>
        <v>24</v>
      </c>
      <c r="B27" s="5">
        <f t="shared" si="1"/>
        <v>6</v>
      </c>
      <c r="C27" s="6">
        <v>44436</v>
      </c>
      <c r="D27" s="5" t="s">
        <v>29</v>
      </c>
      <c r="E27" s="5" t="s">
        <v>54</v>
      </c>
      <c r="F27" s="5">
        <v>2017</v>
      </c>
      <c r="G27" s="5" t="s">
        <v>12</v>
      </c>
      <c r="H27" s="5" t="s">
        <v>26</v>
      </c>
      <c r="I27" s="20">
        <v>164</v>
      </c>
      <c r="J27" s="5" t="s">
        <v>14</v>
      </c>
    </row>
    <row r="28" spans="1:10">
      <c r="A28" s="5">
        <f>A27+1</f>
        <v>25</v>
      </c>
      <c r="B28" s="5">
        <f t="shared" si="1"/>
        <v>7</v>
      </c>
      <c r="C28" s="6">
        <v>44440</v>
      </c>
      <c r="D28" s="5" t="s">
        <v>18</v>
      </c>
      <c r="E28" s="5" t="s">
        <v>55</v>
      </c>
      <c r="F28" s="5">
        <v>2018</v>
      </c>
      <c r="G28" s="5" t="s">
        <v>25</v>
      </c>
      <c r="H28" s="5" t="s">
        <v>26</v>
      </c>
      <c r="I28" s="20">
        <v>139</v>
      </c>
      <c r="J28" s="5" t="s">
        <v>14</v>
      </c>
    </row>
    <row r="29" spans="1:10">
      <c r="A29" s="5">
        <f t="shared" si="0"/>
        <v>26</v>
      </c>
      <c r="B29" s="5">
        <f t="shared" si="1"/>
        <v>7</v>
      </c>
      <c r="C29" s="6">
        <v>44449</v>
      </c>
      <c r="D29" s="5" t="s">
        <v>23</v>
      </c>
      <c r="E29" s="5" t="s">
        <v>56</v>
      </c>
      <c r="F29" s="5">
        <v>2018</v>
      </c>
      <c r="G29" s="5" t="s">
        <v>12</v>
      </c>
      <c r="H29" s="5" t="s">
        <v>21</v>
      </c>
      <c r="I29" s="20">
        <v>100</v>
      </c>
      <c r="J29" s="5" t="s">
        <v>14</v>
      </c>
    </row>
    <row r="30" spans="1:10">
      <c r="A30" s="5">
        <f t="shared" si="0"/>
        <v>27</v>
      </c>
      <c r="B30" s="5">
        <f t="shared" si="1"/>
        <v>7</v>
      </c>
      <c r="C30" s="6">
        <v>44454</v>
      </c>
      <c r="D30" s="5" t="s">
        <v>27</v>
      </c>
      <c r="E30" s="5" t="s">
        <v>57</v>
      </c>
      <c r="F30" s="5">
        <v>2016</v>
      </c>
      <c r="G30" s="5" t="s">
        <v>12</v>
      </c>
      <c r="H30" s="5" t="s">
        <v>58</v>
      </c>
      <c r="I30" s="20">
        <v>132</v>
      </c>
      <c r="J30" s="5" t="s">
        <v>22</v>
      </c>
    </row>
    <row r="31" spans="1:10">
      <c r="A31" s="5">
        <f t="shared" si="0"/>
        <v>28</v>
      </c>
      <c r="B31" s="5">
        <f t="shared" si="1"/>
        <v>7</v>
      </c>
      <c r="C31" s="6">
        <v>44461</v>
      </c>
      <c r="D31" s="5" t="s">
        <v>29</v>
      </c>
      <c r="E31" s="13" t="s">
        <v>59</v>
      </c>
      <c r="F31" s="13">
        <v>2021</v>
      </c>
      <c r="G31" s="13" t="s">
        <v>34</v>
      </c>
      <c r="H31" s="13" t="s">
        <v>26</v>
      </c>
      <c r="I31" s="21">
        <v>155</v>
      </c>
      <c r="J31" s="5" t="s">
        <v>14</v>
      </c>
    </row>
    <row r="32" spans="1:10">
      <c r="A32" s="5">
        <f t="shared" si="0"/>
        <v>29</v>
      </c>
      <c r="B32" s="5">
        <f t="shared" si="1"/>
        <v>8</v>
      </c>
      <c r="C32" s="6">
        <v>44468</v>
      </c>
      <c r="D32" s="5" t="s">
        <v>18</v>
      </c>
      <c r="E32" s="5" t="s">
        <v>60</v>
      </c>
      <c r="F32" s="5">
        <v>2006</v>
      </c>
      <c r="G32" s="5" t="s">
        <v>12</v>
      </c>
      <c r="H32" s="5" t="s">
        <v>34</v>
      </c>
      <c r="I32" s="20">
        <v>144</v>
      </c>
      <c r="J32" s="5" t="s">
        <v>22</v>
      </c>
    </row>
    <row r="33" spans="1:18">
      <c r="A33" s="5">
        <f t="shared" si="0"/>
        <v>30</v>
      </c>
      <c r="B33" s="5">
        <f t="shared" si="1"/>
        <v>8</v>
      </c>
      <c r="C33" s="6">
        <v>44474</v>
      </c>
      <c r="D33" s="5" t="s">
        <v>23</v>
      </c>
      <c r="E33" s="5" t="s">
        <v>61</v>
      </c>
      <c r="F33" s="5">
        <v>2015</v>
      </c>
      <c r="G33" s="5" t="s">
        <v>12</v>
      </c>
      <c r="H33" s="5" t="s">
        <v>25</v>
      </c>
      <c r="I33" s="20">
        <v>121</v>
      </c>
      <c r="J33" s="5" t="s">
        <v>14</v>
      </c>
    </row>
    <row r="34" spans="1:18">
      <c r="A34" s="5">
        <f t="shared" si="0"/>
        <v>31</v>
      </c>
      <c r="B34" s="5">
        <f t="shared" si="1"/>
        <v>8</v>
      </c>
      <c r="C34" s="6">
        <v>44482</v>
      </c>
      <c r="D34" s="5" t="s">
        <v>27</v>
      </c>
      <c r="E34" s="5">
        <v>1408</v>
      </c>
      <c r="F34" s="5">
        <v>2007</v>
      </c>
      <c r="G34" s="5" t="s">
        <v>62</v>
      </c>
      <c r="H34" s="5" t="s">
        <v>63</v>
      </c>
      <c r="I34" s="20">
        <v>104</v>
      </c>
      <c r="J34" s="5" t="s">
        <v>22</v>
      </c>
    </row>
    <row r="35" spans="1:18">
      <c r="A35" s="5">
        <f t="shared" si="0"/>
        <v>32</v>
      </c>
      <c r="B35" s="5">
        <f t="shared" si="1"/>
        <v>8</v>
      </c>
      <c r="C35" s="6">
        <v>44489</v>
      </c>
      <c r="D35" s="5" t="s">
        <v>29</v>
      </c>
      <c r="E35" s="13" t="s">
        <v>64</v>
      </c>
      <c r="F35" s="13">
        <v>2016</v>
      </c>
      <c r="G35" s="13" t="s">
        <v>41</v>
      </c>
      <c r="H35" s="13" t="s">
        <v>26</v>
      </c>
      <c r="I35" s="21">
        <v>127</v>
      </c>
      <c r="J35" s="5" t="s">
        <v>22</v>
      </c>
    </row>
    <row r="36" spans="1:18">
      <c r="A36" s="5">
        <f t="shared" si="0"/>
        <v>33</v>
      </c>
      <c r="B36" s="5">
        <f t="shared" si="1"/>
        <v>9</v>
      </c>
      <c r="C36" s="6">
        <v>44496</v>
      </c>
      <c r="D36" s="5" t="s">
        <v>18</v>
      </c>
      <c r="E36" s="5" t="s">
        <v>65</v>
      </c>
      <c r="F36" s="5">
        <v>2013</v>
      </c>
      <c r="G36" s="5" t="s">
        <v>25</v>
      </c>
      <c r="H36" s="5" t="s">
        <v>26</v>
      </c>
      <c r="I36" s="20">
        <v>153</v>
      </c>
      <c r="J36" s="5" t="s">
        <v>14</v>
      </c>
    </row>
    <row r="37" spans="1:18">
      <c r="A37" s="5">
        <f>A36+1</f>
        <v>34</v>
      </c>
      <c r="B37" s="5">
        <f t="shared" si="1"/>
        <v>9</v>
      </c>
      <c r="C37" s="6">
        <v>44504</v>
      </c>
      <c r="D37" s="5" t="s">
        <v>23</v>
      </c>
      <c r="E37" s="5" t="s">
        <v>66</v>
      </c>
      <c r="F37" s="5">
        <v>2011</v>
      </c>
      <c r="G37" s="5" t="s">
        <v>25</v>
      </c>
      <c r="H37" s="5" t="s">
        <v>26</v>
      </c>
      <c r="I37" s="20">
        <v>100</v>
      </c>
      <c r="J37" s="5" t="s">
        <v>14</v>
      </c>
    </row>
    <row r="38" spans="1:18">
      <c r="A38" s="5">
        <f>A37+1</f>
        <v>35</v>
      </c>
      <c r="B38" s="5">
        <f t="shared" si="1"/>
        <v>9</v>
      </c>
      <c r="C38" s="6">
        <v>44512</v>
      </c>
      <c r="D38" s="5" t="s">
        <v>27</v>
      </c>
      <c r="E38" s="5" t="s">
        <v>67</v>
      </c>
      <c r="F38" s="5">
        <v>1997</v>
      </c>
      <c r="G38" s="5" t="s">
        <v>26</v>
      </c>
      <c r="H38" s="5" t="s">
        <v>68</v>
      </c>
      <c r="I38" s="20">
        <v>194</v>
      </c>
      <c r="J38" s="5" t="s">
        <v>22</v>
      </c>
    </row>
    <row r="39" spans="1:18">
      <c r="A39" s="5">
        <f>A38+1</f>
        <v>36</v>
      </c>
      <c r="B39" s="5">
        <f>IF(D39="Rick",B38+1,B38)</f>
        <v>9</v>
      </c>
      <c r="C39" s="6">
        <v>44517</v>
      </c>
      <c r="D39" s="5" t="s">
        <v>29</v>
      </c>
      <c r="E39" s="13" t="s">
        <v>69</v>
      </c>
      <c r="F39" s="5">
        <v>2018</v>
      </c>
      <c r="G39" s="5" t="s">
        <v>12</v>
      </c>
      <c r="H39" s="5" t="s">
        <v>34</v>
      </c>
      <c r="I39" s="20">
        <v>75</v>
      </c>
      <c r="J39" s="5" t="s">
        <v>14</v>
      </c>
    </row>
    <row r="40" spans="1:18">
      <c r="A40" s="5">
        <f t="shared" si="0"/>
        <v>37</v>
      </c>
      <c r="B40" s="5">
        <f t="shared" si="1"/>
        <v>10</v>
      </c>
      <c r="C40" s="6">
        <v>44524</v>
      </c>
      <c r="D40" s="5" t="s">
        <v>18</v>
      </c>
      <c r="E40" s="5" t="s">
        <v>70</v>
      </c>
      <c r="F40" s="5">
        <v>2021</v>
      </c>
      <c r="G40" s="5" t="s">
        <v>26</v>
      </c>
      <c r="H40" s="5" t="s">
        <v>63</v>
      </c>
      <c r="I40" s="20">
        <v>116</v>
      </c>
      <c r="J40" s="5" t="s">
        <v>14</v>
      </c>
    </row>
    <row r="41" spans="1:18">
      <c r="A41" s="5">
        <f t="shared" si="0"/>
        <v>38</v>
      </c>
      <c r="B41" s="5">
        <f t="shared" si="1"/>
        <v>10</v>
      </c>
      <c r="C41" s="6">
        <v>44531</v>
      </c>
      <c r="D41" s="5" t="s">
        <v>23</v>
      </c>
      <c r="E41" s="5" t="s">
        <v>71</v>
      </c>
      <c r="F41" s="5">
        <v>1997</v>
      </c>
      <c r="G41" s="5" t="s">
        <v>26</v>
      </c>
      <c r="H41" s="5" t="s">
        <v>68</v>
      </c>
      <c r="I41" s="20">
        <v>126</v>
      </c>
      <c r="J41" s="5" t="s">
        <v>14</v>
      </c>
    </row>
    <row r="42" spans="1:18">
      <c r="A42" s="5">
        <f t="shared" si="0"/>
        <v>39</v>
      </c>
      <c r="B42" s="5">
        <f t="shared" si="1"/>
        <v>10</v>
      </c>
      <c r="C42" s="6">
        <v>44538</v>
      </c>
      <c r="D42" s="5" t="s">
        <v>27</v>
      </c>
      <c r="E42" s="5" t="s">
        <v>72</v>
      </c>
      <c r="F42" s="5">
        <v>1988</v>
      </c>
      <c r="G42" s="5" t="s">
        <v>12</v>
      </c>
      <c r="H42" s="5" t="s">
        <v>13</v>
      </c>
      <c r="I42" s="20">
        <v>132</v>
      </c>
      <c r="J42" s="5" t="s">
        <v>14</v>
      </c>
    </row>
    <row r="43" spans="1:18">
      <c r="A43" s="5">
        <f t="shared" si="0"/>
        <v>40</v>
      </c>
      <c r="B43" s="5">
        <f t="shared" si="1"/>
        <v>10</v>
      </c>
      <c r="C43" s="6">
        <v>44545</v>
      </c>
      <c r="D43" s="5" t="s">
        <v>29</v>
      </c>
      <c r="E43" s="13" t="s">
        <v>73</v>
      </c>
      <c r="F43" s="5">
        <v>1946</v>
      </c>
      <c r="G43" s="5" t="s">
        <v>26</v>
      </c>
      <c r="H43" s="5" t="s">
        <v>74</v>
      </c>
      <c r="I43" s="20">
        <v>130</v>
      </c>
      <c r="J43" s="5" t="s">
        <v>22</v>
      </c>
    </row>
    <row r="44" spans="1:18">
      <c r="A44" s="5">
        <f t="shared" si="0"/>
        <v>41</v>
      </c>
      <c r="B44" s="5">
        <f t="shared" si="1"/>
        <v>11</v>
      </c>
      <c r="C44" s="6">
        <v>44552</v>
      </c>
      <c r="D44" s="5" t="s">
        <v>18</v>
      </c>
      <c r="E44" s="5" t="s">
        <v>75</v>
      </c>
      <c r="F44" s="5">
        <v>2021</v>
      </c>
      <c r="G44" s="5" t="s">
        <v>12</v>
      </c>
      <c r="H44" s="5" t="s">
        <v>34</v>
      </c>
      <c r="I44" s="20">
        <v>115</v>
      </c>
      <c r="J44" s="5" t="s">
        <v>14</v>
      </c>
    </row>
    <row r="45" spans="1:18">
      <c r="A45" s="5">
        <f t="shared" si="0"/>
        <v>42</v>
      </c>
      <c r="B45" s="5">
        <f t="shared" si="1"/>
        <v>11</v>
      </c>
      <c r="C45" s="6">
        <v>44559</v>
      </c>
      <c r="D45" s="5" t="s">
        <v>23</v>
      </c>
      <c r="E45" s="5" t="s">
        <v>76</v>
      </c>
      <c r="F45" s="5">
        <v>2021</v>
      </c>
      <c r="G45" s="5" t="s">
        <v>17</v>
      </c>
      <c r="H45" s="5" t="s">
        <v>26</v>
      </c>
      <c r="I45" s="20">
        <v>107</v>
      </c>
      <c r="J45" s="5" t="s">
        <v>14</v>
      </c>
    </row>
    <row r="46" spans="1:18">
      <c r="A46" s="5">
        <f t="shared" si="0"/>
        <v>43</v>
      </c>
      <c r="B46" s="5">
        <f t="shared" si="1"/>
        <v>11</v>
      </c>
      <c r="C46" s="6">
        <v>44566</v>
      </c>
      <c r="D46" s="5" t="s">
        <v>27</v>
      </c>
      <c r="E46" s="5" t="s">
        <v>77</v>
      </c>
      <c r="F46" s="5">
        <v>1980</v>
      </c>
      <c r="G46" s="5" t="s">
        <v>17</v>
      </c>
      <c r="H46" s="5" t="s">
        <v>17</v>
      </c>
      <c r="I46" s="20">
        <v>88</v>
      </c>
      <c r="J46" s="5" t="s">
        <v>22</v>
      </c>
    </row>
    <row r="47" spans="1:18">
      <c r="A47" s="5">
        <f t="shared" si="0"/>
        <v>44</v>
      </c>
      <c r="B47" s="5">
        <f t="shared" si="1"/>
        <v>11</v>
      </c>
      <c r="C47" s="6">
        <v>44573</v>
      </c>
      <c r="D47" s="5" t="s">
        <v>29</v>
      </c>
      <c r="E47" s="5" t="s">
        <v>78</v>
      </c>
      <c r="F47" s="5">
        <v>2019</v>
      </c>
      <c r="G47" s="5" t="s">
        <v>12</v>
      </c>
      <c r="H47" s="5" t="s">
        <v>17</v>
      </c>
      <c r="I47" s="20">
        <v>98</v>
      </c>
      <c r="J47" s="5" t="s">
        <v>14</v>
      </c>
      <c r="R47" s="6"/>
    </row>
    <row r="48" spans="1:18">
      <c r="A48" s="5">
        <f t="shared" si="0"/>
        <v>45</v>
      </c>
      <c r="B48" s="5">
        <f t="shared" si="1"/>
        <v>12</v>
      </c>
      <c r="C48" s="6">
        <v>44580</v>
      </c>
      <c r="D48" s="5" t="s">
        <v>18</v>
      </c>
      <c r="E48" s="5" t="s">
        <v>79</v>
      </c>
      <c r="F48" s="5">
        <v>2021</v>
      </c>
      <c r="G48" s="5" t="s">
        <v>12</v>
      </c>
      <c r="H48" s="5" t="s">
        <v>26</v>
      </c>
      <c r="I48" s="20">
        <v>152</v>
      </c>
      <c r="J48" s="5" t="s">
        <v>14</v>
      </c>
    </row>
    <row r="49" spans="1:10">
      <c r="A49" s="5">
        <f t="shared" si="0"/>
        <v>46</v>
      </c>
      <c r="B49" s="5">
        <f t="shared" si="1"/>
        <v>12</v>
      </c>
      <c r="C49" s="6">
        <v>44587</v>
      </c>
      <c r="D49" s="5" t="s">
        <v>23</v>
      </c>
      <c r="E49" s="5" t="s">
        <v>80</v>
      </c>
      <c r="F49" s="5">
        <v>2019</v>
      </c>
      <c r="G49" s="5" t="s">
        <v>81</v>
      </c>
      <c r="H49" s="5" t="s">
        <v>41</v>
      </c>
      <c r="I49" s="20">
        <v>165</v>
      </c>
      <c r="J49" s="5" t="s">
        <v>14</v>
      </c>
    </row>
    <row r="50" spans="1:10">
      <c r="A50" s="5">
        <f t="shared" si="0"/>
        <v>47</v>
      </c>
      <c r="B50" s="5">
        <f t="shared" si="1"/>
        <v>12</v>
      </c>
      <c r="C50" s="6">
        <v>44594</v>
      </c>
      <c r="D50" s="5" t="s">
        <v>27</v>
      </c>
      <c r="E50" s="5" t="s">
        <v>82</v>
      </c>
      <c r="F50" s="5">
        <v>2019</v>
      </c>
      <c r="G50" s="5" t="s">
        <v>17</v>
      </c>
      <c r="H50" s="5" t="s">
        <v>26</v>
      </c>
      <c r="I50" s="20">
        <v>108</v>
      </c>
      <c r="J50" s="5" t="s">
        <v>14</v>
      </c>
    </row>
    <row r="51" spans="1:10">
      <c r="A51" s="5">
        <f t="shared" si="0"/>
        <v>48</v>
      </c>
      <c r="B51" s="5">
        <f t="shared" si="1"/>
        <v>12</v>
      </c>
      <c r="C51" s="6">
        <v>44601</v>
      </c>
      <c r="D51" s="5" t="s">
        <v>29</v>
      </c>
      <c r="E51" s="5" t="s">
        <v>83</v>
      </c>
      <c r="F51" s="5">
        <v>2008</v>
      </c>
      <c r="G51" s="5" t="s">
        <v>63</v>
      </c>
      <c r="H51" s="5" t="s">
        <v>20</v>
      </c>
      <c r="I51" s="20">
        <v>110</v>
      </c>
      <c r="J51" s="5" t="s">
        <v>22</v>
      </c>
    </row>
    <row r="52" spans="1:10">
      <c r="A52" s="5">
        <f t="shared" si="0"/>
        <v>49</v>
      </c>
      <c r="B52" s="5">
        <f t="shared" si="1"/>
        <v>13</v>
      </c>
      <c r="C52" s="6">
        <v>44607</v>
      </c>
      <c r="D52" s="5" t="s">
        <v>18</v>
      </c>
      <c r="E52" s="5" t="s">
        <v>84</v>
      </c>
      <c r="F52" s="5">
        <v>2021</v>
      </c>
      <c r="G52" s="5" t="s">
        <v>34</v>
      </c>
      <c r="H52" s="5" t="s">
        <v>26</v>
      </c>
      <c r="I52" s="20">
        <v>130</v>
      </c>
      <c r="J52" s="5" t="s">
        <v>14</v>
      </c>
    </row>
    <row r="53" spans="1:10">
      <c r="A53" s="5">
        <f t="shared" si="0"/>
        <v>50</v>
      </c>
      <c r="B53" s="5">
        <f t="shared" si="1"/>
        <v>13</v>
      </c>
      <c r="C53" s="6">
        <v>44614</v>
      </c>
      <c r="D53" s="5" t="s">
        <v>23</v>
      </c>
    </row>
    <row r="54" spans="1:10">
      <c r="A54" s="5">
        <f t="shared" si="0"/>
        <v>51</v>
      </c>
      <c r="B54" s="5">
        <f t="shared" si="1"/>
        <v>13</v>
      </c>
      <c r="C54" s="6">
        <v>44622</v>
      </c>
      <c r="D54" s="5" t="s">
        <v>27</v>
      </c>
    </row>
    <row r="55" spans="1:10">
      <c r="A55" s="5">
        <f t="shared" si="0"/>
        <v>52</v>
      </c>
      <c r="B55" s="5">
        <f t="shared" si="1"/>
        <v>13</v>
      </c>
      <c r="C55" s="6">
        <v>44629</v>
      </c>
      <c r="D55" s="5" t="s">
        <v>29</v>
      </c>
    </row>
    <row r="56" spans="1:10">
      <c r="A56" s="5">
        <f t="shared" si="0"/>
        <v>53</v>
      </c>
      <c r="B56" s="5">
        <f t="shared" si="1"/>
        <v>14</v>
      </c>
      <c r="C56" s="7">
        <v>44636</v>
      </c>
      <c r="D56" s="8" t="s">
        <v>18</v>
      </c>
    </row>
    <row r="57" spans="1:10">
      <c r="C57" s="9"/>
      <c r="D57" s="10"/>
    </row>
    <row r="58" spans="1:10">
      <c r="C58" s="9"/>
      <c r="D58" s="10"/>
    </row>
    <row r="59" spans="1:10">
      <c r="D59" s="10"/>
    </row>
    <row r="60" spans="1:10">
      <c r="D60" s="10"/>
    </row>
    <row r="61" spans="1:10">
      <c r="D61" s="10"/>
    </row>
    <row r="62" spans="1:10">
      <c r="D62" s="10"/>
    </row>
    <row r="63" spans="1:10">
      <c r="D63" s="10"/>
    </row>
    <row r="64" spans="1:10">
      <c r="D64" s="10"/>
    </row>
    <row r="65" spans="4:4">
      <c r="D65" s="10"/>
    </row>
    <row r="66" spans="4:4">
      <c r="D66" s="10"/>
    </row>
    <row r="67" spans="4:4">
      <c r="D67" s="10"/>
    </row>
    <row r="68" spans="4:4">
      <c r="D68" s="10"/>
    </row>
    <row r="69" spans="4:4">
      <c r="D69" s="10"/>
    </row>
    <row r="70" spans="4:4">
      <c r="D70" s="10"/>
    </row>
    <row r="71" spans="4:4">
      <c r="D71" s="10"/>
    </row>
    <row r="72" spans="4:4">
      <c r="D72" s="10"/>
    </row>
    <row r="73" spans="4:4">
      <c r="D73" s="10"/>
    </row>
    <row r="74" spans="4:4">
      <c r="D74" s="10"/>
    </row>
    <row r="75" spans="4:4">
      <c r="D75" s="10"/>
    </row>
  </sheetData>
  <phoneticPr fontId="2" type="noConversion"/>
  <pageMargins left="0.7" right="0.7" top="0.75" bottom="0.75" header="0.3" footer="0.3"/>
  <pageSetup paperSize="9" orientation="portrait" horizontalDpi="4294967293"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5DBBCDF6-E064-41FE-8CEC-3A5A988A46B6}">
          <x14:formula1>
            <xm:f>Dropdowns!$A$2:$A$1048576</xm:f>
          </x14:formula1>
          <xm:sqref>H5:H1048576 H2:H3</xm:sqref>
        </x14:dataValidation>
        <x14:dataValidation type="list" allowBlank="1" showInputMessage="1" showErrorMessage="1" xr:uid="{72AAA41E-7649-491C-915C-EA4C7F38AF69}">
          <x14:formula1>
            <xm:f>Dropdowns!$B$2:$B$3</xm:f>
          </x14:formula1>
          <xm:sqref>J2:J52</xm:sqref>
        </x14:dataValidation>
        <x14:dataValidation type="list" allowBlank="1" showInputMessage="1" showErrorMessage="1" xr:uid="{7EC56392-2D08-4052-96E2-41E906FECF55}">
          <x14:formula1>
            <xm:f>Dropdowns!A:A</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A48F4-D554-47A2-8EBB-848DC4AEF72F}">
  <dimension ref="A1:P198"/>
  <sheetViews>
    <sheetView tabSelected="1" zoomScale="85" zoomScaleNormal="85" workbookViewId="0">
      <selection activeCell="D169" sqref="D169"/>
    </sheetView>
  </sheetViews>
  <sheetFormatPr defaultRowHeight="15"/>
  <cols>
    <col min="1" max="1" width="4.5703125" customWidth="1"/>
    <col min="2" max="2" width="8.28515625" customWidth="1"/>
    <col min="3" max="3" width="4.140625" customWidth="1"/>
    <col min="4" max="4" width="11.42578125" style="28" bestFit="1" customWidth="1"/>
    <col min="5" max="5" width="13.140625" bestFit="1" customWidth="1"/>
    <col min="6" max="6" width="11.5703125" bestFit="1" customWidth="1"/>
    <col min="7" max="7" width="35.5703125" customWidth="1"/>
    <col min="9" max="9" width="48.7109375" customWidth="1"/>
    <col min="10" max="10" width="9.140625" style="37"/>
    <col min="11" max="11" width="12.42578125" style="17" bestFit="1" customWidth="1"/>
    <col min="12" max="12" width="10.140625" style="17" bestFit="1" customWidth="1"/>
    <col min="13" max="13" width="6.42578125" customWidth="1"/>
    <col min="14" max="14" width="6" style="19" customWidth="1"/>
    <col min="15" max="15" width="15.42578125" customWidth="1"/>
  </cols>
  <sheetData>
    <row r="1" spans="1:15">
      <c r="A1" s="4" t="s">
        <v>0</v>
      </c>
      <c r="B1" s="4" t="s">
        <v>5</v>
      </c>
      <c r="C1" s="4" t="s">
        <v>1</v>
      </c>
      <c r="D1" s="4" t="s">
        <v>2</v>
      </c>
      <c r="E1" s="4" t="s">
        <v>3</v>
      </c>
      <c r="F1" s="4" t="s">
        <v>85</v>
      </c>
      <c r="G1" s="4" t="s">
        <v>4</v>
      </c>
      <c r="H1" s="4" t="s">
        <v>86</v>
      </c>
      <c r="I1" s="4" t="s">
        <v>87</v>
      </c>
      <c r="J1" s="36" t="s">
        <v>8</v>
      </c>
      <c r="K1" s="4" t="s">
        <v>9</v>
      </c>
      <c r="L1" s="4" t="s">
        <v>88</v>
      </c>
      <c r="M1" s="14" t="s">
        <v>89</v>
      </c>
      <c r="N1" s="14" t="s">
        <v>90</v>
      </c>
      <c r="O1" s="14" t="s">
        <v>91</v>
      </c>
    </row>
    <row r="2" spans="1:15">
      <c r="A2" s="5">
        <v>-1</v>
      </c>
      <c r="B2" s="5">
        <v>1</v>
      </c>
      <c r="C2" s="5">
        <f>0</f>
        <v>0</v>
      </c>
      <c r="D2" s="28">
        <v>44261</v>
      </c>
      <c r="E2" s="5" t="s">
        <v>10</v>
      </c>
      <c r="F2" s="5" t="s">
        <v>92</v>
      </c>
      <c r="G2" s="5" t="s">
        <v>11</v>
      </c>
      <c r="H2" s="5">
        <v>2020</v>
      </c>
      <c r="I2" s="5" t="s">
        <v>93</v>
      </c>
      <c r="J2" s="37">
        <v>150</v>
      </c>
      <c r="K2" s="17" t="s">
        <v>14</v>
      </c>
      <c r="L2" s="17">
        <f>IFERROR(1/((LEN(master2[[#This Row],[Genres]])-LEN(SUBSTITUTE(master2[[#This Row],[Genres]],"'","")))/2),0)</f>
        <v>0.33333333333333331</v>
      </c>
      <c r="M2" s="24" t="s">
        <v>94</v>
      </c>
      <c r="N2" s="29">
        <v>7.3</v>
      </c>
      <c r="O2" s="5" t="str">
        <f>TEXT(WEEKDAY(master2[[#This Row],[Datum]]),"dddd")</f>
        <v>Saturday</v>
      </c>
    </row>
    <row r="3" spans="1:15">
      <c r="A3" s="5">
        <v>0</v>
      </c>
      <c r="B3" s="5">
        <v>1</v>
      </c>
      <c r="C3" s="5">
        <f>IF(E3="Rick",C2+1,C2)</f>
        <v>0</v>
      </c>
      <c r="D3" s="28">
        <v>44270</v>
      </c>
      <c r="E3" s="5" t="s">
        <v>10</v>
      </c>
      <c r="F3" s="5" t="s">
        <v>95</v>
      </c>
      <c r="G3" s="5" t="s">
        <v>96</v>
      </c>
      <c r="H3" s="5">
        <v>2020</v>
      </c>
      <c r="I3" s="5" t="s">
        <v>97</v>
      </c>
      <c r="J3" s="37">
        <v>48</v>
      </c>
      <c r="K3" s="17" t="s">
        <v>14</v>
      </c>
      <c r="L3" s="17">
        <f>IFERROR(1/((LEN(master2[[#This Row],[Genres]])-LEN(SUBSTITUTE(master2[[#This Row],[Genres]],"'","")))/2),0)</f>
        <v>0.5</v>
      </c>
      <c r="M3" s="24" t="s">
        <v>98</v>
      </c>
      <c r="N3" s="29">
        <v>8.3000000000000007</v>
      </c>
      <c r="O3" s="5" t="str">
        <f>TEXT(WEEKDAY(master2[[#This Row],[Datum]]),"dddd")</f>
        <v>Monday</v>
      </c>
    </row>
    <row r="4" spans="1:15">
      <c r="A4" s="5">
        <v>1</v>
      </c>
      <c r="B4" s="5">
        <v>1</v>
      </c>
      <c r="C4" s="5">
        <f>IF(E4="Rick",C3+1,C3)</f>
        <v>1</v>
      </c>
      <c r="D4" s="28">
        <v>44274</v>
      </c>
      <c r="E4" s="5" t="s">
        <v>18</v>
      </c>
      <c r="F4" s="5" t="s">
        <v>99</v>
      </c>
      <c r="G4" s="5" t="s">
        <v>19</v>
      </c>
      <c r="H4" s="5">
        <v>1995</v>
      </c>
      <c r="I4" s="5" t="s">
        <v>100</v>
      </c>
      <c r="J4" s="37">
        <v>129</v>
      </c>
      <c r="K4" s="17" t="s">
        <v>22</v>
      </c>
      <c r="L4" s="17">
        <f>IFERROR(1/((LEN(master2[[#This Row],[Genres]])-LEN(SUBSTITUTE(master2[[#This Row],[Genres]],"'","")))/2),0)</f>
        <v>0.33333333333333331</v>
      </c>
      <c r="M4" s="24" t="s">
        <v>101</v>
      </c>
      <c r="N4" s="29">
        <v>8</v>
      </c>
      <c r="O4" s="5" t="str">
        <f>TEXT(WEEKDAY(master2[[#This Row],[Datum]]),"dddd")</f>
        <v>Friday</v>
      </c>
    </row>
    <row r="5" spans="1:15">
      <c r="A5" s="5">
        <v>2</v>
      </c>
      <c r="B5" s="5">
        <v>1</v>
      </c>
      <c r="C5" s="5">
        <f>IF(E5="Rick",C4+1,C4)</f>
        <v>1</v>
      </c>
      <c r="D5" s="28">
        <v>44279</v>
      </c>
      <c r="E5" s="5" t="s">
        <v>23</v>
      </c>
      <c r="F5" s="5" t="s">
        <v>102</v>
      </c>
      <c r="G5" s="5" t="s">
        <v>24</v>
      </c>
      <c r="H5" s="5">
        <v>2020</v>
      </c>
      <c r="I5" s="5" t="s">
        <v>103</v>
      </c>
      <c r="J5" s="37">
        <v>139</v>
      </c>
      <c r="K5" s="17" t="s">
        <v>14</v>
      </c>
      <c r="L5" s="17">
        <f>IFERROR(1/((LEN(master2[[#This Row],[Genres]])-LEN(SUBSTITUTE(master2[[#This Row],[Genres]],"'","")))/2),0)</f>
        <v>0.33333333333333331</v>
      </c>
      <c r="M5" s="24" t="s">
        <v>104</v>
      </c>
      <c r="N5" s="29">
        <v>7.1</v>
      </c>
      <c r="O5" s="5" t="str">
        <f>TEXT(WEEKDAY(master2[[#This Row],[Datum]]),"dddd")</f>
        <v>Wednesday</v>
      </c>
    </row>
    <row r="6" spans="1:15">
      <c r="A6" s="5">
        <v>3</v>
      </c>
      <c r="B6" s="5">
        <v>1</v>
      </c>
      <c r="C6" s="5">
        <f t="shared" ref="C3:C43" si="0">IF(E6="Rick",C5+1,C5)</f>
        <v>1</v>
      </c>
      <c r="D6" s="28">
        <v>44286</v>
      </c>
      <c r="E6" s="5" t="s">
        <v>27</v>
      </c>
      <c r="F6" s="5" t="s">
        <v>105</v>
      </c>
      <c r="G6" s="5" t="s">
        <v>28</v>
      </c>
      <c r="H6" s="5">
        <v>2012</v>
      </c>
      <c r="I6" s="5" t="s">
        <v>106</v>
      </c>
      <c r="J6" s="37">
        <v>131</v>
      </c>
      <c r="K6" s="17" t="s">
        <v>22</v>
      </c>
      <c r="L6" s="17">
        <f>IFERROR(1/((LEN(master2[[#This Row],[Genres]])-LEN(SUBSTITUTE(master2[[#This Row],[Genres]],"'","")))/2),0)</f>
        <v>0.25</v>
      </c>
      <c r="M6" s="24" t="s">
        <v>107</v>
      </c>
      <c r="N6" s="29">
        <v>5.8</v>
      </c>
      <c r="O6" s="5" t="str">
        <f>TEXT(WEEKDAY(master2[[#This Row],[Datum]]),"dddd")</f>
        <v>Wednesday</v>
      </c>
    </row>
    <row r="7" spans="1:15">
      <c r="A7" s="5">
        <v>4</v>
      </c>
      <c r="B7" s="5">
        <v>1</v>
      </c>
      <c r="C7" s="5">
        <f t="shared" si="0"/>
        <v>1</v>
      </c>
      <c r="D7" s="28">
        <v>44293</v>
      </c>
      <c r="E7" s="5" t="s">
        <v>29</v>
      </c>
      <c r="F7" s="5" t="s">
        <v>108</v>
      </c>
      <c r="G7" s="5" t="s">
        <v>30</v>
      </c>
      <c r="H7" s="5">
        <v>2009</v>
      </c>
      <c r="I7" s="5" t="s">
        <v>109</v>
      </c>
      <c r="J7" s="37">
        <v>157</v>
      </c>
      <c r="K7" s="17" t="s">
        <v>22</v>
      </c>
      <c r="L7" s="17">
        <f>IFERROR(1/((LEN(master2[[#This Row],[Genres]])-LEN(SUBSTITUTE(master2[[#This Row],[Genres]],"'","")))/2),0)</f>
        <v>0.25</v>
      </c>
      <c r="M7" s="24" t="s">
        <v>110</v>
      </c>
      <c r="N7" s="29">
        <v>7.7</v>
      </c>
      <c r="O7" s="5" t="str">
        <f>TEXT(WEEKDAY(master2[[#This Row],[Datum]]),"dddd")</f>
        <v>Wednesday</v>
      </c>
    </row>
    <row r="8" spans="1:15">
      <c r="A8" s="5">
        <v>5</v>
      </c>
      <c r="B8" s="5">
        <v>1</v>
      </c>
      <c r="C8" s="5">
        <f>IF(E8=E4,C7+1,C7)</f>
        <v>2</v>
      </c>
      <c r="D8" s="28">
        <v>44300</v>
      </c>
      <c r="E8" s="5" t="s">
        <v>18</v>
      </c>
      <c r="F8" s="5" t="s">
        <v>111</v>
      </c>
      <c r="G8" s="5" t="s">
        <v>31</v>
      </c>
      <c r="H8" s="5">
        <v>2019</v>
      </c>
      <c r="I8" s="5" t="s">
        <v>112</v>
      </c>
      <c r="J8" s="37">
        <v>172</v>
      </c>
      <c r="K8" s="17" t="s">
        <v>22</v>
      </c>
      <c r="L8" s="17">
        <f>IFERROR(1/((LEN(master2[[#This Row],[Genres]])-LEN(SUBSTITUTE(master2[[#This Row],[Genres]],"'","")))/2),0)</f>
        <v>0.33333333333333331</v>
      </c>
      <c r="M8" s="24" t="s">
        <v>113</v>
      </c>
      <c r="N8" s="29">
        <v>8.5</v>
      </c>
      <c r="O8" s="5" t="str">
        <f>TEXT(WEEKDAY(master2[[#This Row],[Datum]]),"dddd")</f>
        <v>Wednesday</v>
      </c>
    </row>
    <row r="9" spans="1:15">
      <c r="A9" s="5">
        <v>6</v>
      </c>
      <c r="B9" s="5">
        <v>1</v>
      </c>
      <c r="C9" s="5">
        <f t="shared" si="0"/>
        <v>2</v>
      </c>
      <c r="D9" s="28">
        <v>44307</v>
      </c>
      <c r="E9" s="5" t="s">
        <v>23</v>
      </c>
      <c r="F9" s="5" t="s">
        <v>114</v>
      </c>
      <c r="G9" s="5" t="s">
        <v>32</v>
      </c>
      <c r="H9" s="5">
        <v>2007</v>
      </c>
      <c r="I9" s="5" t="s">
        <v>115</v>
      </c>
      <c r="J9" s="37">
        <v>157</v>
      </c>
      <c r="K9" s="17" t="s">
        <v>22</v>
      </c>
      <c r="L9" s="17">
        <f>IFERROR(1/((LEN(master2[[#This Row],[Genres]])-LEN(SUBSTITUTE(master2[[#This Row],[Genres]],"'","")))/2),0)</f>
        <v>0.25</v>
      </c>
      <c r="M9" s="24" t="s">
        <v>116</v>
      </c>
      <c r="N9" s="29">
        <v>7.7</v>
      </c>
      <c r="O9" s="5" t="str">
        <f>TEXT(WEEKDAY(master2[[#This Row],[Datum]]),"dddd")</f>
        <v>Wednesday</v>
      </c>
    </row>
    <row r="10" spans="1:15">
      <c r="A10" s="5">
        <v>7</v>
      </c>
      <c r="B10" s="5">
        <v>1</v>
      </c>
      <c r="C10" s="5">
        <f t="shared" si="0"/>
        <v>2</v>
      </c>
      <c r="D10" s="28">
        <v>44314</v>
      </c>
      <c r="E10" s="5" t="s">
        <v>27</v>
      </c>
      <c r="F10" s="5" t="s">
        <v>117</v>
      </c>
      <c r="G10" s="5" t="s">
        <v>33</v>
      </c>
      <c r="H10" s="5">
        <v>2013</v>
      </c>
      <c r="I10" s="5" t="s">
        <v>118</v>
      </c>
      <c r="J10" s="37">
        <v>114</v>
      </c>
      <c r="K10" s="17" t="s">
        <v>22</v>
      </c>
      <c r="L10" s="17">
        <f>IFERROR(1/((LEN(master2[[#This Row],[Genres]])-LEN(SUBSTITUTE(master2[[#This Row],[Genres]],"'","")))/2),0)</f>
        <v>0.2</v>
      </c>
      <c r="M10" s="24" t="s">
        <v>119</v>
      </c>
      <c r="N10" s="29">
        <v>7.3</v>
      </c>
      <c r="O10" s="5" t="str">
        <f>TEXT(WEEKDAY(master2[[#This Row],[Datum]]),"dddd")</f>
        <v>Wednesday</v>
      </c>
    </row>
    <row r="11" spans="1:15">
      <c r="A11" s="5">
        <v>8</v>
      </c>
      <c r="B11" s="5">
        <v>1</v>
      </c>
      <c r="C11" s="5">
        <f t="shared" si="0"/>
        <v>2</v>
      </c>
      <c r="D11" s="28">
        <v>44321</v>
      </c>
      <c r="E11" s="5" t="s">
        <v>29</v>
      </c>
      <c r="F11" s="5" t="s">
        <v>120</v>
      </c>
      <c r="G11" s="5" t="s">
        <v>35</v>
      </c>
      <c r="H11" s="5">
        <v>1982</v>
      </c>
      <c r="I11" s="5" t="s">
        <v>121</v>
      </c>
      <c r="J11" s="37">
        <v>117</v>
      </c>
      <c r="K11" s="17" t="s">
        <v>14</v>
      </c>
      <c r="L11" s="17">
        <f>IFERROR(1/((LEN(master2[[#This Row],[Genres]])-LEN(SUBSTITUTE(master2[[#This Row],[Genres]],"'","")))/2),0)</f>
        <v>0.25</v>
      </c>
      <c r="M11" s="24" t="s">
        <v>122</v>
      </c>
      <c r="N11" s="29">
        <v>8.1</v>
      </c>
      <c r="O11" s="5" t="str">
        <f>TEXT(WEEKDAY(master2[[#This Row],[Datum]]),"dddd")</f>
        <v>Wednesday</v>
      </c>
    </row>
    <row r="12" spans="1:15">
      <c r="A12" s="5">
        <v>9</v>
      </c>
      <c r="B12" s="5">
        <v>1</v>
      </c>
      <c r="C12" s="5">
        <f t="shared" si="0"/>
        <v>3</v>
      </c>
      <c r="D12" s="28">
        <v>44328</v>
      </c>
      <c r="E12" s="5" t="s">
        <v>18</v>
      </c>
      <c r="F12" s="5" t="s">
        <v>123</v>
      </c>
      <c r="G12" s="5" t="s">
        <v>36</v>
      </c>
      <c r="H12" s="5">
        <v>2016</v>
      </c>
      <c r="I12" s="5" t="s">
        <v>124</v>
      </c>
      <c r="J12" s="37">
        <v>95</v>
      </c>
      <c r="K12" s="17" t="s">
        <v>14</v>
      </c>
      <c r="L12" s="17">
        <f>IFERROR(1/((LEN(master2[[#This Row],[Genres]])-LEN(SUBSTITUTE(master2[[#This Row],[Genres]],"'","")))/2),0)</f>
        <v>0.25</v>
      </c>
      <c r="M12" s="24" t="s">
        <v>125</v>
      </c>
      <c r="N12" s="29">
        <v>6.9</v>
      </c>
      <c r="O12" s="5" t="str">
        <f>TEXT(WEEKDAY(master2[[#This Row],[Datum]]),"dddd")</f>
        <v>Wednesday</v>
      </c>
    </row>
    <row r="13" spans="1:15">
      <c r="A13" s="5">
        <v>10</v>
      </c>
      <c r="B13" s="5">
        <v>1</v>
      </c>
      <c r="C13" s="5">
        <f t="shared" si="0"/>
        <v>3</v>
      </c>
      <c r="D13" s="28">
        <v>44335</v>
      </c>
      <c r="E13" s="5" t="s">
        <v>23</v>
      </c>
      <c r="F13" s="5" t="s">
        <v>126</v>
      </c>
      <c r="G13" s="5" t="s">
        <v>37</v>
      </c>
      <c r="H13" s="5">
        <v>1998</v>
      </c>
      <c r="I13" s="5" t="s">
        <v>127</v>
      </c>
      <c r="J13" s="37">
        <v>107</v>
      </c>
      <c r="K13" s="17" t="s">
        <v>14</v>
      </c>
      <c r="L13" s="17">
        <f>IFERROR(1/((LEN(master2[[#This Row],[Genres]])-LEN(SUBSTITUTE(master2[[#This Row],[Genres]],"'","")))/2),0)</f>
        <v>0.33333333333333331</v>
      </c>
      <c r="M13" s="24" t="s">
        <v>128</v>
      </c>
      <c r="N13" s="29">
        <v>8.1</v>
      </c>
      <c r="O13" s="5" t="str">
        <f>TEXT(WEEKDAY(master2[[#This Row],[Datum]]),"dddd")</f>
        <v>Wednesday</v>
      </c>
    </row>
    <row r="14" spans="1:15">
      <c r="A14" s="5">
        <v>11</v>
      </c>
      <c r="B14" s="5">
        <v>1</v>
      </c>
      <c r="C14" s="5">
        <f t="shared" si="0"/>
        <v>3</v>
      </c>
      <c r="D14" s="28">
        <v>44342</v>
      </c>
      <c r="E14" s="5" t="s">
        <v>27</v>
      </c>
      <c r="F14" s="5" t="s">
        <v>129</v>
      </c>
      <c r="G14" s="5" t="s">
        <v>130</v>
      </c>
      <c r="H14" s="5">
        <v>2021</v>
      </c>
      <c r="I14" s="5" t="s">
        <v>131</v>
      </c>
      <c r="J14" s="37">
        <v>114</v>
      </c>
      <c r="K14" s="17" t="s">
        <v>14</v>
      </c>
      <c r="L14" s="17">
        <f>IFERROR(1/((LEN(master2[[#This Row],[Genres]])-LEN(SUBSTITUTE(master2[[#This Row],[Genres]],"'","")))/2),0)</f>
        <v>0.2</v>
      </c>
      <c r="M14" s="24" t="s">
        <v>132</v>
      </c>
      <c r="N14" s="29">
        <v>7.6</v>
      </c>
      <c r="O14" s="5" t="str">
        <f>TEXT(WEEKDAY(master2[[#This Row],[Datum]]),"dddd")</f>
        <v>Wednesday</v>
      </c>
    </row>
    <row r="15" spans="1:15">
      <c r="A15" s="5">
        <v>12</v>
      </c>
      <c r="B15" s="5">
        <v>1</v>
      </c>
      <c r="C15" s="5">
        <f t="shared" si="0"/>
        <v>3</v>
      </c>
      <c r="D15" s="28">
        <v>44349</v>
      </c>
      <c r="E15" s="5" t="s">
        <v>29</v>
      </c>
      <c r="F15" s="5" t="s">
        <v>133</v>
      </c>
      <c r="G15" s="5" t="s">
        <v>134</v>
      </c>
      <c r="H15" s="5">
        <v>1990</v>
      </c>
      <c r="I15" s="5" t="s">
        <v>135</v>
      </c>
      <c r="J15" s="37">
        <v>113</v>
      </c>
      <c r="K15" s="17" t="s">
        <v>22</v>
      </c>
      <c r="L15" s="17">
        <f>IFERROR(1/((LEN(master2[[#This Row],[Genres]])-LEN(SUBSTITUTE(master2[[#This Row],[Genres]],"'","")))/2),0)</f>
        <v>0.33333333333333331</v>
      </c>
      <c r="M15" s="24" t="s">
        <v>136</v>
      </c>
      <c r="N15" s="29">
        <v>7.5</v>
      </c>
      <c r="O15" s="5" t="str">
        <f>TEXT(WEEKDAY(master2[[#This Row],[Datum]]),"dddd")</f>
        <v>Wednesday</v>
      </c>
    </row>
    <row r="16" spans="1:15">
      <c r="A16" s="5">
        <v>13</v>
      </c>
      <c r="B16" s="5">
        <v>1</v>
      </c>
      <c r="C16" s="5">
        <f t="shared" si="0"/>
        <v>4</v>
      </c>
      <c r="D16" s="28">
        <v>44356</v>
      </c>
      <c r="E16" s="5" t="s">
        <v>18</v>
      </c>
      <c r="F16" s="5" t="s">
        <v>137</v>
      </c>
      <c r="G16" s="5" t="s">
        <v>40</v>
      </c>
      <c r="H16" s="5">
        <v>2021</v>
      </c>
      <c r="I16" s="5" t="s">
        <v>138</v>
      </c>
      <c r="J16" s="37">
        <v>126</v>
      </c>
      <c r="K16" s="17" t="s">
        <v>14</v>
      </c>
      <c r="L16" s="17">
        <f>IFERROR(1/((LEN(master2[[#This Row],[Genres]])-LEN(SUBSTITUTE(master2[[#This Row],[Genres]],"'","")))/2),0)</f>
        <v>0.33333333333333331</v>
      </c>
      <c r="M16" s="24" t="s">
        <v>139</v>
      </c>
      <c r="N16" s="29">
        <v>7.4</v>
      </c>
      <c r="O16" s="5" t="str">
        <f>TEXT(WEEKDAY(master2[[#This Row],[Datum]]),"dddd")</f>
        <v>Wednesday</v>
      </c>
    </row>
    <row r="17" spans="1:15">
      <c r="A17" s="5">
        <v>14</v>
      </c>
      <c r="B17" s="5">
        <v>1</v>
      </c>
      <c r="C17" s="5">
        <f t="shared" si="0"/>
        <v>4</v>
      </c>
      <c r="D17" s="28">
        <v>44363</v>
      </c>
      <c r="E17" s="5" t="s">
        <v>23</v>
      </c>
      <c r="F17" s="5" t="s">
        <v>140</v>
      </c>
      <c r="G17" s="5" t="s">
        <v>42</v>
      </c>
      <c r="H17" s="5">
        <v>2021</v>
      </c>
      <c r="I17" s="5" t="s">
        <v>141</v>
      </c>
      <c r="J17" s="37">
        <v>87</v>
      </c>
      <c r="K17" s="17" t="s">
        <v>14</v>
      </c>
      <c r="L17" s="17">
        <f>IFERROR(1/((LEN(master2[[#This Row],[Genres]])-LEN(SUBSTITUTE(master2[[#This Row],[Genres]],"'","")))/2),0)</f>
        <v>0.33333333333333331</v>
      </c>
      <c r="M17" s="24" t="s">
        <v>142</v>
      </c>
      <c r="N17" s="29">
        <v>8.6</v>
      </c>
      <c r="O17" s="5" t="str">
        <f>TEXT(WEEKDAY(master2[[#This Row],[Datum]]),"dddd")</f>
        <v>Wednesday</v>
      </c>
    </row>
    <row r="18" spans="1:15">
      <c r="A18" s="5">
        <v>15</v>
      </c>
      <c r="B18" s="5">
        <v>1</v>
      </c>
      <c r="C18" s="5">
        <f t="shared" si="0"/>
        <v>4</v>
      </c>
      <c r="D18" s="28">
        <v>44370</v>
      </c>
      <c r="E18" s="5" t="s">
        <v>27</v>
      </c>
      <c r="F18" s="5" t="s">
        <v>143</v>
      </c>
      <c r="G18" s="5" t="s">
        <v>43</v>
      </c>
      <c r="H18" s="5">
        <v>2012</v>
      </c>
      <c r="I18" s="5" t="s">
        <v>144</v>
      </c>
      <c r="J18" s="37">
        <v>90</v>
      </c>
      <c r="K18" s="17" t="s">
        <v>22</v>
      </c>
      <c r="L18" s="17">
        <f>IFERROR(1/((LEN(master2[[#This Row],[Genres]])-LEN(SUBSTITUTE(master2[[#This Row],[Genres]],"'","")))/2),0)</f>
        <v>0.5</v>
      </c>
      <c r="M18" s="24" t="s">
        <v>145</v>
      </c>
      <c r="N18" s="29">
        <v>5.3</v>
      </c>
      <c r="O18" s="5" t="str">
        <f>TEXT(WEEKDAY(master2[[#This Row],[Datum]]),"dddd")</f>
        <v>Wednesday</v>
      </c>
    </row>
    <row r="19" spans="1:15">
      <c r="A19" s="5">
        <v>16</v>
      </c>
      <c r="B19" s="5">
        <v>1</v>
      </c>
      <c r="C19" s="5">
        <f t="shared" si="0"/>
        <v>4</v>
      </c>
      <c r="D19" s="28">
        <v>44377</v>
      </c>
      <c r="E19" s="5" t="s">
        <v>29</v>
      </c>
      <c r="F19" s="5" t="s">
        <v>146</v>
      </c>
      <c r="G19" s="5" t="s">
        <v>45</v>
      </c>
      <c r="H19" s="5">
        <v>2007</v>
      </c>
      <c r="I19" s="5" t="s">
        <v>147</v>
      </c>
      <c r="J19" s="37">
        <v>85</v>
      </c>
      <c r="K19" s="17" t="s">
        <v>22</v>
      </c>
      <c r="L19" s="17">
        <f>IFERROR(1/((LEN(master2[[#This Row],[Genres]])-LEN(SUBSTITUTE(master2[[#This Row],[Genres]],"'","")))/2),0)</f>
        <v>0.33333333333333331</v>
      </c>
      <c r="M19" s="24" t="s">
        <v>148</v>
      </c>
      <c r="N19" s="29">
        <v>7.8</v>
      </c>
      <c r="O19" s="5" t="str">
        <f>TEXT(WEEKDAY(master2[[#This Row],[Datum]]),"dddd")</f>
        <v>Wednesday</v>
      </c>
    </row>
    <row r="20" spans="1:15">
      <c r="A20" s="5">
        <v>17</v>
      </c>
      <c r="B20" s="5">
        <v>1</v>
      </c>
      <c r="C20" s="5">
        <f t="shared" si="0"/>
        <v>5</v>
      </c>
      <c r="D20" s="28">
        <v>44384</v>
      </c>
      <c r="E20" s="5" t="s">
        <v>18</v>
      </c>
      <c r="F20" s="5" t="s">
        <v>149</v>
      </c>
      <c r="G20" s="5" t="s">
        <v>47</v>
      </c>
      <c r="H20" s="5">
        <v>2020</v>
      </c>
      <c r="I20" s="5" t="s">
        <v>150</v>
      </c>
      <c r="J20" s="37">
        <v>150</v>
      </c>
      <c r="K20" s="17" t="s">
        <v>14</v>
      </c>
      <c r="L20" s="17">
        <f>IFERROR(1/((LEN(master2[[#This Row],[Genres]])-LEN(SUBSTITUTE(master2[[#This Row],[Genres]],"'","")))/2),0)</f>
        <v>0.33333333333333331</v>
      </c>
      <c r="M20" s="24" t="s">
        <v>151</v>
      </c>
      <c r="N20" s="29">
        <v>6.9</v>
      </c>
      <c r="O20" s="5" t="str">
        <f>TEXT(WEEKDAY(master2[[#This Row],[Datum]]),"dddd")</f>
        <v>Wednesday</v>
      </c>
    </row>
    <row r="21" spans="1:15">
      <c r="A21" s="5">
        <v>18</v>
      </c>
      <c r="B21" s="5">
        <v>1</v>
      </c>
      <c r="C21" s="5">
        <f t="shared" si="0"/>
        <v>5</v>
      </c>
      <c r="D21" s="28">
        <v>44391</v>
      </c>
      <c r="E21" s="5" t="s">
        <v>23</v>
      </c>
      <c r="F21" s="5" t="s">
        <v>152</v>
      </c>
      <c r="G21" s="5" t="s">
        <v>48</v>
      </c>
      <c r="H21" s="5">
        <v>2014</v>
      </c>
      <c r="I21" s="5" t="s">
        <v>131</v>
      </c>
      <c r="J21" s="37">
        <v>92</v>
      </c>
      <c r="K21" s="17" t="s">
        <v>14</v>
      </c>
      <c r="L21" s="17">
        <f>IFERROR(1/((LEN(master2[[#This Row],[Genres]])-LEN(SUBSTITUTE(master2[[#This Row],[Genres]],"'","")))/2),0)</f>
        <v>0.2</v>
      </c>
      <c r="M21" s="24" t="s">
        <v>153</v>
      </c>
      <c r="N21" s="29">
        <v>6.6</v>
      </c>
      <c r="O21" s="5" t="str">
        <f>TEXT(WEEKDAY(master2[[#This Row],[Datum]]),"dddd")</f>
        <v>Wednesday</v>
      </c>
    </row>
    <row r="22" spans="1:15">
      <c r="A22" s="5">
        <v>19</v>
      </c>
      <c r="B22" s="5">
        <v>1</v>
      </c>
      <c r="C22" s="5">
        <f t="shared" si="0"/>
        <v>5</v>
      </c>
      <c r="D22" s="28">
        <v>44398</v>
      </c>
      <c r="E22" s="5" t="s">
        <v>27</v>
      </c>
      <c r="F22" s="5" t="s">
        <v>154</v>
      </c>
      <c r="G22" s="5" t="s">
        <v>155</v>
      </c>
      <c r="H22" s="5">
        <v>2006</v>
      </c>
      <c r="I22" s="5" t="s">
        <v>97</v>
      </c>
      <c r="J22" s="37">
        <v>132</v>
      </c>
      <c r="K22" s="17" t="s">
        <v>22</v>
      </c>
      <c r="L22" s="17">
        <f>IFERROR(1/((LEN(master2[[#This Row],[Genres]])-LEN(SUBSTITUTE(master2[[#This Row],[Genres]],"'","")))/2),0)</f>
        <v>0.5</v>
      </c>
      <c r="M22" s="24" t="s">
        <v>156</v>
      </c>
      <c r="N22" s="29">
        <v>8.1999999999999993</v>
      </c>
      <c r="O22" s="5" t="str">
        <f>TEXT(WEEKDAY(master2[[#This Row],[Datum]]),"dddd")</f>
        <v>Wednesday</v>
      </c>
    </row>
    <row r="23" spans="1:15">
      <c r="A23" s="5">
        <v>20</v>
      </c>
      <c r="B23" s="5">
        <v>1</v>
      </c>
      <c r="C23" s="5">
        <f t="shared" si="0"/>
        <v>5</v>
      </c>
      <c r="D23" s="28">
        <v>44405</v>
      </c>
      <c r="E23" s="5" t="s">
        <v>29</v>
      </c>
      <c r="F23" s="5" t="s">
        <v>157</v>
      </c>
      <c r="G23" s="5" t="s">
        <v>50</v>
      </c>
      <c r="H23" s="5">
        <v>2014</v>
      </c>
      <c r="I23" s="5" t="s">
        <v>135</v>
      </c>
      <c r="J23" s="37">
        <v>113</v>
      </c>
      <c r="K23" s="17" t="s">
        <v>14</v>
      </c>
      <c r="L23" s="17">
        <f>IFERROR(1/((LEN(master2[[#This Row],[Genres]])-LEN(SUBSTITUTE(master2[[#This Row],[Genres]],"'","")))/2),0)</f>
        <v>0.33333333333333331</v>
      </c>
      <c r="M23" s="24" t="s">
        <v>158</v>
      </c>
      <c r="N23" s="29">
        <v>7.9</v>
      </c>
      <c r="O23" s="5" t="str">
        <f>TEXT(WEEKDAY(master2[[#This Row],[Datum]]),"dddd")</f>
        <v>Wednesday</v>
      </c>
    </row>
    <row r="24" spans="1:15">
      <c r="A24" s="5">
        <v>21</v>
      </c>
      <c r="B24" s="5">
        <v>1</v>
      </c>
      <c r="C24" s="5">
        <f t="shared" si="0"/>
        <v>6</v>
      </c>
      <c r="D24" s="28">
        <v>44412</v>
      </c>
      <c r="E24" s="5" t="s">
        <v>18</v>
      </c>
      <c r="F24" s="5" t="s">
        <v>159</v>
      </c>
      <c r="G24" s="5" t="s">
        <v>51</v>
      </c>
      <c r="H24" s="5">
        <v>2010</v>
      </c>
      <c r="I24" s="5" t="s">
        <v>160</v>
      </c>
      <c r="J24" s="37">
        <v>141</v>
      </c>
      <c r="K24" s="17" t="s">
        <v>14</v>
      </c>
      <c r="L24" s="17">
        <f>IFERROR(1/((LEN(master2[[#This Row],[Genres]])-LEN(SUBSTITUTE(master2[[#This Row],[Genres]],"'","")))/2),0)</f>
        <v>0.33333333333333331</v>
      </c>
      <c r="M24" s="24" t="s">
        <v>161</v>
      </c>
      <c r="N24" s="29">
        <v>7.5</v>
      </c>
      <c r="O24" s="5" t="str">
        <f>TEXT(WEEKDAY(master2[[#This Row],[Datum]]),"dddd")</f>
        <v>Wednesday</v>
      </c>
    </row>
    <row r="25" spans="1:15">
      <c r="A25" s="5">
        <v>22</v>
      </c>
      <c r="B25" s="5">
        <v>1</v>
      </c>
      <c r="C25" s="5">
        <f t="shared" si="0"/>
        <v>6</v>
      </c>
      <c r="D25" s="28">
        <v>44419</v>
      </c>
      <c r="E25" s="5" t="s">
        <v>23</v>
      </c>
      <c r="F25" s="5" t="s">
        <v>162</v>
      </c>
      <c r="G25" s="5" t="s">
        <v>52</v>
      </c>
      <c r="H25" s="5">
        <v>2016</v>
      </c>
      <c r="I25" s="5" t="s">
        <v>115</v>
      </c>
      <c r="J25" s="37">
        <v>96</v>
      </c>
      <c r="K25" s="17" t="s">
        <v>14</v>
      </c>
      <c r="L25" s="17">
        <f>IFERROR(1/((LEN(master2[[#This Row],[Genres]])-LEN(SUBSTITUTE(master2[[#This Row],[Genres]],"'","")))/2),0)</f>
        <v>0.25</v>
      </c>
      <c r="M25" s="24" t="s">
        <v>163</v>
      </c>
      <c r="N25" s="29">
        <v>6.1</v>
      </c>
      <c r="O25" s="5" t="str">
        <f>TEXT(WEEKDAY(master2[[#This Row],[Datum]]),"dddd")</f>
        <v>Wednesday</v>
      </c>
    </row>
    <row r="26" spans="1:15">
      <c r="A26" s="5">
        <v>23</v>
      </c>
      <c r="B26" s="5">
        <v>1</v>
      </c>
      <c r="C26" s="5">
        <f t="shared" si="0"/>
        <v>6</v>
      </c>
      <c r="D26" s="28">
        <v>44426</v>
      </c>
      <c r="E26" s="5" t="s">
        <v>27</v>
      </c>
      <c r="F26" s="5" t="s">
        <v>164</v>
      </c>
      <c r="G26" s="5" t="s">
        <v>53</v>
      </c>
      <c r="H26" s="5">
        <v>2012</v>
      </c>
      <c r="I26" s="5" t="s">
        <v>165</v>
      </c>
      <c r="J26" s="37">
        <v>120</v>
      </c>
      <c r="K26" s="17" t="s">
        <v>22</v>
      </c>
      <c r="L26" s="17">
        <f>IFERROR(1/((LEN(master2[[#This Row],[Genres]])-LEN(SUBSTITUTE(master2[[#This Row],[Genres]],"'","")))/2),0)</f>
        <v>0.33333333333333331</v>
      </c>
      <c r="M26" s="24" t="s">
        <v>166</v>
      </c>
      <c r="N26" s="29">
        <v>7.7</v>
      </c>
      <c r="O26" s="5" t="str">
        <f>TEXT(WEEKDAY(master2[[#This Row],[Datum]]),"dddd")</f>
        <v>Wednesday</v>
      </c>
    </row>
    <row r="27" spans="1:15">
      <c r="A27" s="5">
        <v>24</v>
      </c>
      <c r="B27" s="5">
        <v>1</v>
      </c>
      <c r="C27" s="5">
        <f t="shared" si="0"/>
        <v>6</v>
      </c>
      <c r="D27" s="28">
        <v>44436</v>
      </c>
      <c r="E27" s="5" t="s">
        <v>29</v>
      </c>
      <c r="F27" s="5" t="s">
        <v>167</v>
      </c>
      <c r="G27" s="5" t="s">
        <v>54</v>
      </c>
      <c r="H27" s="5">
        <v>2017</v>
      </c>
      <c r="I27" s="5" t="s">
        <v>168</v>
      </c>
      <c r="J27" s="37">
        <v>164</v>
      </c>
      <c r="K27" s="17" t="s">
        <v>14</v>
      </c>
      <c r="L27" s="17">
        <f>IFERROR(1/((LEN(master2[[#This Row],[Genres]])-LEN(SUBSTITUTE(master2[[#This Row],[Genres]],"'","")))/2),0)</f>
        <v>0.2</v>
      </c>
      <c r="M27" s="24" t="s">
        <v>169</v>
      </c>
      <c r="N27" s="29">
        <v>8</v>
      </c>
      <c r="O27" s="5" t="str">
        <f>TEXT(WEEKDAY(master2[[#This Row],[Datum]]),"dddd")</f>
        <v>Saturday</v>
      </c>
    </row>
    <row r="28" spans="1:15">
      <c r="A28" s="5">
        <v>25</v>
      </c>
      <c r="B28" s="5">
        <v>1</v>
      </c>
      <c r="C28" s="5">
        <f t="shared" si="0"/>
        <v>7</v>
      </c>
      <c r="D28" s="28">
        <v>44440</v>
      </c>
      <c r="E28" s="5" t="s">
        <v>18</v>
      </c>
      <c r="F28" s="5" t="s">
        <v>170</v>
      </c>
      <c r="G28" s="5" t="s">
        <v>55</v>
      </c>
      <c r="H28" s="5">
        <v>2018</v>
      </c>
      <c r="I28" s="5" t="s">
        <v>171</v>
      </c>
      <c r="J28" s="37">
        <v>139</v>
      </c>
      <c r="K28" s="17" t="s">
        <v>14</v>
      </c>
      <c r="L28" s="17">
        <f>IFERROR(1/((LEN(master2[[#This Row],[Genres]])-LEN(SUBSTITUTE(master2[[#This Row],[Genres]],"'","")))/2),0)</f>
        <v>0.2</v>
      </c>
      <c r="M28" s="24" t="s">
        <v>172</v>
      </c>
      <c r="N28" s="29">
        <v>8.1999999999999993</v>
      </c>
      <c r="O28" s="5" t="str">
        <f>TEXT(WEEKDAY(master2[[#This Row],[Datum]]),"dddd")</f>
        <v>Wednesday</v>
      </c>
    </row>
    <row r="29" spans="1:15">
      <c r="A29" s="5">
        <v>26</v>
      </c>
      <c r="B29" s="5">
        <v>1</v>
      </c>
      <c r="C29" s="5">
        <f t="shared" si="0"/>
        <v>7</v>
      </c>
      <c r="D29" s="28">
        <v>44449</v>
      </c>
      <c r="E29" s="5" t="s">
        <v>23</v>
      </c>
      <c r="F29" s="5" t="s">
        <v>173</v>
      </c>
      <c r="G29" s="5" t="s">
        <v>56</v>
      </c>
      <c r="H29" s="5">
        <v>2018</v>
      </c>
      <c r="I29" s="5" t="s">
        <v>93</v>
      </c>
      <c r="J29" s="37">
        <v>100</v>
      </c>
      <c r="K29" s="17" t="s">
        <v>14</v>
      </c>
      <c r="L29" s="17">
        <f>IFERROR(1/((LEN(master2[[#This Row],[Genres]])-LEN(SUBSTITUTE(master2[[#This Row],[Genres]],"'","")))/2),0)</f>
        <v>0.33333333333333331</v>
      </c>
      <c r="M29" s="24" t="s">
        <v>174</v>
      </c>
      <c r="N29" s="29">
        <v>7.5</v>
      </c>
      <c r="O29" s="5" t="str">
        <f>TEXT(WEEKDAY(master2[[#This Row],[Datum]]),"dddd")</f>
        <v>Friday</v>
      </c>
    </row>
    <row r="30" spans="1:15">
      <c r="A30" s="5">
        <v>27</v>
      </c>
      <c r="B30" s="5">
        <v>1</v>
      </c>
      <c r="C30" s="5">
        <f t="shared" si="0"/>
        <v>7</v>
      </c>
      <c r="D30" s="28">
        <v>44454</v>
      </c>
      <c r="E30" s="5" t="s">
        <v>27</v>
      </c>
      <c r="F30" s="5" t="s">
        <v>175</v>
      </c>
      <c r="G30" s="5" t="s">
        <v>57</v>
      </c>
      <c r="H30" s="5">
        <v>2016</v>
      </c>
      <c r="I30" s="5" t="s">
        <v>176</v>
      </c>
      <c r="J30" s="37">
        <v>132</v>
      </c>
      <c r="K30" s="17" t="s">
        <v>22</v>
      </c>
      <c r="L30" s="17">
        <f>IFERROR(1/((LEN(master2[[#This Row],[Genres]])-LEN(SUBSTITUTE(master2[[#This Row],[Genres]],"'","")))/2),0)</f>
        <v>0.33333333333333331</v>
      </c>
      <c r="M30" s="24" t="s">
        <v>177</v>
      </c>
      <c r="N30" s="29">
        <v>6.9</v>
      </c>
      <c r="O30" s="5" t="str">
        <f>TEXT(WEEKDAY(master2[[#This Row],[Datum]]),"dddd")</f>
        <v>Wednesday</v>
      </c>
    </row>
    <row r="31" spans="1:15">
      <c r="A31" s="5">
        <v>28</v>
      </c>
      <c r="B31" s="5">
        <v>1</v>
      </c>
      <c r="C31" s="5">
        <f t="shared" si="0"/>
        <v>7</v>
      </c>
      <c r="D31" s="28">
        <v>44461</v>
      </c>
      <c r="E31" s="5" t="s">
        <v>29</v>
      </c>
      <c r="F31" s="5" t="s">
        <v>178</v>
      </c>
      <c r="G31" s="13" t="s">
        <v>59</v>
      </c>
      <c r="H31" s="5">
        <v>2021</v>
      </c>
      <c r="I31" s="13" t="s">
        <v>179</v>
      </c>
      <c r="J31" s="37">
        <v>155</v>
      </c>
      <c r="K31" s="17" t="s">
        <v>14</v>
      </c>
      <c r="L31" s="17">
        <f>IFERROR(1/((LEN(master2[[#This Row],[Genres]])-LEN(SUBSTITUTE(master2[[#This Row],[Genres]],"'","")))/2),0)</f>
        <v>0.25</v>
      </c>
      <c r="M31" s="24" t="s">
        <v>180</v>
      </c>
      <c r="N31" s="29">
        <v>8</v>
      </c>
      <c r="O31" s="5" t="str">
        <f>TEXT(WEEKDAY(master2[[#This Row],[Datum]]),"dddd")</f>
        <v>Wednesday</v>
      </c>
    </row>
    <row r="32" spans="1:15">
      <c r="A32" s="5">
        <v>29</v>
      </c>
      <c r="B32" s="5">
        <v>1</v>
      </c>
      <c r="C32" s="5">
        <f t="shared" si="0"/>
        <v>8</v>
      </c>
      <c r="D32" s="28">
        <v>44468</v>
      </c>
      <c r="E32" s="5" t="s">
        <v>18</v>
      </c>
      <c r="F32" s="5" t="s">
        <v>181</v>
      </c>
      <c r="G32" s="5" t="s">
        <v>60</v>
      </c>
      <c r="H32" s="5">
        <v>2006</v>
      </c>
      <c r="I32" s="5" t="s">
        <v>182</v>
      </c>
      <c r="J32" s="37">
        <v>144</v>
      </c>
      <c r="K32" s="17" t="s">
        <v>22</v>
      </c>
      <c r="L32" s="17">
        <f>IFERROR(1/((LEN(master2[[#This Row],[Genres]])-LEN(SUBSTITUTE(master2[[#This Row],[Genres]],"'","")))/2),0)</f>
        <v>0.33333333333333331</v>
      </c>
      <c r="M32" s="24" t="s">
        <v>183</v>
      </c>
      <c r="N32" s="29">
        <v>8</v>
      </c>
      <c r="O32" s="5" t="str">
        <f>TEXT(WEEKDAY(master2[[#This Row],[Datum]]),"dddd")</f>
        <v>Wednesday</v>
      </c>
    </row>
    <row r="33" spans="1:15">
      <c r="A33" s="5">
        <v>30</v>
      </c>
      <c r="B33" s="5">
        <v>1</v>
      </c>
      <c r="C33" s="5">
        <f t="shared" si="0"/>
        <v>8</v>
      </c>
      <c r="D33" s="28">
        <v>44474</v>
      </c>
      <c r="E33" s="5" t="s">
        <v>23</v>
      </c>
      <c r="F33" s="5" t="s">
        <v>184</v>
      </c>
      <c r="G33" s="5" t="s">
        <v>61</v>
      </c>
      <c r="H33" s="5">
        <v>2015</v>
      </c>
      <c r="I33" s="5" t="s">
        <v>185</v>
      </c>
      <c r="J33" s="37">
        <v>121</v>
      </c>
      <c r="K33" s="17" t="s">
        <v>14</v>
      </c>
      <c r="L33" s="17">
        <f>IFERROR(1/((LEN(master2[[#This Row],[Genres]])-LEN(SUBSTITUTE(master2[[#This Row],[Genres]],"'","")))/2),0)</f>
        <v>0.2</v>
      </c>
      <c r="M33" s="24" t="s">
        <v>186</v>
      </c>
      <c r="N33" s="29">
        <v>7.7</v>
      </c>
      <c r="O33" s="5" t="str">
        <f>TEXT(WEEKDAY(master2[[#This Row],[Datum]]),"dddd")</f>
        <v>Tuesday</v>
      </c>
    </row>
    <row r="34" spans="1:15">
      <c r="A34" s="5">
        <v>31</v>
      </c>
      <c r="B34" s="5">
        <v>1</v>
      </c>
      <c r="C34" s="5">
        <f t="shared" si="0"/>
        <v>8</v>
      </c>
      <c r="D34" s="28">
        <v>44482</v>
      </c>
      <c r="E34" s="5" t="s">
        <v>27</v>
      </c>
      <c r="F34" s="5" t="s">
        <v>187</v>
      </c>
      <c r="G34" s="5">
        <v>1408</v>
      </c>
      <c r="H34" s="5">
        <v>2007</v>
      </c>
      <c r="I34" s="5" t="s">
        <v>188</v>
      </c>
      <c r="J34" s="37">
        <v>104</v>
      </c>
      <c r="K34" s="17" t="s">
        <v>22</v>
      </c>
      <c r="L34" s="17">
        <f>IFERROR(1/((LEN(master2[[#This Row],[Genres]])-LEN(SUBSTITUTE(master2[[#This Row],[Genres]],"'","")))/2),0)</f>
        <v>0.33333333333333331</v>
      </c>
      <c r="M34" s="24" t="s">
        <v>189</v>
      </c>
      <c r="N34" s="29">
        <v>6.8</v>
      </c>
      <c r="O34" s="5" t="str">
        <f>TEXT(WEEKDAY(master2[[#This Row],[Datum]]),"dddd")</f>
        <v>Wednesday</v>
      </c>
    </row>
    <row r="35" spans="1:15">
      <c r="A35" s="5">
        <v>32</v>
      </c>
      <c r="B35" s="5">
        <v>1</v>
      </c>
      <c r="C35" s="5">
        <f t="shared" si="0"/>
        <v>8</v>
      </c>
      <c r="D35" s="28">
        <v>44489</v>
      </c>
      <c r="E35" s="5" t="s">
        <v>29</v>
      </c>
      <c r="F35" s="5" t="s">
        <v>190</v>
      </c>
      <c r="G35" s="13" t="s">
        <v>64</v>
      </c>
      <c r="H35" s="5">
        <v>2016</v>
      </c>
      <c r="I35" s="13" t="s">
        <v>138</v>
      </c>
      <c r="J35" s="37">
        <v>127</v>
      </c>
      <c r="K35" s="17" t="s">
        <v>22</v>
      </c>
      <c r="L35" s="17">
        <f>IFERROR(1/((LEN(master2[[#This Row],[Genres]])-LEN(SUBSTITUTE(master2[[#This Row],[Genres]],"'","")))/2),0)</f>
        <v>0.33333333333333331</v>
      </c>
      <c r="M35" s="24" t="s">
        <v>191</v>
      </c>
      <c r="N35" s="29">
        <v>7.8</v>
      </c>
      <c r="O35" s="5" t="str">
        <f>TEXT(WEEKDAY(master2[[#This Row],[Datum]]),"dddd")</f>
        <v>Wednesday</v>
      </c>
    </row>
    <row r="36" spans="1:15">
      <c r="A36" s="5">
        <v>33</v>
      </c>
      <c r="B36" s="5">
        <v>1</v>
      </c>
      <c r="C36" s="5">
        <f t="shared" si="0"/>
        <v>9</v>
      </c>
      <c r="D36" s="28">
        <v>44496</v>
      </c>
      <c r="E36" s="5" t="s">
        <v>18</v>
      </c>
      <c r="F36" s="5" t="s">
        <v>192</v>
      </c>
      <c r="G36" s="5" t="s">
        <v>65</v>
      </c>
      <c r="H36" s="5">
        <v>2013</v>
      </c>
      <c r="I36" s="5" t="s">
        <v>115</v>
      </c>
      <c r="J36" s="37">
        <v>153</v>
      </c>
      <c r="K36" s="17" t="s">
        <v>14</v>
      </c>
      <c r="L36" s="17">
        <f>IFERROR(1/((LEN(master2[[#This Row],[Genres]])-LEN(SUBSTITUTE(master2[[#This Row],[Genres]],"'","")))/2),0)</f>
        <v>0.25</v>
      </c>
      <c r="M36" s="24" t="s">
        <v>193</v>
      </c>
      <c r="N36" s="29">
        <v>8.1</v>
      </c>
      <c r="O36" s="5" t="str">
        <f>TEXT(WEEKDAY(master2[[#This Row],[Datum]]),"dddd")</f>
        <v>Wednesday</v>
      </c>
    </row>
    <row r="37" spans="1:15">
      <c r="A37" s="5">
        <v>34</v>
      </c>
      <c r="B37" s="5">
        <v>1</v>
      </c>
      <c r="C37" s="5">
        <f t="shared" si="0"/>
        <v>9</v>
      </c>
      <c r="D37" s="28">
        <v>44504</v>
      </c>
      <c r="E37" s="5" t="s">
        <v>23</v>
      </c>
      <c r="F37" s="5" t="s">
        <v>194</v>
      </c>
      <c r="G37" s="5" t="s">
        <v>66</v>
      </c>
      <c r="H37" s="5">
        <v>2011</v>
      </c>
      <c r="I37" s="5" t="s">
        <v>144</v>
      </c>
      <c r="J37" s="37">
        <v>100</v>
      </c>
      <c r="K37" s="17" t="s">
        <v>14</v>
      </c>
      <c r="L37" s="17">
        <f>IFERROR(1/((LEN(master2[[#This Row],[Genres]])-LEN(SUBSTITUTE(master2[[#This Row],[Genres]],"'","")))/2),0)</f>
        <v>0.5</v>
      </c>
      <c r="M37" s="24" t="s">
        <v>195</v>
      </c>
      <c r="N37" s="29">
        <v>7.8</v>
      </c>
      <c r="O37" s="5" t="str">
        <f>TEXT(WEEKDAY(master2[[#This Row],[Datum]]),"dddd")</f>
        <v>Thursday</v>
      </c>
    </row>
    <row r="38" spans="1:15">
      <c r="A38" s="5">
        <v>35</v>
      </c>
      <c r="B38" s="5">
        <v>1</v>
      </c>
      <c r="C38" s="5">
        <f t="shared" si="0"/>
        <v>9</v>
      </c>
      <c r="D38" s="28">
        <v>44512</v>
      </c>
      <c r="E38" s="5" t="s">
        <v>27</v>
      </c>
      <c r="F38" s="5" t="s">
        <v>196</v>
      </c>
      <c r="G38" s="5" t="s">
        <v>67</v>
      </c>
      <c r="H38" s="5">
        <v>1997</v>
      </c>
      <c r="I38" s="5" t="s">
        <v>197</v>
      </c>
      <c r="J38" s="37">
        <v>194</v>
      </c>
      <c r="K38" s="17" t="s">
        <v>22</v>
      </c>
      <c r="L38" s="17">
        <f>IFERROR(1/((LEN(master2[[#This Row],[Genres]])-LEN(SUBSTITUTE(master2[[#This Row],[Genres]],"'","")))/2),0)</f>
        <v>0.5</v>
      </c>
      <c r="M38" s="24" t="s">
        <v>198</v>
      </c>
      <c r="N38" s="29">
        <v>7.9</v>
      </c>
      <c r="O38" s="5" t="str">
        <f>TEXT(WEEKDAY(master2[[#This Row],[Datum]]),"dddd")</f>
        <v>Friday</v>
      </c>
    </row>
    <row r="39" spans="1:15">
      <c r="A39" s="5">
        <v>36</v>
      </c>
      <c r="B39" s="5">
        <v>1</v>
      </c>
      <c r="C39" s="5">
        <f t="shared" si="0"/>
        <v>9</v>
      </c>
      <c r="D39" s="28">
        <v>44517</v>
      </c>
      <c r="E39" s="5" t="s">
        <v>29</v>
      </c>
      <c r="F39" s="5" t="s">
        <v>199</v>
      </c>
      <c r="G39" s="13" t="s">
        <v>69</v>
      </c>
      <c r="H39" s="5">
        <v>2018</v>
      </c>
      <c r="I39" s="5" t="s">
        <v>200</v>
      </c>
      <c r="J39" s="37">
        <v>75</v>
      </c>
      <c r="K39" s="17" t="s">
        <v>14</v>
      </c>
      <c r="L39" s="17">
        <f>IFERROR(1/((LEN(master2[[#This Row],[Genres]])-LEN(SUBSTITUTE(master2[[#This Row],[Genres]],"'","")))/2),0)</f>
        <v>0.14285714285714285</v>
      </c>
      <c r="M39" s="24" t="s">
        <v>201</v>
      </c>
      <c r="N39" s="29">
        <v>5.0999999999999996</v>
      </c>
      <c r="O39" s="5" t="str">
        <f>TEXT(WEEKDAY(master2[[#This Row],[Datum]]),"dddd")</f>
        <v>Wednesday</v>
      </c>
    </row>
    <row r="40" spans="1:15">
      <c r="A40" s="5">
        <v>37</v>
      </c>
      <c r="B40" s="5">
        <v>1</v>
      </c>
      <c r="C40" s="5">
        <f t="shared" si="0"/>
        <v>10</v>
      </c>
      <c r="D40" s="28">
        <v>44524</v>
      </c>
      <c r="E40" s="5" t="s">
        <v>18</v>
      </c>
      <c r="F40" s="5" t="s">
        <v>202</v>
      </c>
      <c r="G40" s="5" t="s">
        <v>70</v>
      </c>
      <c r="H40" s="5">
        <v>2021</v>
      </c>
      <c r="I40" s="5" t="s">
        <v>203</v>
      </c>
      <c r="J40" s="37">
        <v>116</v>
      </c>
      <c r="K40" s="17" t="s">
        <v>14</v>
      </c>
      <c r="L40" s="17">
        <f>IFERROR(1/((LEN(master2[[#This Row],[Genres]])-LEN(SUBSTITUTE(master2[[#This Row],[Genres]],"'","")))/2),0)</f>
        <v>0.25</v>
      </c>
      <c r="M40" s="24" t="s">
        <v>204</v>
      </c>
      <c r="N40" s="29">
        <v>7</v>
      </c>
      <c r="O40" s="5" t="str">
        <f>TEXT(WEEKDAY(master2[[#This Row],[Datum]]),"dddd")</f>
        <v>Wednesday</v>
      </c>
    </row>
    <row r="41" spans="1:15">
      <c r="A41" s="5">
        <v>38</v>
      </c>
      <c r="B41" s="5">
        <v>1</v>
      </c>
      <c r="C41" s="5">
        <f t="shared" si="0"/>
        <v>10</v>
      </c>
      <c r="D41" s="28">
        <v>44531</v>
      </c>
      <c r="E41" s="5" t="s">
        <v>23</v>
      </c>
      <c r="F41" s="5" t="s">
        <v>205</v>
      </c>
      <c r="G41" s="5" t="s">
        <v>71</v>
      </c>
      <c r="H41" s="5">
        <v>1997</v>
      </c>
      <c r="I41" s="5" t="s">
        <v>197</v>
      </c>
      <c r="J41" s="37">
        <v>126</v>
      </c>
      <c r="K41" s="17" t="s">
        <v>14</v>
      </c>
      <c r="L41" s="17">
        <f>IFERROR(1/((LEN(master2[[#This Row],[Genres]])-LEN(SUBSTITUTE(master2[[#This Row],[Genres]],"'","")))/2),0)</f>
        <v>0.5</v>
      </c>
      <c r="M41" s="24" t="s">
        <v>206</v>
      </c>
      <c r="N41" s="29">
        <v>8.3000000000000007</v>
      </c>
      <c r="O41" s="5" t="str">
        <f>TEXT(WEEKDAY(master2[[#This Row],[Datum]]),"dddd")</f>
        <v>Wednesday</v>
      </c>
    </row>
    <row r="42" spans="1:15">
      <c r="A42" s="5">
        <v>39</v>
      </c>
      <c r="B42" s="5">
        <v>1</v>
      </c>
      <c r="C42" s="5">
        <f t="shared" si="0"/>
        <v>10</v>
      </c>
      <c r="D42" s="28">
        <v>44538</v>
      </c>
      <c r="E42" s="5" t="s">
        <v>27</v>
      </c>
      <c r="F42" s="5" t="s">
        <v>207</v>
      </c>
      <c r="G42" s="5" t="s">
        <v>72</v>
      </c>
      <c r="H42" s="5">
        <v>1988</v>
      </c>
      <c r="I42" s="5" t="s">
        <v>208</v>
      </c>
      <c r="J42" s="37">
        <v>132</v>
      </c>
      <c r="K42" s="17" t="s">
        <v>14</v>
      </c>
      <c r="L42" s="17">
        <f>IFERROR(1/((LEN(master2[[#This Row],[Genres]])-LEN(SUBSTITUTE(master2[[#This Row],[Genres]],"'","")))/2),0)</f>
        <v>0.5</v>
      </c>
      <c r="M42" s="24" t="s">
        <v>209</v>
      </c>
      <c r="N42" s="29">
        <v>8.1999999999999993</v>
      </c>
      <c r="O42" s="5" t="str">
        <f>TEXT(WEEKDAY(master2[[#This Row],[Datum]]),"dddd")</f>
        <v>Wednesday</v>
      </c>
    </row>
    <row r="43" spans="1:15">
      <c r="A43" s="5">
        <v>40</v>
      </c>
      <c r="B43" s="5">
        <v>1</v>
      </c>
      <c r="C43" s="5">
        <f t="shared" si="0"/>
        <v>10</v>
      </c>
      <c r="D43" s="28">
        <v>44545</v>
      </c>
      <c r="E43" s="5" t="s">
        <v>29</v>
      </c>
      <c r="F43" s="5" t="s">
        <v>210</v>
      </c>
      <c r="G43" s="13" t="s">
        <v>211</v>
      </c>
      <c r="H43" s="5">
        <v>1946</v>
      </c>
      <c r="I43" s="5" t="s">
        <v>212</v>
      </c>
      <c r="J43" s="37">
        <v>130</v>
      </c>
      <c r="K43" s="17" t="s">
        <v>22</v>
      </c>
      <c r="L43" s="17">
        <f>IFERROR(1/((LEN(master2[[#This Row],[Genres]])-LEN(SUBSTITUTE(master2[[#This Row],[Genres]],"'","")))/2),0)</f>
        <v>0.33333333333333331</v>
      </c>
      <c r="M43" s="24" t="s">
        <v>213</v>
      </c>
      <c r="N43" s="29">
        <v>8.6</v>
      </c>
      <c r="O43" s="5" t="str">
        <f>TEXT(WEEKDAY(master2[[#This Row],[Datum]]),"dddd")</f>
        <v>Wednesday</v>
      </c>
    </row>
    <row r="44" spans="1:15">
      <c r="A44" s="5">
        <v>41</v>
      </c>
      <c r="B44" s="5">
        <v>1</v>
      </c>
      <c r="C44" s="5">
        <v>11</v>
      </c>
      <c r="D44" s="28">
        <v>44552</v>
      </c>
      <c r="E44" s="5" t="s">
        <v>18</v>
      </c>
      <c r="F44" s="5" t="s">
        <v>214</v>
      </c>
      <c r="G44" s="5" t="s">
        <v>75</v>
      </c>
      <c r="H44" s="5">
        <v>2021</v>
      </c>
      <c r="I44" s="5" t="s">
        <v>215</v>
      </c>
      <c r="J44" s="37">
        <v>115</v>
      </c>
      <c r="K44" s="17" t="s">
        <v>14</v>
      </c>
      <c r="L44" s="17">
        <f>IFERROR(1/((LEN(master2[[#This Row],[Genres]])-LEN(SUBSTITUTE(master2[[#This Row],[Genres]],"'","")))/2),0)</f>
        <v>0.2</v>
      </c>
      <c r="M44" s="24" t="s">
        <v>216</v>
      </c>
      <c r="N44" s="29">
        <v>7.1</v>
      </c>
      <c r="O44" s="5" t="str">
        <f>TEXT(WEEKDAY(master2[[#This Row],[Datum]]),"dddd")</f>
        <v>Wednesday</v>
      </c>
    </row>
    <row r="45" spans="1:15">
      <c r="A45" s="5">
        <v>42</v>
      </c>
      <c r="B45" s="5">
        <v>1</v>
      </c>
      <c r="C45" s="5">
        <v>11</v>
      </c>
      <c r="D45" s="28">
        <v>44559</v>
      </c>
      <c r="E45" s="5" t="s">
        <v>23</v>
      </c>
      <c r="F45" s="5" t="s">
        <v>217</v>
      </c>
      <c r="G45" s="5" t="s">
        <v>76</v>
      </c>
      <c r="H45" s="5">
        <v>2021</v>
      </c>
      <c r="I45" s="5" t="s">
        <v>218</v>
      </c>
      <c r="J45" s="37">
        <v>107</v>
      </c>
      <c r="K45" s="17" t="s">
        <v>14</v>
      </c>
      <c r="L45" s="17">
        <f>IFERROR(1/((LEN(master2[[#This Row],[Genres]])-LEN(SUBSTITUTE(master2[[#This Row],[Genres]],"'","")))/2),0)</f>
        <v>0.33333333333333331</v>
      </c>
      <c r="M45" s="24" t="s">
        <v>219</v>
      </c>
      <c r="N45" s="29">
        <v>7.1</v>
      </c>
      <c r="O45" s="5" t="str">
        <f>TEXT(WEEKDAY(master2[[#This Row],[Datum]]),"dddd")</f>
        <v>Wednesday</v>
      </c>
    </row>
    <row r="46" spans="1:15">
      <c r="A46" s="5">
        <v>43</v>
      </c>
      <c r="B46" s="5">
        <v>1</v>
      </c>
      <c r="C46" s="5">
        <f>IF(E46="Rick",C45+1,C45)</f>
        <v>11</v>
      </c>
      <c r="D46" s="28">
        <v>44566</v>
      </c>
      <c r="E46" s="5" t="s">
        <v>27</v>
      </c>
      <c r="F46" s="5" t="s">
        <v>220</v>
      </c>
      <c r="G46" s="5" t="s">
        <v>77</v>
      </c>
      <c r="H46" s="5">
        <v>1980</v>
      </c>
      <c r="I46" s="5" t="s">
        <v>221</v>
      </c>
      <c r="J46" s="37">
        <v>88</v>
      </c>
      <c r="K46" s="17" t="s">
        <v>22</v>
      </c>
      <c r="L46" s="17">
        <f>IFERROR(1/((LEN(master2[[#This Row],[Genres]])-LEN(SUBSTITUTE(master2[[#This Row],[Genres]],"'","")))/2),0)</f>
        <v>1</v>
      </c>
      <c r="M46" s="24" t="s">
        <v>222</v>
      </c>
      <c r="N46" s="29">
        <v>7.7</v>
      </c>
      <c r="O46" s="5" t="str">
        <f>TEXT(WEEKDAY(master2[[#This Row],[Datum]]),"dddd")</f>
        <v>Wednesday</v>
      </c>
    </row>
    <row r="47" spans="1:15">
      <c r="A47" s="5">
        <v>44</v>
      </c>
      <c r="B47" s="5">
        <v>1</v>
      </c>
      <c r="C47" s="5">
        <f>IF(E47="Rick",C46+1,C46)</f>
        <v>11</v>
      </c>
      <c r="D47" s="28">
        <v>44573</v>
      </c>
      <c r="E47" s="5" t="s">
        <v>29</v>
      </c>
      <c r="F47" s="5" t="s">
        <v>223</v>
      </c>
      <c r="G47" s="5" t="s">
        <v>78</v>
      </c>
      <c r="H47" s="5">
        <v>2019</v>
      </c>
      <c r="I47" s="5" t="s">
        <v>224</v>
      </c>
      <c r="J47" s="37">
        <v>98</v>
      </c>
      <c r="K47" s="17" t="s">
        <v>14</v>
      </c>
      <c r="L47" s="17">
        <f>IFERROR(1/((LEN(master2[[#This Row],[Genres]])-LEN(SUBSTITUTE(master2[[#This Row],[Genres]],"'","")))/2),0)</f>
        <v>0.25</v>
      </c>
      <c r="M47" s="24" t="s">
        <v>225</v>
      </c>
      <c r="N47" s="29">
        <v>6.3</v>
      </c>
      <c r="O47" s="5" t="str">
        <f>TEXT(WEEKDAY(master2[[#This Row],[Datum]]),"dddd")</f>
        <v>Wednesday</v>
      </c>
    </row>
    <row r="48" spans="1:15">
      <c r="A48" s="5">
        <v>45</v>
      </c>
      <c r="B48" s="5">
        <v>1</v>
      </c>
      <c r="C48" s="5">
        <v>12</v>
      </c>
      <c r="D48" s="28">
        <v>44580</v>
      </c>
      <c r="E48" s="5" t="s">
        <v>18</v>
      </c>
      <c r="F48" s="5" t="s">
        <v>226</v>
      </c>
      <c r="G48" s="5" t="s">
        <v>79</v>
      </c>
      <c r="H48" s="5">
        <v>2021</v>
      </c>
      <c r="I48" s="5" t="s">
        <v>227</v>
      </c>
      <c r="J48" s="37">
        <v>152</v>
      </c>
      <c r="K48" s="17" t="s">
        <v>14</v>
      </c>
      <c r="L48" s="17">
        <f>IFERROR(1/((LEN(master2[[#This Row],[Genres]])-LEN(SUBSTITUTE(master2[[#This Row],[Genres]],"'","")))/2),0)</f>
        <v>0.25</v>
      </c>
      <c r="M48" s="24" t="s">
        <v>228</v>
      </c>
      <c r="N48" s="29">
        <v>7.4</v>
      </c>
      <c r="O48" s="5" t="str">
        <f>TEXT(WEEKDAY(master2[[#This Row],[Datum]]),"dddd")</f>
        <v>Wednesday</v>
      </c>
    </row>
    <row r="49" spans="1:15">
      <c r="A49" s="5">
        <v>46</v>
      </c>
      <c r="B49" s="5">
        <v>1</v>
      </c>
      <c r="C49" s="5">
        <v>12</v>
      </c>
      <c r="D49" s="28">
        <v>44587</v>
      </c>
      <c r="E49" s="5" t="s">
        <v>23</v>
      </c>
      <c r="F49" s="5" t="s">
        <v>229</v>
      </c>
      <c r="G49" s="5" t="s">
        <v>80</v>
      </c>
      <c r="H49" s="5">
        <v>2019</v>
      </c>
      <c r="I49" s="5" t="s">
        <v>230</v>
      </c>
      <c r="J49" s="37">
        <v>165</v>
      </c>
      <c r="K49" s="17" t="s">
        <v>14</v>
      </c>
      <c r="L49" s="17">
        <f>IFERROR(1/((LEN(master2[[#This Row],[Genres]])-LEN(SUBSTITUTE(master2[[#This Row],[Genres]],"'","")))/2),0)</f>
        <v>0.33333333333333331</v>
      </c>
      <c r="M49" s="24" t="s">
        <v>231</v>
      </c>
      <c r="N49" s="29">
        <v>8.4</v>
      </c>
      <c r="O49" s="5" t="str">
        <f>TEXT(WEEKDAY(master2[[#This Row],[Datum]]),"dddd")</f>
        <v>Wednesday</v>
      </c>
    </row>
    <row r="50" spans="1:15">
      <c r="A50" s="5">
        <v>47</v>
      </c>
      <c r="B50" s="5">
        <v>1</v>
      </c>
      <c r="C50" s="5">
        <v>12</v>
      </c>
      <c r="D50" s="28">
        <v>44594</v>
      </c>
      <c r="E50" s="5" t="s">
        <v>27</v>
      </c>
      <c r="F50" s="5" t="s">
        <v>232</v>
      </c>
      <c r="G50" s="5" t="s">
        <v>82</v>
      </c>
      <c r="H50" s="5">
        <v>2019</v>
      </c>
      <c r="I50" s="5" t="s">
        <v>233</v>
      </c>
      <c r="J50" s="37">
        <v>108</v>
      </c>
      <c r="K50" s="17" t="s">
        <v>14</v>
      </c>
      <c r="L50" s="17">
        <f>IFERROR(1/((LEN(master2[[#This Row],[Genres]])-LEN(SUBSTITUTE(master2[[#This Row],[Genres]],"'","")))/2),0)</f>
        <v>0.33333333333333331</v>
      </c>
      <c r="M50" s="24" t="s">
        <v>234</v>
      </c>
      <c r="N50" s="29">
        <v>7.9</v>
      </c>
      <c r="O50" s="5" t="str">
        <f>TEXT(WEEKDAY(master2[[#This Row],[Datum]]),"dddd")</f>
        <v>Wednesday</v>
      </c>
    </row>
    <row r="51" spans="1:15">
      <c r="A51" s="5">
        <v>48</v>
      </c>
      <c r="B51" s="5">
        <v>1</v>
      </c>
      <c r="C51" s="5">
        <v>12</v>
      </c>
      <c r="D51" s="28">
        <v>44601</v>
      </c>
      <c r="E51" s="5" t="s">
        <v>29</v>
      </c>
      <c r="F51" s="5" t="s">
        <v>235</v>
      </c>
      <c r="G51" s="5" t="s">
        <v>83</v>
      </c>
      <c r="H51" s="5">
        <v>2008</v>
      </c>
      <c r="I51" s="5" t="s">
        <v>236</v>
      </c>
      <c r="J51" s="37">
        <v>110</v>
      </c>
      <c r="K51" s="17" t="s">
        <v>22</v>
      </c>
      <c r="L51" s="17">
        <f>IFERROR(1/((LEN(master2[[#This Row],[Genres]])-LEN(SUBSTITUTE(master2[[#This Row],[Genres]],"'","")))/2),0)</f>
        <v>0.5</v>
      </c>
      <c r="M51" s="24" t="s">
        <v>237</v>
      </c>
      <c r="N51" s="29">
        <v>6.1</v>
      </c>
      <c r="O51" s="5" t="str">
        <f>TEXT(WEEKDAY(master2[[#This Row],[Datum]]),"dddd")</f>
        <v>Wednesday</v>
      </c>
    </row>
    <row r="52" spans="1:15">
      <c r="A52" s="5">
        <v>49</v>
      </c>
      <c r="B52" s="5">
        <v>1</v>
      </c>
      <c r="C52" s="5">
        <v>13</v>
      </c>
      <c r="D52" s="28">
        <v>44607</v>
      </c>
      <c r="E52" s="5" t="s">
        <v>18</v>
      </c>
      <c r="F52" s="5" t="s">
        <v>238</v>
      </c>
      <c r="G52" s="5" t="s">
        <v>84</v>
      </c>
      <c r="H52" s="5">
        <v>2021</v>
      </c>
      <c r="I52" s="5" t="s">
        <v>239</v>
      </c>
      <c r="J52" s="37">
        <v>130</v>
      </c>
      <c r="K52" s="17" t="s">
        <v>14</v>
      </c>
      <c r="L52" s="17">
        <f>IFERROR(1/((LEN(master2[[#This Row],[Genres]])-LEN(SUBSTITUTE(master2[[#This Row],[Genres]],"'","")))/2),0)</f>
        <v>0.33333333333333331</v>
      </c>
      <c r="M52" s="24" t="s">
        <v>240</v>
      </c>
      <c r="N52" s="29">
        <v>6.6</v>
      </c>
      <c r="O52" s="5" t="str">
        <f>TEXT(WEEKDAY(master2[[#This Row],[Datum]]),"dddd")</f>
        <v>Tuesday</v>
      </c>
    </row>
    <row r="53" spans="1:15">
      <c r="A53" s="5">
        <v>50</v>
      </c>
      <c r="B53" s="5">
        <v>1</v>
      </c>
      <c r="C53" s="5">
        <v>13</v>
      </c>
      <c r="D53" s="28">
        <v>44614</v>
      </c>
      <c r="E53" s="5" t="s">
        <v>23</v>
      </c>
      <c r="F53" s="5" t="s">
        <v>241</v>
      </c>
      <c r="G53" s="5" t="s">
        <v>242</v>
      </c>
      <c r="H53" s="5">
        <v>2021</v>
      </c>
      <c r="I53" s="5" t="s">
        <v>243</v>
      </c>
      <c r="J53" s="37">
        <v>92</v>
      </c>
      <c r="K53" s="17" t="s">
        <v>14</v>
      </c>
      <c r="L53" s="17">
        <f>IFERROR(1/((LEN(master2[[#This Row],[Genres]])-LEN(SUBSTITUTE(master2[[#This Row],[Genres]],"'","")))/2),0)</f>
        <v>0.25</v>
      </c>
      <c r="M53" s="24" t="s">
        <v>244</v>
      </c>
      <c r="N53" s="29">
        <v>7.4</v>
      </c>
      <c r="O53" s="5" t="str">
        <f>TEXT(WEEKDAY(master2[[#This Row],[Datum]]),"dddd")</f>
        <v>Tuesday</v>
      </c>
    </row>
    <row r="54" spans="1:15">
      <c r="A54" s="5">
        <v>51</v>
      </c>
      <c r="B54" s="5">
        <v>1</v>
      </c>
      <c r="C54" s="5">
        <f>IF(E54="Rick",C53+1,C53)</f>
        <v>13</v>
      </c>
      <c r="D54" s="28">
        <v>44622</v>
      </c>
      <c r="E54" s="5" t="s">
        <v>27</v>
      </c>
      <c r="F54" s="5" t="s">
        <v>245</v>
      </c>
      <c r="G54" s="5" t="s">
        <v>246</v>
      </c>
      <c r="H54" s="5">
        <v>2002</v>
      </c>
      <c r="I54" s="5" t="s">
        <v>247</v>
      </c>
      <c r="J54" s="37">
        <v>96</v>
      </c>
      <c r="K54" s="17" t="s">
        <v>22</v>
      </c>
      <c r="L54" s="17">
        <f>IFERROR(1/((LEN(master2[[#This Row],[Genres]])-LEN(SUBSTITUTE(master2[[#This Row],[Genres]],"'","")))/2),0)</f>
        <v>0.5</v>
      </c>
      <c r="M54" s="26" t="s">
        <v>248</v>
      </c>
      <c r="N54" s="29">
        <v>6.8</v>
      </c>
      <c r="O54" s="5" t="str">
        <f>TEXT(WEEKDAY(master2[[#This Row],[Datum]]),"dddd")</f>
        <v>Wednesday</v>
      </c>
    </row>
    <row r="55" spans="1:15">
      <c r="A55" s="5">
        <v>52</v>
      </c>
      <c r="B55" s="5">
        <v>1</v>
      </c>
      <c r="C55" s="5">
        <f t="shared" ref="C55:C66" si="1">IF(E55="Rick",C54+1,C54)</f>
        <v>13</v>
      </c>
      <c r="D55" s="28">
        <v>44630</v>
      </c>
      <c r="E55" s="5" t="s">
        <v>29</v>
      </c>
      <c r="F55" s="5" t="s">
        <v>249</v>
      </c>
      <c r="G55" s="5" t="s">
        <v>250</v>
      </c>
      <c r="H55" s="5">
        <v>2008</v>
      </c>
      <c r="I55" s="5" t="s">
        <v>251</v>
      </c>
      <c r="J55" s="37">
        <v>125</v>
      </c>
      <c r="K55" s="17" t="s">
        <v>22</v>
      </c>
      <c r="L55" s="17">
        <f>IFERROR(1/((LEN(master2[[#This Row],[Genres]])-LEN(SUBSTITUTE(master2[[#This Row],[Genres]],"'","")))/2),0)</f>
        <v>0.5</v>
      </c>
      <c r="M55" s="26" t="s">
        <v>252</v>
      </c>
      <c r="N55" s="29">
        <v>7</v>
      </c>
      <c r="O55" s="5" t="str">
        <f>TEXT(WEEKDAY(master2[[#This Row],[Datum]]),"dddd")</f>
        <v>Thursday</v>
      </c>
    </row>
    <row r="56" spans="1:15">
      <c r="A56" s="5">
        <v>53</v>
      </c>
      <c r="B56" s="5">
        <v>1</v>
      </c>
      <c r="C56" s="5">
        <f t="shared" si="1"/>
        <v>13</v>
      </c>
      <c r="D56" s="28">
        <v>44637</v>
      </c>
      <c r="E56" t="s">
        <v>10</v>
      </c>
      <c r="F56" s="5" t="s">
        <v>253</v>
      </c>
      <c r="G56" s="5" t="s">
        <v>254</v>
      </c>
      <c r="H56" s="5">
        <v>2021</v>
      </c>
      <c r="I56" s="5" t="s">
        <v>255</v>
      </c>
      <c r="J56" s="37">
        <v>46</v>
      </c>
      <c r="K56" s="17" t="s">
        <v>14</v>
      </c>
      <c r="L56" s="17">
        <f>IFERROR(1/((LEN(master2[[#This Row],[Genres]])-LEN(SUBSTITUTE(master2[[#This Row],[Genres]],"'","")))/2),0)</f>
        <v>0.5</v>
      </c>
      <c r="M56" s="26" t="s">
        <v>256</v>
      </c>
      <c r="N56" s="29">
        <v>7.5</v>
      </c>
      <c r="O56" s="5" t="str">
        <f>TEXT(WEEKDAY(master2[[#This Row],[Datum]]),"dddd")</f>
        <v>Thursday</v>
      </c>
    </row>
    <row r="57" spans="1:15">
      <c r="A57" s="5">
        <v>54</v>
      </c>
      <c r="B57" s="5">
        <v>2</v>
      </c>
      <c r="C57" s="5">
        <f t="shared" si="1"/>
        <v>14</v>
      </c>
      <c r="D57" s="28">
        <v>44643</v>
      </c>
      <c r="E57" s="5" t="s">
        <v>18</v>
      </c>
      <c r="F57" s="5" t="s">
        <v>257</v>
      </c>
      <c r="G57" s="5" t="s">
        <v>258</v>
      </c>
      <c r="H57" s="5">
        <v>2021</v>
      </c>
      <c r="I57" s="5" t="s">
        <v>259</v>
      </c>
      <c r="J57" s="37">
        <v>148</v>
      </c>
      <c r="K57" s="17" t="s">
        <v>14</v>
      </c>
      <c r="L57" s="17">
        <f>IFERROR(1/((LEN(master2[[#This Row],[Genres]])-LEN(SUBSTITUTE(master2[[#This Row],[Genres]],"'","")))/2),0)</f>
        <v>0.25</v>
      </c>
      <c r="M57" s="26" t="s">
        <v>260</v>
      </c>
      <c r="N57" s="29">
        <v>8.6</v>
      </c>
      <c r="O57" s="5" t="str">
        <f>TEXT(WEEKDAY(master2[[#This Row],[Datum]]),"dddd")</f>
        <v>Wednesday</v>
      </c>
    </row>
    <row r="58" spans="1:15" ht="14.25" customHeight="1">
      <c r="A58" s="5">
        <v>55</v>
      </c>
      <c r="B58" s="5">
        <v>2</v>
      </c>
      <c r="C58" s="5">
        <f t="shared" si="1"/>
        <v>14</v>
      </c>
      <c r="D58" s="28">
        <v>44649</v>
      </c>
      <c r="E58" s="5" t="s">
        <v>23</v>
      </c>
      <c r="F58" s="5" t="s">
        <v>261</v>
      </c>
      <c r="G58" s="5" t="s">
        <v>262</v>
      </c>
      <c r="H58" s="5">
        <v>2008</v>
      </c>
      <c r="I58" s="5" t="s">
        <v>263</v>
      </c>
      <c r="J58" s="37">
        <v>104</v>
      </c>
      <c r="K58" s="17" t="s">
        <v>22</v>
      </c>
      <c r="L58" s="17">
        <f>IFERROR(1/((LEN(master2[[#This Row],[Genres]])-LEN(SUBSTITUTE(master2[[#This Row],[Genres]],"'","")))/2),0)</f>
        <v>0.5</v>
      </c>
      <c r="M58" s="27" t="s">
        <v>264</v>
      </c>
      <c r="N58" s="29">
        <v>6.8</v>
      </c>
      <c r="O58" s="5" t="str">
        <f>TEXT(WEEKDAY(master2[[#This Row],[Datum]]),"dddd")</f>
        <v>Tuesday</v>
      </c>
    </row>
    <row r="59" spans="1:15">
      <c r="A59" s="5">
        <v>56</v>
      </c>
      <c r="B59" s="5">
        <v>2</v>
      </c>
      <c r="C59" s="5">
        <f t="shared" si="1"/>
        <v>14</v>
      </c>
      <c r="D59" s="28">
        <v>44656</v>
      </c>
      <c r="E59" s="5" t="s">
        <v>29</v>
      </c>
      <c r="F59" s="5" t="s">
        <v>265</v>
      </c>
      <c r="G59" s="5" t="s">
        <v>266</v>
      </c>
      <c r="H59" s="5">
        <v>2000</v>
      </c>
      <c r="I59" s="5" t="s">
        <v>267</v>
      </c>
      <c r="J59" s="37">
        <v>107</v>
      </c>
      <c r="K59" s="17" t="s">
        <v>22</v>
      </c>
      <c r="L59" s="17">
        <f>IFERROR(1/((LEN(master2[[#This Row],[Genres]])-LEN(SUBSTITUTE(master2[[#This Row],[Genres]],"'","")))/2),0)</f>
        <v>0.25</v>
      </c>
      <c r="M59" s="26" t="s">
        <v>268</v>
      </c>
      <c r="N59" s="29">
        <v>7.7</v>
      </c>
      <c r="O59" s="5" t="str">
        <f>TEXT(WEEKDAY(master2[[#This Row],[Datum]]),"dddd")</f>
        <v>Tuesday</v>
      </c>
    </row>
    <row r="60" spans="1:15">
      <c r="A60" s="5">
        <v>57</v>
      </c>
      <c r="B60" s="5">
        <v>2</v>
      </c>
      <c r="C60" s="5">
        <f t="shared" si="1"/>
        <v>14</v>
      </c>
      <c r="D60" s="28">
        <v>44664</v>
      </c>
      <c r="E60" s="5" t="s">
        <v>27</v>
      </c>
      <c r="F60" s="5" t="s">
        <v>269</v>
      </c>
      <c r="G60" s="5" t="s">
        <v>270</v>
      </c>
      <c r="H60" s="5">
        <v>2003</v>
      </c>
      <c r="I60" s="5" t="s">
        <v>271</v>
      </c>
      <c r="J60" s="37">
        <v>138</v>
      </c>
      <c r="K60" s="17" t="s">
        <v>22</v>
      </c>
      <c r="L60" s="17">
        <f>IFERROR(1/((LEN(master2[[#This Row],[Genres]])-LEN(SUBSTITUTE(master2[[#This Row],[Genres]],"'","")))/2),0)</f>
        <v>0.25</v>
      </c>
      <c r="M60" s="26" t="s">
        <v>272</v>
      </c>
      <c r="N60" s="29">
        <v>7.4</v>
      </c>
      <c r="O60" s="5" t="str">
        <f>TEXT(WEEKDAY(master2[[#This Row],[Datum]]),"dddd")</f>
        <v>Wednesday</v>
      </c>
    </row>
    <row r="61" spans="1:15">
      <c r="A61" s="5">
        <v>58</v>
      </c>
      <c r="B61" s="5">
        <v>2</v>
      </c>
      <c r="C61" s="5">
        <f t="shared" si="1"/>
        <v>15</v>
      </c>
      <c r="D61" s="28">
        <v>44671</v>
      </c>
      <c r="E61" s="5" t="s">
        <v>18</v>
      </c>
      <c r="F61" s="5" t="s">
        <v>273</v>
      </c>
      <c r="G61" s="5" t="s">
        <v>274</v>
      </c>
      <c r="H61" s="5">
        <v>2016</v>
      </c>
      <c r="I61" s="5" t="s">
        <v>275</v>
      </c>
      <c r="J61" s="37">
        <v>145</v>
      </c>
      <c r="K61" s="17" t="s">
        <v>14</v>
      </c>
      <c r="L61" s="17">
        <f>IFERROR(1/((LEN(master2[[#This Row],[Genres]])-LEN(SUBSTITUTE(master2[[#This Row],[Genres]],"'","")))/2),0)</f>
        <v>0.33333333333333331</v>
      </c>
      <c r="M61" s="26" t="s">
        <v>276</v>
      </c>
      <c r="N61" s="29">
        <v>8.1</v>
      </c>
      <c r="O61" s="5" t="str">
        <f>TEXT(WEEKDAY(master2[[#This Row],[Datum]]),"dddd")</f>
        <v>Wednesday</v>
      </c>
    </row>
    <row r="62" spans="1:15">
      <c r="A62" s="5">
        <v>59</v>
      </c>
      <c r="B62" s="5">
        <v>2</v>
      </c>
      <c r="C62" s="5">
        <f t="shared" si="1"/>
        <v>15</v>
      </c>
      <c r="D62" s="28">
        <v>44679</v>
      </c>
      <c r="E62" s="5" t="s">
        <v>23</v>
      </c>
      <c r="F62" s="5" t="s">
        <v>277</v>
      </c>
      <c r="G62" s="5" t="s">
        <v>278</v>
      </c>
      <c r="H62" s="5">
        <v>1999</v>
      </c>
      <c r="I62" s="5" t="s">
        <v>103</v>
      </c>
      <c r="J62" s="37">
        <v>139</v>
      </c>
      <c r="K62" s="17" t="s">
        <v>14</v>
      </c>
      <c r="L62" s="17">
        <f>IFERROR(1/((LEN(master2[[#This Row],[Genres]])-LEN(SUBSTITUTE(master2[[#This Row],[Genres]],"'","")))/2),0)</f>
        <v>0.33333333333333331</v>
      </c>
      <c r="M62" s="26" t="s">
        <v>279</v>
      </c>
      <c r="N62" s="29">
        <v>7.4</v>
      </c>
      <c r="O62" s="5" t="str">
        <f>TEXT(WEEKDAY(master2[[#This Row],[Datum]]),"dddd")</f>
        <v>Thursday</v>
      </c>
    </row>
    <row r="63" spans="1:15">
      <c r="A63" s="5">
        <f>A62+1</f>
        <v>60</v>
      </c>
      <c r="B63" s="5">
        <v>2</v>
      </c>
      <c r="C63" s="5">
        <f t="shared" si="1"/>
        <v>15</v>
      </c>
      <c r="D63" s="28">
        <v>44686</v>
      </c>
      <c r="E63" s="5" t="s">
        <v>27</v>
      </c>
      <c r="F63" s="5" t="s">
        <v>280</v>
      </c>
      <c r="G63" s="5" t="s">
        <v>281</v>
      </c>
      <c r="H63" s="5">
        <v>2001</v>
      </c>
      <c r="I63" s="5" t="s">
        <v>282</v>
      </c>
      <c r="J63" s="37">
        <v>135</v>
      </c>
      <c r="K63" s="17" t="s">
        <v>22</v>
      </c>
      <c r="L63" s="17">
        <f>IFERROR(1/((LEN(master2[[#This Row],[Genres]])-LEN(SUBSTITUTE(master2[[#This Row],[Genres]],"'","")))/2),0)</f>
        <v>0.5</v>
      </c>
      <c r="M63" s="26" t="s">
        <v>283</v>
      </c>
      <c r="N63" s="29">
        <v>8.1999999999999993</v>
      </c>
      <c r="O63" s="5" t="str">
        <f>TEXT(WEEKDAY(master2[[#This Row],[Datum]]),"dddd")</f>
        <v>Thursday</v>
      </c>
    </row>
    <row r="64" spans="1:15">
      <c r="A64" s="5">
        <f>A63+1</f>
        <v>61</v>
      </c>
      <c r="B64" s="5">
        <v>2</v>
      </c>
      <c r="C64" s="5">
        <f t="shared" si="1"/>
        <v>15</v>
      </c>
      <c r="D64" s="28">
        <v>44692</v>
      </c>
      <c r="E64" s="5" t="s">
        <v>29</v>
      </c>
      <c r="F64" s="5" t="s">
        <v>284</v>
      </c>
      <c r="G64" s="5" t="s">
        <v>285</v>
      </c>
      <c r="H64" s="5">
        <v>1987</v>
      </c>
      <c r="I64" s="5" t="s">
        <v>286</v>
      </c>
      <c r="J64" s="37">
        <v>107</v>
      </c>
      <c r="K64" s="17" t="s">
        <v>14</v>
      </c>
      <c r="L64" s="17">
        <f>IFERROR(1/((LEN(master2[[#This Row],[Genres]])-LEN(SUBSTITUTE(master2[[#This Row],[Genres]],"'","")))/2),0)</f>
        <v>0.25</v>
      </c>
      <c r="M64" s="26" t="s">
        <v>287</v>
      </c>
      <c r="N64" s="29">
        <v>7.8</v>
      </c>
      <c r="O64" s="5" t="str">
        <f>TEXT(WEEKDAY(master2[[#This Row],[Datum]]),"dddd")</f>
        <v>Wednesday</v>
      </c>
    </row>
    <row r="65" spans="1:15">
      <c r="A65" s="5">
        <f>A64+1</f>
        <v>62</v>
      </c>
      <c r="B65" s="5">
        <v>2</v>
      </c>
      <c r="C65" s="5">
        <f t="shared" si="1"/>
        <v>16</v>
      </c>
      <c r="D65" s="28">
        <v>44699</v>
      </c>
      <c r="E65" s="5" t="s">
        <v>18</v>
      </c>
      <c r="F65" s="5" t="s">
        <v>288</v>
      </c>
      <c r="G65" s="5" t="s">
        <v>289</v>
      </c>
      <c r="H65" s="5">
        <v>2022</v>
      </c>
      <c r="I65" s="5" t="s">
        <v>215</v>
      </c>
      <c r="J65" s="37">
        <v>139</v>
      </c>
      <c r="K65" s="17" t="s">
        <v>14</v>
      </c>
      <c r="L65" s="17">
        <f>IFERROR(1/((LEN(master2[[#This Row],[Genres]])-LEN(SUBSTITUTE(master2[[#This Row],[Genres]],"'","")))/2),0)</f>
        <v>0.2</v>
      </c>
      <c r="M65" s="26" t="s">
        <v>290</v>
      </c>
      <c r="N65" s="29">
        <v>8.6999999999999993</v>
      </c>
      <c r="O65" s="5" t="str">
        <f>TEXT(WEEKDAY(master2[[#This Row],[Datum]]),"dddd")</f>
        <v>Wednesday</v>
      </c>
    </row>
    <row r="66" spans="1:15">
      <c r="A66" s="5">
        <f>A65+1</f>
        <v>63</v>
      </c>
      <c r="B66" s="5">
        <v>2</v>
      </c>
      <c r="C66" s="5">
        <f t="shared" si="1"/>
        <v>16</v>
      </c>
      <c r="D66" s="28">
        <v>44705</v>
      </c>
      <c r="E66" s="5" t="s">
        <v>23</v>
      </c>
      <c r="F66" s="5" t="s">
        <v>291</v>
      </c>
      <c r="G66" t="s">
        <v>292</v>
      </c>
      <c r="H66" s="5">
        <v>2002</v>
      </c>
      <c r="I66" s="5" t="s">
        <v>293</v>
      </c>
      <c r="J66" s="37">
        <v>110</v>
      </c>
      <c r="K66" s="17" t="s">
        <v>22</v>
      </c>
      <c r="L66" s="17">
        <f>IFERROR(1/((LEN(master2[[#This Row],[Genres]])-LEN(SUBSTITUTE(master2[[#This Row],[Genres]],"'","")))/2),0)</f>
        <v>0.5</v>
      </c>
      <c r="M66" s="26" t="s">
        <v>294</v>
      </c>
      <c r="N66" s="29">
        <v>7.1</v>
      </c>
      <c r="O66" s="5" t="str">
        <f>TEXT(WEEKDAY(master2[[#This Row],[Datum]]),"dddd")</f>
        <v>Tuesday</v>
      </c>
    </row>
    <row r="67" spans="1:15">
      <c r="A67" s="5">
        <f>A66+1</f>
        <v>64</v>
      </c>
      <c r="B67" s="5">
        <v>2</v>
      </c>
      <c r="C67" s="5">
        <f t="shared" ref="C67:C75" si="2">IF(E67="Rick",C66+1,C66)</f>
        <v>16</v>
      </c>
      <c r="D67" s="28">
        <v>44712</v>
      </c>
      <c r="E67" s="5" t="s">
        <v>27</v>
      </c>
      <c r="F67" s="5" t="s">
        <v>295</v>
      </c>
      <c r="G67" s="5" t="s">
        <v>296</v>
      </c>
      <c r="H67" s="5">
        <v>1999</v>
      </c>
      <c r="I67" s="5" t="s">
        <v>297</v>
      </c>
      <c r="J67" s="37">
        <v>89</v>
      </c>
      <c r="K67" s="17" t="s">
        <v>22</v>
      </c>
      <c r="L67" s="17">
        <f>IFERROR(1/((LEN(master2[[#This Row],[Genres]])-LEN(SUBSTITUTE(master2[[#This Row],[Genres]],"'","")))/2),0)</f>
        <v>0.5</v>
      </c>
      <c r="M67" s="26" t="s">
        <v>298</v>
      </c>
      <c r="N67" s="29">
        <v>6.1</v>
      </c>
      <c r="O67" s="5" t="str">
        <f>TEXT(WEEKDAY(master2[[#This Row],[Datum]]),"dddd")</f>
        <v>Tuesday</v>
      </c>
    </row>
    <row r="68" spans="1:15">
      <c r="A68" s="5">
        <f>A67+1</f>
        <v>65</v>
      </c>
      <c r="B68" s="5">
        <v>2</v>
      </c>
      <c r="C68" s="5">
        <f t="shared" si="2"/>
        <v>16</v>
      </c>
      <c r="D68" s="28">
        <v>44720</v>
      </c>
      <c r="E68" s="5" t="s">
        <v>29</v>
      </c>
      <c r="F68" s="5" t="s">
        <v>299</v>
      </c>
      <c r="G68" s="5" t="s">
        <v>300</v>
      </c>
      <c r="H68" s="5">
        <v>1976</v>
      </c>
      <c r="I68" s="5" t="s">
        <v>301</v>
      </c>
      <c r="J68" s="37">
        <v>135</v>
      </c>
      <c r="K68" s="17" t="s">
        <v>14</v>
      </c>
      <c r="L68" s="17">
        <f>IFERROR(1/((LEN(master2[[#This Row],[Genres]])-LEN(SUBSTITUTE(master2[[#This Row],[Genres]],"'","")))/2),0)</f>
        <v>1</v>
      </c>
      <c r="M68" s="26" t="s">
        <v>302</v>
      </c>
      <c r="N68" s="29">
        <v>7.8</v>
      </c>
      <c r="O68" s="5" t="str">
        <f>TEXT(WEEKDAY(master2[[#This Row],[Datum]]),"dddd")</f>
        <v>Wednesday</v>
      </c>
    </row>
    <row r="69" spans="1:15" ht="17.25" customHeight="1">
      <c r="A69" s="5">
        <f>A68+1</f>
        <v>66</v>
      </c>
      <c r="B69" s="5">
        <v>2</v>
      </c>
      <c r="C69" s="5">
        <f t="shared" si="2"/>
        <v>17</v>
      </c>
      <c r="D69" s="28">
        <v>44728</v>
      </c>
      <c r="E69" s="5" t="s">
        <v>18</v>
      </c>
      <c r="F69" s="5" t="s">
        <v>303</v>
      </c>
      <c r="G69" s="5" t="s">
        <v>304</v>
      </c>
      <c r="H69" s="5">
        <v>2020</v>
      </c>
      <c r="I69" s="5" t="s">
        <v>305</v>
      </c>
      <c r="J69" s="37">
        <v>112</v>
      </c>
      <c r="K69" s="17" t="s">
        <v>14</v>
      </c>
      <c r="L69" s="17">
        <f>IFERROR(1/((LEN(master2[[#This Row],[Genres]])-LEN(SUBSTITUTE(master2[[#This Row],[Genres]],"'","")))/2),0)</f>
        <v>0.25</v>
      </c>
      <c r="M69" s="5" t="s">
        <v>306</v>
      </c>
      <c r="N69" s="29">
        <v>7.1</v>
      </c>
      <c r="O69" s="5" t="str">
        <f>TEXT(WEEKDAY(master2[[#This Row],[Datum]]),"dddd")</f>
        <v>Thursday</v>
      </c>
    </row>
    <row r="70" spans="1:15">
      <c r="A70" s="5">
        <f>A69+1</f>
        <v>67</v>
      </c>
      <c r="B70" s="5">
        <v>2</v>
      </c>
      <c r="C70" s="5">
        <f t="shared" si="2"/>
        <v>17</v>
      </c>
      <c r="D70" s="28">
        <v>44734</v>
      </c>
      <c r="E70" s="5" t="s">
        <v>23</v>
      </c>
      <c r="F70" s="5" t="s">
        <v>307</v>
      </c>
      <c r="G70" s="5" t="s">
        <v>308</v>
      </c>
      <c r="H70" s="5">
        <v>2012</v>
      </c>
      <c r="I70" s="5" t="s">
        <v>103</v>
      </c>
      <c r="J70" s="37">
        <v>140</v>
      </c>
      <c r="K70" s="17" t="s">
        <v>22</v>
      </c>
      <c r="L70" s="17">
        <f>IFERROR(1/((LEN(master2[[#This Row],[Genres]])-LEN(SUBSTITUTE(master2[[#This Row],[Genres]],"'","")))/2),0)</f>
        <v>0.33333333333333331</v>
      </c>
      <c r="M70" s="5" t="s">
        <v>309</v>
      </c>
      <c r="N70" s="29">
        <v>7.3</v>
      </c>
      <c r="O70" s="5" t="str">
        <f>TEXT(WEEKDAY(master2[[#This Row],[Datum]]),"dddd")</f>
        <v>Wednesday</v>
      </c>
    </row>
    <row r="71" spans="1:15">
      <c r="A71" s="5">
        <f>A70+1</f>
        <v>68</v>
      </c>
      <c r="B71" s="5">
        <v>2</v>
      </c>
      <c r="C71" s="5">
        <f t="shared" si="2"/>
        <v>17</v>
      </c>
      <c r="D71" s="28">
        <v>44741</v>
      </c>
      <c r="E71" s="5" t="s">
        <v>27</v>
      </c>
      <c r="F71" s="5" t="s">
        <v>310</v>
      </c>
      <c r="G71" s="5" t="s">
        <v>311</v>
      </c>
      <c r="H71" s="5">
        <v>2011</v>
      </c>
      <c r="I71" s="5" t="s">
        <v>312</v>
      </c>
      <c r="J71" s="37">
        <v>133</v>
      </c>
      <c r="K71" s="17" t="s">
        <v>22</v>
      </c>
      <c r="L71" s="17">
        <f>IFERROR(1/((LEN(master2[[#This Row],[Genres]])-LEN(SUBSTITUTE(master2[[#This Row],[Genres]],"'","")))/2),0)</f>
        <v>0.33333333333333331</v>
      </c>
      <c r="M71" s="5" t="s">
        <v>313</v>
      </c>
      <c r="N71" s="29">
        <v>7.6</v>
      </c>
      <c r="O71" s="5" t="str">
        <f>TEXT(WEEKDAY(master2[[#This Row],[Datum]]),"dddd")</f>
        <v>Wednesday</v>
      </c>
    </row>
    <row r="72" spans="1:15">
      <c r="A72" s="5">
        <f>A71+1</f>
        <v>69</v>
      </c>
      <c r="B72" s="5">
        <v>2</v>
      </c>
      <c r="C72" s="5">
        <f t="shared" si="2"/>
        <v>17</v>
      </c>
      <c r="D72" s="28">
        <v>44748</v>
      </c>
      <c r="E72" s="5" t="s">
        <v>29</v>
      </c>
      <c r="F72" s="5" t="s">
        <v>314</v>
      </c>
      <c r="G72" s="5" t="s">
        <v>315</v>
      </c>
      <c r="H72" s="5">
        <v>1983</v>
      </c>
      <c r="I72" s="5" t="s">
        <v>121</v>
      </c>
      <c r="J72" s="37">
        <v>114</v>
      </c>
      <c r="K72" s="17" t="s">
        <v>14</v>
      </c>
      <c r="L72" s="17">
        <f>IFERROR(1/((LEN(master2[[#This Row],[Genres]])-LEN(SUBSTITUTE(master2[[#This Row],[Genres]],"'","")))/2),0)</f>
        <v>0.25</v>
      </c>
      <c r="M72" s="5" t="s">
        <v>316</v>
      </c>
      <c r="N72" s="29">
        <v>7.1</v>
      </c>
      <c r="O72" s="5" t="str">
        <f>TEXT(WEEKDAY(master2[[#This Row],[Datum]]),"dddd")</f>
        <v>Wednesday</v>
      </c>
    </row>
    <row r="73" spans="1:15" ht="14.25" customHeight="1">
      <c r="A73" s="5">
        <f>A72+1</f>
        <v>70</v>
      </c>
      <c r="B73" s="5">
        <v>2</v>
      </c>
      <c r="C73" s="5">
        <f t="shared" si="2"/>
        <v>18</v>
      </c>
      <c r="D73" s="28">
        <v>44755</v>
      </c>
      <c r="E73" s="5" t="s">
        <v>18</v>
      </c>
      <c r="F73" s="5" t="s">
        <v>317</v>
      </c>
      <c r="G73" s="5" t="s">
        <v>318</v>
      </c>
      <c r="H73" s="5">
        <v>2022</v>
      </c>
      <c r="I73" s="5" t="s">
        <v>144</v>
      </c>
      <c r="J73" s="37">
        <v>187</v>
      </c>
      <c r="K73" s="17" t="s">
        <v>14</v>
      </c>
      <c r="L73" s="17">
        <f>IFERROR(1/((LEN(master2[[#This Row],[Genres]])-LEN(SUBSTITUTE(master2[[#This Row],[Genres]],"'","")))/2),0)</f>
        <v>0.5</v>
      </c>
      <c r="M73" s="30" t="s">
        <v>319</v>
      </c>
      <c r="N73" s="29">
        <v>8</v>
      </c>
      <c r="O73" s="5" t="str">
        <f>TEXT(WEEKDAY(master2[[#This Row],[Datum]]),"dddd")</f>
        <v>Wednesday</v>
      </c>
    </row>
    <row r="74" spans="1:15">
      <c r="A74" s="5">
        <f>A73+1</f>
        <v>71</v>
      </c>
      <c r="B74" s="5">
        <v>2</v>
      </c>
      <c r="C74" s="5">
        <f t="shared" si="2"/>
        <v>18</v>
      </c>
      <c r="D74" s="28">
        <v>44762</v>
      </c>
      <c r="E74" s="5" t="s">
        <v>23</v>
      </c>
      <c r="F74" s="5" t="s">
        <v>320</v>
      </c>
      <c r="G74" s="5" t="s">
        <v>321</v>
      </c>
      <c r="H74" s="5">
        <v>1997</v>
      </c>
      <c r="I74" s="5" t="s">
        <v>322</v>
      </c>
      <c r="J74" s="37">
        <v>127</v>
      </c>
      <c r="K74" s="17" t="s">
        <v>14</v>
      </c>
      <c r="L74" s="17">
        <f>IFERROR(1/((LEN(master2[[#This Row],[Genres]])-LEN(SUBSTITUTE(master2[[#This Row],[Genres]],"'","")))/2),0)</f>
        <v>0.33333333333333331</v>
      </c>
      <c r="M74" s="5" t="s">
        <v>323</v>
      </c>
      <c r="N74" s="29">
        <v>7.7</v>
      </c>
      <c r="O74" s="5" t="str">
        <f>TEXT(WEEKDAY(master2[[#This Row],[Datum]]),"dddd")</f>
        <v>Wednesday</v>
      </c>
    </row>
    <row r="75" spans="1:15">
      <c r="A75" s="5">
        <f>A74+1</f>
        <v>72</v>
      </c>
      <c r="B75" s="5">
        <v>2</v>
      </c>
      <c r="C75" s="5">
        <f t="shared" si="2"/>
        <v>18</v>
      </c>
      <c r="D75" s="28">
        <v>44769</v>
      </c>
      <c r="E75" s="5" t="s">
        <v>29</v>
      </c>
      <c r="F75" s="5" t="s">
        <v>324</v>
      </c>
      <c r="G75" s="5" t="s">
        <v>325</v>
      </c>
      <c r="H75" s="5">
        <v>2011</v>
      </c>
      <c r="I75" s="5" t="s">
        <v>326</v>
      </c>
      <c r="J75" s="37">
        <v>94</v>
      </c>
      <c r="K75" s="17" t="s">
        <v>22</v>
      </c>
      <c r="L75" s="17">
        <f>IFERROR(1/((LEN(master2[[#This Row],[Genres]])-LEN(SUBSTITUTE(master2[[#This Row],[Genres]],"'","")))/2),0)</f>
        <v>0.33333333333333331</v>
      </c>
      <c r="M75" s="5"/>
      <c r="N75" s="29">
        <v>7.7</v>
      </c>
      <c r="O75" s="5" t="str">
        <f>TEXT(WEEKDAY(master2[[#This Row],[Datum]]),"dddd")</f>
        <v>Wednesday</v>
      </c>
    </row>
    <row r="76" spans="1:15">
      <c r="A76" s="5">
        <f>A75+1</f>
        <v>73</v>
      </c>
      <c r="B76" s="5">
        <v>2</v>
      </c>
      <c r="C76" s="5">
        <f t="shared" ref="C76:C78" si="3">IF(E76="Rick",C75+1,C75)</f>
        <v>18</v>
      </c>
      <c r="D76" s="28">
        <v>44776</v>
      </c>
      <c r="E76" s="5" t="s">
        <v>27</v>
      </c>
      <c r="F76" s="5" t="s">
        <v>327</v>
      </c>
      <c r="G76" s="5" t="s">
        <v>328</v>
      </c>
      <c r="H76" s="5">
        <v>2015</v>
      </c>
      <c r="I76" s="5" t="s">
        <v>218</v>
      </c>
      <c r="J76" s="37">
        <v>95</v>
      </c>
      <c r="K76" s="17" t="s">
        <v>22</v>
      </c>
      <c r="L76" s="17">
        <f>IFERROR(1/((LEN(master2[[#This Row],[Genres]])-LEN(SUBSTITUTE(master2[[#This Row],[Genres]],"'","")))/2),0)</f>
        <v>0.33333333333333331</v>
      </c>
      <c r="M76" s="5"/>
      <c r="N76" s="29">
        <v>7.7</v>
      </c>
      <c r="O76" s="5" t="str">
        <f>TEXT(WEEKDAY(master2[[#This Row],[Datum]]),"dddd")</f>
        <v>Wednesday</v>
      </c>
    </row>
    <row r="77" spans="1:15">
      <c r="A77" s="5">
        <f>A76+1</f>
        <v>74</v>
      </c>
      <c r="B77" s="5">
        <v>2</v>
      </c>
      <c r="C77" s="5">
        <f t="shared" si="3"/>
        <v>19</v>
      </c>
      <c r="D77" s="28">
        <v>44783</v>
      </c>
      <c r="E77" s="5" t="s">
        <v>18</v>
      </c>
      <c r="F77" s="5" t="s">
        <v>329</v>
      </c>
      <c r="G77" s="5" t="s">
        <v>330</v>
      </c>
      <c r="H77" s="5">
        <v>1992</v>
      </c>
      <c r="I77" s="5" t="s">
        <v>331</v>
      </c>
      <c r="J77" s="37">
        <v>126</v>
      </c>
      <c r="K77" s="17" t="s">
        <v>14</v>
      </c>
      <c r="L77" s="17">
        <f>IFERROR(1/((LEN(master2[[#This Row],[Genres]])-LEN(SUBSTITUTE(master2[[#This Row],[Genres]],"'","")))/2),0)</f>
        <v>0.33333333333333331</v>
      </c>
      <c r="M77" s="5"/>
      <c r="N77" s="29">
        <v>7.7</v>
      </c>
      <c r="O77" s="5" t="str">
        <f>TEXT(WEEKDAY(master2[[#This Row],[Datum]]),"dddd")</f>
        <v>Wednesday</v>
      </c>
    </row>
    <row r="78" spans="1:15">
      <c r="A78" s="5">
        <f>A77+1</f>
        <v>75</v>
      </c>
      <c r="B78" s="5" t="s">
        <v>332</v>
      </c>
      <c r="C78" s="5">
        <f t="shared" si="3"/>
        <v>19</v>
      </c>
      <c r="D78" s="28">
        <v>44790</v>
      </c>
      <c r="E78" s="5" t="s">
        <v>23</v>
      </c>
      <c r="F78" s="5" t="s">
        <v>333</v>
      </c>
      <c r="G78" s="5" t="s">
        <v>334</v>
      </c>
      <c r="H78" s="5" t="s">
        <v>335</v>
      </c>
      <c r="I78" s="5" t="s">
        <v>336</v>
      </c>
      <c r="J78" s="37" t="s">
        <v>337</v>
      </c>
      <c r="K78" s="17" t="s">
        <v>22</v>
      </c>
      <c r="L78" s="17">
        <f>IFERROR(1/((LEN(master2[[#This Row],[Genres]])-LEN(SUBSTITUTE(master2[[#This Row],[Genres]],"'","")))/2),0)</f>
        <v>0.2</v>
      </c>
      <c r="M78" s="5"/>
      <c r="N78" s="29">
        <v>7.6</v>
      </c>
      <c r="O78" s="5" t="str">
        <f>TEXT(WEEKDAY(master2[[#This Row],[Datum]]),"dddd")</f>
        <v>Wednesday</v>
      </c>
    </row>
    <row r="79" spans="1:15">
      <c r="A79" s="5">
        <f>A78+1</f>
        <v>76</v>
      </c>
      <c r="B79" s="5" t="s">
        <v>332</v>
      </c>
      <c r="C79" s="5">
        <f>IF(E79="Rick",C80+1,C80)</f>
        <v>19</v>
      </c>
      <c r="D79" s="28">
        <v>44797</v>
      </c>
      <c r="E79" s="5" t="s">
        <v>27</v>
      </c>
      <c r="F79" s="5" t="s">
        <v>338</v>
      </c>
      <c r="G79" s="5" t="s">
        <v>339</v>
      </c>
      <c r="H79" s="5" t="s">
        <v>340</v>
      </c>
      <c r="I79" s="5" t="s">
        <v>331</v>
      </c>
      <c r="J79" s="37" t="s">
        <v>337</v>
      </c>
      <c r="K79" s="17" t="s">
        <v>22</v>
      </c>
      <c r="L79" s="17">
        <f>IFERROR(1/((LEN(master2[[#This Row],[Genres]])-LEN(SUBSTITUTE(master2[[#This Row],[Genres]],"'","")))/2),0)</f>
        <v>0.33333333333333331</v>
      </c>
      <c r="M79" s="5"/>
      <c r="N79" s="29">
        <v>7.6</v>
      </c>
      <c r="O79" s="5" t="str">
        <f>TEXT(WEEKDAY(master2[[#This Row],[Datum]]),"dddd")</f>
        <v>Wednesday</v>
      </c>
    </row>
    <row r="80" spans="1:15">
      <c r="A80" s="5">
        <f>A79+1</f>
        <v>77</v>
      </c>
      <c r="B80" s="5" t="s">
        <v>332</v>
      </c>
      <c r="C80" s="5">
        <f>IF(E80="Rick",C78+1,C78)</f>
        <v>19</v>
      </c>
      <c r="D80" s="28">
        <v>44805</v>
      </c>
      <c r="E80" s="5" t="s">
        <v>29</v>
      </c>
      <c r="F80" s="5" t="s">
        <v>341</v>
      </c>
      <c r="G80" s="5" t="s">
        <v>342</v>
      </c>
      <c r="H80" s="5" t="s">
        <v>343</v>
      </c>
      <c r="I80" s="5" t="s">
        <v>331</v>
      </c>
      <c r="J80" s="37" t="s">
        <v>344</v>
      </c>
      <c r="K80" s="17" t="s">
        <v>22</v>
      </c>
      <c r="L80" s="17">
        <f>IFERROR(1/((LEN(master2[[#This Row],[Genres]])-LEN(SUBSTITUTE(master2[[#This Row],[Genres]],"'","")))/2),0)</f>
        <v>0.33333333333333331</v>
      </c>
      <c r="M80" s="5"/>
      <c r="N80" s="29">
        <v>7.2</v>
      </c>
      <c r="O80" s="5" t="str">
        <f>TEXT(WEEKDAY(master2[[#This Row],[Datum]]),"dddd")</f>
        <v>Thursday</v>
      </c>
    </row>
    <row r="81" spans="1:15">
      <c r="A81" s="5">
        <f>A80+1</f>
        <v>78</v>
      </c>
      <c r="B81" s="5" t="s">
        <v>332</v>
      </c>
      <c r="C81" s="5">
        <f>IF(E81="Rick",C79+1,C79)</f>
        <v>20</v>
      </c>
      <c r="D81" s="28">
        <v>44812</v>
      </c>
      <c r="E81" t="s">
        <v>18</v>
      </c>
      <c r="F81" t="s">
        <v>345</v>
      </c>
      <c r="G81" t="s">
        <v>346</v>
      </c>
      <c r="H81" s="5" t="s">
        <v>347</v>
      </c>
      <c r="I81" s="5" t="s">
        <v>348</v>
      </c>
      <c r="J81" s="37" t="s">
        <v>349</v>
      </c>
      <c r="K81" s="17" t="s">
        <v>14</v>
      </c>
      <c r="L81" s="17">
        <f>IFERROR(1/((LEN(master2[[#This Row],[Genres]])-LEN(SUBSTITUTE(master2[[#This Row],[Genres]],"'","")))/2),0)</f>
        <v>0.25</v>
      </c>
      <c r="N81" s="29">
        <v>7</v>
      </c>
      <c r="O81" s="5" t="str">
        <f>TEXT(WEEKDAY(master2[[#This Row],[Datum]]),"dddd")</f>
        <v>Thursday</v>
      </c>
    </row>
    <row r="82" spans="1:15">
      <c r="A82" s="5">
        <f>A81+1</f>
        <v>79</v>
      </c>
      <c r="B82" s="5">
        <v>2</v>
      </c>
      <c r="C82" s="5">
        <f>IF(E82="Rick",C81+1,C81)</f>
        <v>20</v>
      </c>
      <c r="D82" s="28">
        <v>44818</v>
      </c>
      <c r="E82" s="5" t="s">
        <v>23</v>
      </c>
      <c r="F82" s="5" t="s">
        <v>350</v>
      </c>
      <c r="G82" s="5" t="s">
        <v>351</v>
      </c>
      <c r="H82" s="5">
        <v>2022</v>
      </c>
      <c r="I82" s="5" t="s">
        <v>352</v>
      </c>
      <c r="J82" s="37">
        <v>100</v>
      </c>
      <c r="K82" s="17" t="s">
        <v>14</v>
      </c>
      <c r="L82" s="17">
        <f>IFERROR(1/((LEN(master2[[#This Row],[Genres]])-LEN(SUBSTITUTE(master2[[#This Row],[Genres]],"'","")))/2),0)</f>
        <v>0.125</v>
      </c>
      <c r="M82" s="5"/>
      <c r="N82" s="29">
        <v>6.3</v>
      </c>
      <c r="O82" s="5" t="str">
        <f>TEXT(WEEKDAY(master2[[#This Row],[Datum]]),"dddd")</f>
        <v>Wednesday</v>
      </c>
    </row>
    <row r="83" spans="1:15">
      <c r="A83" s="5">
        <f t="shared" ref="A83" si="4">A82+1</f>
        <v>80</v>
      </c>
      <c r="B83" s="5">
        <v>2</v>
      </c>
      <c r="C83" s="5">
        <f t="shared" ref="C83" si="5">IF(E83="Rick",C82+1,C82)</f>
        <v>20</v>
      </c>
      <c r="D83" s="28">
        <v>44829</v>
      </c>
      <c r="E83" s="5" t="s">
        <v>10</v>
      </c>
      <c r="F83" s="5" t="s">
        <v>353</v>
      </c>
      <c r="G83" s="5" t="s">
        <v>354</v>
      </c>
      <c r="H83" s="5">
        <v>2022</v>
      </c>
      <c r="I83" s="5" t="s">
        <v>355</v>
      </c>
      <c r="J83" s="37">
        <v>131</v>
      </c>
      <c r="K83" s="17" t="s">
        <v>14</v>
      </c>
      <c r="L83" s="17">
        <f>IFERROR(1/((LEN(master2[[#This Row],[Genres]])-LEN(SUBSTITUTE(master2[[#This Row],[Genres]],"'","")))/2),0)</f>
        <v>0.5</v>
      </c>
      <c r="M83" s="5"/>
      <c r="N83" s="29">
        <v>8.4</v>
      </c>
      <c r="O83" s="5" t="str">
        <f>TEXT(WEEKDAY(master2[[#This Row],[Datum]]),"dddd")</f>
        <v>Sunday</v>
      </c>
    </row>
    <row r="84" spans="1:15">
      <c r="A84" s="5">
        <f>A83+1</f>
        <v>81</v>
      </c>
      <c r="B84" s="5">
        <v>2</v>
      </c>
      <c r="C84" s="5">
        <f>IF(E84="Rick",C83+1,C83)</f>
        <v>20</v>
      </c>
      <c r="D84" s="28">
        <v>44832</v>
      </c>
      <c r="E84" s="5" t="s">
        <v>29</v>
      </c>
      <c r="F84" s="5" t="s">
        <v>356</v>
      </c>
      <c r="G84" s="5" t="s">
        <v>357</v>
      </c>
      <c r="H84" s="5">
        <v>1986</v>
      </c>
      <c r="I84" s="5" t="s">
        <v>355</v>
      </c>
      <c r="J84" s="37">
        <v>109</v>
      </c>
      <c r="K84" s="17" t="s">
        <v>14</v>
      </c>
      <c r="L84" s="17">
        <f>IFERROR(1/((LEN(master2[[#This Row],[Genres]])-LEN(SUBSTITUTE(master2[[#This Row],[Genres]],"'","")))/2),0)</f>
        <v>0.5</v>
      </c>
      <c r="M84" s="5"/>
      <c r="N84" s="29">
        <v>6.9</v>
      </c>
      <c r="O84" s="5" t="str">
        <f>TEXT(WEEKDAY(master2[[#This Row],[Datum]]),"dddd")</f>
        <v>Wednesday</v>
      </c>
    </row>
    <row r="85" spans="1:15">
      <c r="A85" s="5">
        <v>82</v>
      </c>
      <c r="B85" s="5">
        <v>2</v>
      </c>
      <c r="C85" s="5">
        <f t="shared" ref="C85:C89" si="6">IF(E85="Rick",C84+1,C84)</f>
        <v>20</v>
      </c>
      <c r="D85" s="28">
        <v>44847</v>
      </c>
      <c r="E85" s="5" t="s">
        <v>27</v>
      </c>
      <c r="F85" s="5" t="s">
        <v>358</v>
      </c>
      <c r="G85" s="5" t="s">
        <v>359</v>
      </c>
      <c r="H85" s="5">
        <v>1992</v>
      </c>
      <c r="I85" s="5" t="s">
        <v>360</v>
      </c>
      <c r="J85" s="37">
        <v>100</v>
      </c>
      <c r="K85" s="17" t="s">
        <v>22</v>
      </c>
      <c r="L85" s="17">
        <f>IFERROR(1/((LEN(master2[[#This Row],[Genres]])-LEN(SUBSTITUTE(master2[[#This Row],[Genres]],"'","")))/2),0)</f>
        <v>0.33333333333333331</v>
      </c>
      <c r="M85" s="5"/>
      <c r="N85" s="29">
        <v>6.5</v>
      </c>
      <c r="O85" s="5" t="str">
        <f>TEXT(WEEKDAY(master2[[#This Row],[Datum]]),"dddd")</f>
        <v>Thursday</v>
      </c>
    </row>
    <row r="86" spans="1:15">
      <c r="A86" s="5">
        <v>83</v>
      </c>
      <c r="B86" s="5">
        <v>2</v>
      </c>
      <c r="C86" s="5">
        <f t="shared" si="6"/>
        <v>21</v>
      </c>
      <c r="D86" s="28">
        <v>44855</v>
      </c>
      <c r="E86" s="5" t="s">
        <v>18</v>
      </c>
      <c r="F86" s="5" t="s">
        <v>361</v>
      </c>
      <c r="G86" s="5" t="s">
        <v>362</v>
      </c>
      <c r="H86" s="5">
        <v>1999</v>
      </c>
      <c r="I86" s="5" t="s">
        <v>363</v>
      </c>
      <c r="J86" s="37">
        <v>100</v>
      </c>
      <c r="K86" s="17" t="s">
        <v>14</v>
      </c>
      <c r="L86" s="17">
        <f>IFERROR(1/((LEN(master2[[#This Row],[Genres]])-LEN(SUBSTITUTE(master2[[#This Row],[Genres]],"'","")))/2),0)</f>
        <v>0.4</v>
      </c>
      <c r="M86" s="5"/>
      <c r="N86" s="29">
        <v>7.4</v>
      </c>
      <c r="O86" s="5" t="str">
        <f>TEXT(WEEKDAY(master2[[#This Row],[Datum]]),"dddd")</f>
        <v>Friday</v>
      </c>
    </row>
    <row r="87" spans="1:15">
      <c r="A87" s="5">
        <v>84</v>
      </c>
      <c r="B87" s="5">
        <v>2</v>
      </c>
      <c r="C87" s="5">
        <f t="shared" si="6"/>
        <v>21</v>
      </c>
      <c r="D87" s="28">
        <v>44860</v>
      </c>
      <c r="E87" s="5" t="s">
        <v>23</v>
      </c>
      <c r="F87" s="5" t="s">
        <v>364</v>
      </c>
      <c r="G87" s="5" t="s">
        <v>365</v>
      </c>
      <c r="H87" s="5">
        <v>2003</v>
      </c>
      <c r="I87" s="5" t="s">
        <v>243</v>
      </c>
      <c r="J87" s="37">
        <v>111</v>
      </c>
      <c r="K87" s="17" t="s">
        <v>22</v>
      </c>
      <c r="L87" s="17">
        <f>IFERROR(1/((LEN(master2[[#This Row],[Genres]])-LEN(SUBSTITUTE(master2[[#This Row],[Genres]],"'","")))/2),0)</f>
        <v>0.25</v>
      </c>
      <c r="M87" s="5"/>
      <c r="N87" s="29">
        <v>8.1999999999999993</v>
      </c>
      <c r="O87" s="5" t="str">
        <f>TEXT(WEEKDAY(master2[[#This Row],[Datum]]),"dddd")</f>
        <v>Wednesday</v>
      </c>
    </row>
    <row r="88" spans="1:15">
      <c r="A88" s="5">
        <v>85</v>
      </c>
      <c r="B88" s="5">
        <v>2</v>
      </c>
      <c r="C88" s="5">
        <f t="shared" si="6"/>
        <v>21</v>
      </c>
      <c r="D88" s="28">
        <v>44867</v>
      </c>
      <c r="E88" s="5" t="s">
        <v>27</v>
      </c>
      <c r="F88" s="5" t="s">
        <v>366</v>
      </c>
      <c r="G88" s="5" t="s">
        <v>367</v>
      </c>
      <c r="H88" s="5">
        <v>2004</v>
      </c>
      <c r="I88" s="5" t="s">
        <v>331</v>
      </c>
      <c r="J88" s="37">
        <v>137</v>
      </c>
      <c r="K88" s="17" t="s">
        <v>22</v>
      </c>
      <c r="L88" s="17">
        <f>IFERROR(1/((LEN(master2[[#This Row],[Genres]])-LEN(SUBSTITUTE(master2[[#This Row],[Genres]],"'","")))/2),0)</f>
        <v>0.33333333333333331</v>
      </c>
      <c r="M88" s="5"/>
      <c r="N88" s="29">
        <v>8</v>
      </c>
      <c r="O88" s="5" t="str">
        <f>TEXT(WEEKDAY(master2[[#This Row],[Datum]]),"dddd")</f>
        <v>Wednesday</v>
      </c>
    </row>
    <row r="89" spans="1:15">
      <c r="A89" s="5">
        <v>86</v>
      </c>
      <c r="B89" s="5">
        <v>2</v>
      </c>
      <c r="C89" s="5">
        <f t="shared" si="6"/>
        <v>21</v>
      </c>
      <c r="D89" s="28">
        <v>44872</v>
      </c>
      <c r="E89" s="5" t="s">
        <v>29</v>
      </c>
      <c r="F89" s="5" t="s">
        <v>368</v>
      </c>
      <c r="G89" s="5" t="s">
        <v>369</v>
      </c>
      <c r="H89" s="5">
        <v>2010</v>
      </c>
      <c r="I89" s="5" t="s">
        <v>218</v>
      </c>
      <c r="J89" s="37">
        <v>97</v>
      </c>
      <c r="K89" s="17" t="s">
        <v>14</v>
      </c>
      <c r="L89" s="17">
        <f>IFERROR(1/((LEN(master2[[#This Row],[Genres]])-LEN(SUBSTITUTE(master2[[#This Row],[Genres]],"'","")))/2),0)</f>
        <v>0.33333333333333331</v>
      </c>
      <c r="M89" s="5"/>
      <c r="N89" s="29">
        <v>7.3</v>
      </c>
      <c r="O89" s="5" t="str">
        <f>TEXT(WEEKDAY(master2[[#This Row],[Datum]]),"dddd")</f>
        <v>Monday</v>
      </c>
    </row>
    <row r="90" spans="1:15">
      <c r="A90" s="5">
        <v>87</v>
      </c>
      <c r="B90" s="5">
        <v>2</v>
      </c>
      <c r="C90" s="5">
        <f t="shared" ref="C90" si="7">IF(E90="Rick",C89+1,C89)</f>
        <v>22</v>
      </c>
      <c r="D90" s="28">
        <v>44881</v>
      </c>
      <c r="E90" s="5" t="s">
        <v>18</v>
      </c>
      <c r="F90" s="5" t="s">
        <v>370</v>
      </c>
      <c r="G90" s="5" t="s">
        <v>371</v>
      </c>
      <c r="H90" s="5">
        <v>2004</v>
      </c>
      <c r="I90" s="5" t="s">
        <v>372</v>
      </c>
      <c r="J90" s="37">
        <v>77</v>
      </c>
      <c r="K90" s="17" t="s">
        <v>14</v>
      </c>
      <c r="L90" s="17">
        <f>IFERROR(1/((LEN(master2[[#This Row],[Genres]])-LEN(SUBSTITUTE(master2[[#This Row],[Genres]],"'","")))/2),0)</f>
        <v>0.33333333333333331</v>
      </c>
      <c r="M90" s="5"/>
      <c r="N90" s="29">
        <v>6.8</v>
      </c>
      <c r="O90" s="5" t="str">
        <f>TEXT(WEEKDAY(master2[[#This Row],[Datum]]),"dddd")</f>
        <v>Wednesday</v>
      </c>
    </row>
    <row r="91" spans="1:15">
      <c r="A91" s="5">
        <v>88</v>
      </c>
      <c r="B91" s="5">
        <v>2</v>
      </c>
      <c r="C91" s="5">
        <f t="shared" ref="C91:C96" si="8">IF(E91="Rick",C90+1,C90)</f>
        <v>22</v>
      </c>
      <c r="D91" s="28">
        <v>44888</v>
      </c>
      <c r="E91" s="5" t="s">
        <v>23</v>
      </c>
      <c r="F91" s="5" t="s">
        <v>373</v>
      </c>
      <c r="G91" s="5" t="s">
        <v>374</v>
      </c>
      <c r="H91" s="5">
        <v>2022</v>
      </c>
      <c r="I91" s="5" t="s">
        <v>375</v>
      </c>
      <c r="J91" s="37">
        <v>147</v>
      </c>
      <c r="K91" s="17" t="s">
        <v>14</v>
      </c>
      <c r="L91" s="17">
        <f>IFERROR(1/((LEN(master2[[#This Row],[Genres]])-LEN(SUBSTITUTE(master2[[#This Row],[Genres]],"'","")))/2),0)</f>
        <v>0.33333333333333331</v>
      </c>
      <c r="M91" s="5"/>
      <c r="N91" s="29">
        <v>7.8</v>
      </c>
      <c r="O91" s="5" t="str">
        <f>TEXT(WEEKDAY(master2[[#This Row],[Datum]]),"dddd")</f>
        <v>Wednesday</v>
      </c>
    </row>
    <row r="92" spans="1:15">
      <c r="A92" s="5">
        <v>89</v>
      </c>
      <c r="B92" s="5">
        <v>2</v>
      </c>
      <c r="C92" s="5">
        <f t="shared" si="8"/>
        <v>22</v>
      </c>
      <c r="D92" s="28">
        <v>44895</v>
      </c>
      <c r="E92" s="5" t="s">
        <v>27</v>
      </c>
      <c r="F92" s="5" t="s">
        <v>376</v>
      </c>
      <c r="G92" s="5" t="s">
        <v>377</v>
      </c>
      <c r="H92" s="5">
        <v>2018</v>
      </c>
      <c r="I92" s="5" t="s">
        <v>378</v>
      </c>
      <c r="J92" s="37">
        <v>130</v>
      </c>
      <c r="K92" s="17" t="s">
        <v>14</v>
      </c>
      <c r="L92" s="17">
        <f>IFERROR(1/((LEN(master2[[#This Row],[Genres]])-LEN(SUBSTITUTE(master2[[#This Row],[Genres]],"'","")))/2),0)</f>
        <v>0.33333333333333331</v>
      </c>
      <c r="M92" s="5"/>
      <c r="N92" s="29">
        <v>8.1999999999999993</v>
      </c>
      <c r="O92" s="5" t="str">
        <f>TEXT(WEEKDAY(master2[[#This Row],[Datum]]),"dddd")</f>
        <v>Wednesday</v>
      </c>
    </row>
    <row r="93" spans="1:15">
      <c r="A93" s="5">
        <v>90</v>
      </c>
      <c r="B93" s="5">
        <v>2</v>
      </c>
      <c r="C93" s="5">
        <f t="shared" si="8"/>
        <v>22</v>
      </c>
      <c r="D93" s="28">
        <v>44902</v>
      </c>
      <c r="E93" s="5" t="s">
        <v>29</v>
      </c>
      <c r="F93" s="5" t="s">
        <v>379</v>
      </c>
      <c r="G93" s="5" t="s">
        <v>380</v>
      </c>
      <c r="H93" s="5">
        <v>1992</v>
      </c>
      <c r="I93" s="5" t="s">
        <v>93</v>
      </c>
      <c r="J93" s="37">
        <v>115</v>
      </c>
      <c r="K93" s="17" t="s">
        <v>22</v>
      </c>
      <c r="L93" s="17">
        <f>IFERROR(1/((LEN(master2[[#This Row],[Genres]])-LEN(SUBSTITUTE(master2[[#This Row],[Genres]],"'","")))/2),0)</f>
        <v>0.33333333333333331</v>
      </c>
      <c r="M93" s="5"/>
      <c r="N93" s="29">
        <v>6.7</v>
      </c>
      <c r="O93" s="5" t="str">
        <f>TEXT(WEEKDAY(master2[[#This Row],[Datum]]),"dddd")</f>
        <v>Wednesday</v>
      </c>
    </row>
    <row r="94" spans="1:15">
      <c r="A94" s="5">
        <v>91</v>
      </c>
      <c r="B94" s="5">
        <v>2</v>
      </c>
      <c r="C94" s="5">
        <f t="shared" si="8"/>
        <v>23</v>
      </c>
      <c r="D94" s="28">
        <v>44910</v>
      </c>
      <c r="E94" s="5" t="s">
        <v>18</v>
      </c>
      <c r="F94" s="5" t="s">
        <v>381</v>
      </c>
      <c r="G94" s="5" t="s">
        <v>382</v>
      </c>
      <c r="H94" s="5">
        <v>1996</v>
      </c>
      <c r="I94" s="5" t="s">
        <v>383</v>
      </c>
      <c r="J94" s="37">
        <v>89</v>
      </c>
      <c r="K94" s="17" t="s">
        <v>14</v>
      </c>
      <c r="L94" s="17">
        <f>IFERROR(1/((LEN(master2[[#This Row],[Genres]])-LEN(SUBSTITUTE(master2[[#This Row],[Genres]],"'","")))/2),0)</f>
        <v>0.33333333333333331</v>
      </c>
      <c r="M94" s="5"/>
      <c r="N94" s="29">
        <v>5.7</v>
      </c>
      <c r="O94" s="5" t="str">
        <f>TEXT(WEEKDAY(master2[[#This Row],[Datum]]),"dddd")</f>
        <v>Thursday</v>
      </c>
    </row>
    <row r="95" spans="1:15">
      <c r="A95" s="5">
        <v>92</v>
      </c>
      <c r="B95" s="5">
        <v>2</v>
      </c>
      <c r="C95" s="5">
        <f t="shared" si="8"/>
        <v>23</v>
      </c>
      <c r="D95" s="28">
        <v>44918</v>
      </c>
      <c r="E95" s="5" t="s">
        <v>23</v>
      </c>
      <c r="F95" s="5" t="s">
        <v>384</v>
      </c>
      <c r="G95" s="5" t="s">
        <v>385</v>
      </c>
      <c r="H95" s="5">
        <v>2022</v>
      </c>
      <c r="I95" s="5" t="s">
        <v>386</v>
      </c>
      <c r="J95" s="37">
        <v>127</v>
      </c>
      <c r="K95" s="17" t="s">
        <v>14</v>
      </c>
      <c r="L95" s="17">
        <f>IFERROR(1/((LEN(master2[[#This Row],[Genres]])-LEN(SUBSTITUTE(master2[[#This Row],[Genres]],"'","")))/2),0)</f>
        <v>0.33333333333333331</v>
      </c>
      <c r="M95" s="5"/>
      <c r="N95" s="29">
        <v>6.6</v>
      </c>
      <c r="O95" s="5" t="str">
        <f>TEXT(WEEKDAY(master2[[#This Row],[Datum]]),"dddd")</f>
        <v>Friday</v>
      </c>
    </row>
    <row r="96" spans="1:15">
      <c r="A96" s="5">
        <v>93</v>
      </c>
      <c r="B96" s="5">
        <v>2</v>
      </c>
      <c r="C96" s="5">
        <f t="shared" si="8"/>
        <v>23</v>
      </c>
      <c r="D96" s="28">
        <v>44924</v>
      </c>
      <c r="E96" s="5" t="s">
        <v>27</v>
      </c>
      <c r="F96" s="5" t="s">
        <v>387</v>
      </c>
      <c r="G96" s="5" t="s">
        <v>388</v>
      </c>
      <c r="H96" s="5">
        <v>2001</v>
      </c>
      <c r="I96" s="5" t="s">
        <v>389</v>
      </c>
      <c r="J96" s="37">
        <v>131</v>
      </c>
      <c r="K96" s="17" t="s">
        <v>22</v>
      </c>
      <c r="L96" s="17">
        <f>IFERROR(1/((LEN(master2[[#This Row],[Genres]])-LEN(SUBSTITUTE(master2[[#This Row],[Genres]],"'","")))/2),0)</f>
        <v>0.33333333333333331</v>
      </c>
      <c r="M96" s="5"/>
      <c r="N96" s="29">
        <v>6.9</v>
      </c>
      <c r="O96" s="5" t="str">
        <f>TEXT(WEEKDAY(master2[[#This Row],[Datum]]),"dddd")</f>
        <v>Thursday</v>
      </c>
    </row>
    <row r="97" spans="1:15">
      <c r="A97" s="5">
        <v>94</v>
      </c>
      <c r="B97" s="5">
        <v>2</v>
      </c>
      <c r="C97" s="5">
        <f t="shared" ref="C97:C104" si="9">IF(E97="Rick",C96+1,C96)</f>
        <v>23</v>
      </c>
      <c r="D97" s="28">
        <v>44930</v>
      </c>
      <c r="E97" s="5" t="s">
        <v>29</v>
      </c>
      <c r="F97" s="5" t="s">
        <v>390</v>
      </c>
      <c r="G97" s="5" t="s">
        <v>391</v>
      </c>
      <c r="H97" s="5">
        <v>2019</v>
      </c>
      <c r="I97" s="5" t="s">
        <v>392</v>
      </c>
      <c r="J97" s="37">
        <v>109</v>
      </c>
      <c r="K97" s="17" t="s">
        <v>14</v>
      </c>
      <c r="L97" s="17">
        <f>IFERROR(1/((LEN(master2[[#This Row],[Genres]])-LEN(SUBSTITUTE(master2[[#This Row],[Genres]],"'","")))/2),0)</f>
        <v>0.2</v>
      </c>
      <c r="M97" s="5"/>
      <c r="N97" s="29">
        <v>7.4</v>
      </c>
      <c r="O97" s="5" t="str">
        <f>TEXT(WEEKDAY(master2[[#This Row],[Datum]]),"dddd")</f>
        <v>Wednesday</v>
      </c>
    </row>
    <row r="98" spans="1:15">
      <c r="A98" s="5">
        <v>95</v>
      </c>
      <c r="B98" s="5">
        <v>2</v>
      </c>
      <c r="C98" s="5">
        <f t="shared" si="9"/>
        <v>24</v>
      </c>
      <c r="D98" s="28">
        <v>44936</v>
      </c>
      <c r="E98" s="5" t="s">
        <v>18</v>
      </c>
      <c r="F98" s="5" t="s">
        <v>393</v>
      </c>
      <c r="G98" s="5" t="s">
        <v>394</v>
      </c>
      <c r="H98" s="5">
        <v>2002</v>
      </c>
      <c r="I98" s="5" t="s">
        <v>395</v>
      </c>
      <c r="J98" s="37">
        <v>81</v>
      </c>
      <c r="K98" s="17" t="s">
        <v>14</v>
      </c>
      <c r="L98" s="17">
        <f>IFERROR(1/((LEN(master2[[#This Row],[Genres]])-LEN(SUBSTITUTE(master2[[#This Row],[Genres]],"'","")))/2),0)</f>
        <v>0.5</v>
      </c>
      <c r="M98" s="5"/>
      <c r="N98" s="29">
        <v>6.2</v>
      </c>
      <c r="O98" s="5" t="str">
        <f>TEXT(WEEKDAY(master2[[#This Row],[Datum]]),"dddd")</f>
        <v>Tuesday</v>
      </c>
    </row>
    <row r="99" spans="1:15">
      <c r="A99" s="5">
        <v>96</v>
      </c>
      <c r="B99" s="5">
        <v>2</v>
      </c>
      <c r="C99" s="5">
        <f t="shared" si="9"/>
        <v>24</v>
      </c>
      <c r="D99" s="28">
        <v>44943</v>
      </c>
      <c r="E99" s="5" t="s">
        <v>23</v>
      </c>
      <c r="F99" s="5" t="s">
        <v>396</v>
      </c>
      <c r="G99" s="5" t="s">
        <v>397</v>
      </c>
      <c r="H99" s="5">
        <v>1988</v>
      </c>
      <c r="I99" s="5" t="s">
        <v>398</v>
      </c>
      <c r="J99" s="37">
        <v>108</v>
      </c>
      <c r="K99" s="17" t="s">
        <v>14</v>
      </c>
      <c r="L99" s="17">
        <f>IFERROR(1/((LEN(master2[[#This Row],[Genres]])-LEN(SUBSTITUTE(master2[[#This Row],[Genres]],"'","")))/2),0)</f>
        <v>0.5</v>
      </c>
      <c r="M99" s="5"/>
      <c r="N99" s="29">
        <v>7.5</v>
      </c>
      <c r="O99" s="5" t="str">
        <f>TEXT(WEEKDAY(master2[[#This Row],[Datum]]),"dddd")</f>
        <v>Tuesday</v>
      </c>
    </row>
    <row r="100" spans="1:15">
      <c r="A100" s="5">
        <v>97</v>
      </c>
      <c r="B100" s="5">
        <v>2</v>
      </c>
      <c r="C100" s="5">
        <f t="shared" si="9"/>
        <v>24</v>
      </c>
      <c r="D100" s="28">
        <v>44951</v>
      </c>
      <c r="E100" s="5" t="s">
        <v>27</v>
      </c>
      <c r="F100" s="5" t="s">
        <v>399</v>
      </c>
      <c r="G100" s="5" t="s">
        <v>400</v>
      </c>
      <c r="H100" s="5">
        <v>2014</v>
      </c>
      <c r="I100" s="5" t="s">
        <v>331</v>
      </c>
      <c r="J100" s="37">
        <v>132</v>
      </c>
      <c r="K100" s="17" t="s">
        <v>22</v>
      </c>
      <c r="L100" s="17">
        <f>IFERROR(1/((LEN(master2[[#This Row],[Genres]])-LEN(SUBSTITUTE(master2[[#This Row],[Genres]],"'","")))/2),0)</f>
        <v>0.33333333333333331</v>
      </c>
      <c r="M100" s="5"/>
      <c r="N100" s="29">
        <v>7.2</v>
      </c>
      <c r="O100" s="5" t="str">
        <f>TEXT(WEEKDAY(master2[[#This Row],[Datum]]),"dddd")</f>
        <v>Wednesday</v>
      </c>
    </row>
    <row r="101" spans="1:15">
      <c r="A101" s="5">
        <v>98</v>
      </c>
      <c r="B101" s="5">
        <v>2</v>
      </c>
      <c r="C101" s="5">
        <f t="shared" si="9"/>
        <v>24</v>
      </c>
      <c r="D101" s="28">
        <v>44958</v>
      </c>
      <c r="E101" s="5" t="s">
        <v>29</v>
      </c>
      <c r="F101" s="5" t="s">
        <v>401</v>
      </c>
      <c r="G101" s="5" t="s">
        <v>402</v>
      </c>
      <c r="H101" s="5">
        <v>1992</v>
      </c>
      <c r="I101" s="5" t="s">
        <v>403</v>
      </c>
      <c r="J101" s="37">
        <v>81</v>
      </c>
      <c r="K101" s="17" t="s">
        <v>14</v>
      </c>
      <c r="L101" s="17">
        <f>IFERROR(1/((LEN(master2[[#This Row],[Genres]])-LEN(SUBSTITUTE(master2[[#This Row],[Genres]],"'","")))/2),0)</f>
        <v>0.5</v>
      </c>
      <c r="M101" s="5"/>
      <c r="N101" s="29">
        <v>7.4</v>
      </c>
      <c r="O101" s="5" t="str">
        <f>TEXT(WEEKDAY(master2[[#This Row],[Datum]]),"dddd")</f>
        <v>Wednesday</v>
      </c>
    </row>
    <row r="102" spans="1:15">
      <c r="A102" s="5">
        <v>99</v>
      </c>
      <c r="B102" s="5">
        <v>2</v>
      </c>
      <c r="C102" s="5">
        <f t="shared" si="9"/>
        <v>25</v>
      </c>
      <c r="D102" s="28">
        <v>44965</v>
      </c>
      <c r="E102" s="5" t="s">
        <v>18</v>
      </c>
      <c r="F102" s="5" t="s">
        <v>404</v>
      </c>
      <c r="G102" s="5" t="s">
        <v>405</v>
      </c>
      <c r="H102" s="5">
        <v>2016</v>
      </c>
      <c r="I102" s="5" t="s">
        <v>406</v>
      </c>
      <c r="J102" s="37">
        <v>118</v>
      </c>
      <c r="K102" s="17" t="s">
        <v>14</v>
      </c>
      <c r="L102" s="17">
        <f>IFERROR(1/((LEN(master2[[#This Row],[Genres]])-LEN(SUBSTITUTE(master2[[#This Row],[Genres]],"'","")))/2),0)</f>
        <v>0.33333333333333331</v>
      </c>
      <c r="M102" s="5"/>
      <c r="N102" s="29">
        <v>7.6</v>
      </c>
      <c r="O102" s="5" t="str">
        <f>TEXT(WEEKDAY(master2[[#This Row],[Datum]]),"dddd")</f>
        <v>Wednesday</v>
      </c>
    </row>
    <row r="103" spans="1:15">
      <c r="A103" s="5">
        <v>100</v>
      </c>
      <c r="B103" s="5">
        <v>2</v>
      </c>
      <c r="C103" s="5">
        <f t="shared" si="9"/>
        <v>25</v>
      </c>
      <c r="D103" s="28">
        <v>44972</v>
      </c>
      <c r="E103" s="5" t="s">
        <v>23</v>
      </c>
      <c r="F103" s="5" t="s">
        <v>407</v>
      </c>
      <c r="G103" s="5" t="s">
        <v>408</v>
      </c>
      <c r="H103" s="5">
        <v>2021</v>
      </c>
      <c r="I103" s="5" t="s">
        <v>218</v>
      </c>
      <c r="J103" s="37">
        <v>133</v>
      </c>
      <c r="K103" s="17" t="s">
        <v>14</v>
      </c>
      <c r="L103" s="17">
        <f>IFERROR(1/((LEN(master2[[#This Row],[Genres]])-LEN(SUBSTITUTE(master2[[#This Row],[Genres]],"'","")))/2),0)</f>
        <v>0.33333333333333331</v>
      </c>
      <c r="M103" s="5"/>
      <c r="N103" s="29">
        <v>7.2</v>
      </c>
      <c r="O103" s="5" t="str">
        <f>TEXT(WEEKDAY(master2[[#This Row],[Datum]]),"dddd")</f>
        <v>Wednesday</v>
      </c>
    </row>
    <row r="104" spans="1:15">
      <c r="A104" s="5">
        <v>101</v>
      </c>
      <c r="B104" s="5">
        <v>2</v>
      </c>
      <c r="C104" s="5">
        <f t="shared" si="9"/>
        <v>25</v>
      </c>
      <c r="D104" s="28">
        <v>44979</v>
      </c>
      <c r="E104" s="5" t="s">
        <v>27</v>
      </c>
      <c r="F104" s="5" t="s">
        <v>409</v>
      </c>
      <c r="G104" s="5" t="s">
        <v>410</v>
      </c>
      <c r="H104" s="5">
        <v>1997</v>
      </c>
      <c r="I104" s="5" t="s">
        <v>106</v>
      </c>
      <c r="J104" s="37">
        <v>129</v>
      </c>
      <c r="K104" s="17" t="s">
        <v>22</v>
      </c>
      <c r="L104" s="17">
        <f>IFERROR(1/((LEN(master2[[#This Row],[Genres]])-LEN(SUBSTITUTE(master2[[#This Row],[Genres]],"'","")))/2),0)</f>
        <v>0.25</v>
      </c>
      <c r="M104" s="5"/>
      <c r="N104" s="29">
        <v>7.3</v>
      </c>
      <c r="O104" s="5" t="str">
        <f>TEXT(WEEKDAY(master2[[#This Row],[Datum]]),"dddd")</f>
        <v>Wednesday</v>
      </c>
    </row>
    <row r="105" spans="1:15">
      <c r="A105" s="5">
        <v>102</v>
      </c>
      <c r="B105" s="5">
        <v>2</v>
      </c>
      <c r="C105" s="5">
        <f>IF(E105="Rick",C104+1,C104)</f>
        <v>25</v>
      </c>
      <c r="D105" s="28">
        <v>44986</v>
      </c>
      <c r="E105" s="5" t="s">
        <v>29</v>
      </c>
      <c r="F105" s="5" t="s">
        <v>411</v>
      </c>
      <c r="G105" s="5" t="s">
        <v>412</v>
      </c>
      <c r="H105" s="5">
        <v>1988</v>
      </c>
      <c r="I105" s="5" t="s">
        <v>413</v>
      </c>
      <c r="J105" s="37">
        <v>94</v>
      </c>
      <c r="K105" s="17" t="s">
        <v>14</v>
      </c>
      <c r="L105" s="17">
        <f>IFERROR(1/((LEN(master2[[#This Row],[Genres]])-LEN(SUBSTITUTE(master2[[#This Row],[Genres]],"'","")))/2),0)</f>
        <v>0.25</v>
      </c>
      <c r="M105" s="5"/>
      <c r="N105" s="29">
        <v>7.2</v>
      </c>
      <c r="O105" s="5" t="str">
        <f>TEXT(WEEKDAY(master2[[#This Row],[Datum]]),"dddd")</f>
        <v>Wednesday</v>
      </c>
    </row>
    <row r="106" spans="1:15">
      <c r="A106" s="5">
        <v>103</v>
      </c>
      <c r="B106" s="5">
        <v>3</v>
      </c>
      <c r="C106" s="5">
        <f>IF(E106="Rick",C105+1,C105)</f>
        <v>25</v>
      </c>
      <c r="D106" s="28">
        <v>44993</v>
      </c>
      <c r="E106" s="5" t="s">
        <v>10</v>
      </c>
      <c r="F106" s="5" t="s">
        <v>414</v>
      </c>
      <c r="G106" s="5" t="s">
        <v>415</v>
      </c>
      <c r="H106" s="5">
        <v>2023</v>
      </c>
      <c r="I106" s="5" t="s">
        <v>97</v>
      </c>
      <c r="J106" s="37">
        <v>22</v>
      </c>
      <c r="K106" s="17" t="s">
        <v>14</v>
      </c>
      <c r="L106" s="17">
        <f>IFERROR(1/((LEN(master2[[#This Row],[Genres]])-LEN(SUBSTITUTE(master2[[#This Row],[Genres]],"'","")))/2),0)</f>
        <v>0.5</v>
      </c>
      <c r="M106" s="5"/>
      <c r="N106" s="29">
        <v>7.7</v>
      </c>
      <c r="O106" s="5" t="str">
        <f>TEXT(WEEKDAY(master2[[#This Row],[Datum]]),"dddd")</f>
        <v>Wednesday</v>
      </c>
    </row>
    <row r="107" spans="1:15">
      <c r="A107" s="5">
        <v>104</v>
      </c>
      <c r="B107" s="5">
        <v>3</v>
      </c>
      <c r="C107" s="5">
        <f>IF(E107="Rick",C106+1,C106)</f>
        <v>26</v>
      </c>
      <c r="D107" s="28">
        <v>45000</v>
      </c>
      <c r="E107" s="5" t="s">
        <v>18</v>
      </c>
      <c r="F107" s="5" t="s">
        <v>416</v>
      </c>
      <c r="G107" s="5" t="s">
        <v>417</v>
      </c>
      <c r="H107" s="5">
        <v>2006</v>
      </c>
      <c r="I107" s="5" t="s">
        <v>418</v>
      </c>
      <c r="J107" s="37">
        <v>84</v>
      </c>
      <c r="K107" s="17" t="s">
        <v>14</v>
      </c>
      <c r="L107" s="17">
        <f>IFERROR(1/((LEN(master2[[#This Row],[Genres]])-LEN(SUBSTITUTE(master2[[#This Row],[Genres]],"'","")))/2),0)</f>
        <v>0.33333333333333331</v>
      </c>
      <c r="M107" s="5"/>
      <c r="N107" s="29">
        <v>6.5</v>
      </c>
      <c r="O107" s="5" t="str">
        <f>TEXT(WEEKDAY(master2[[#This Row],[Datum]]),"dddd")</f>
        <v>Wednesday</v>
      </c>
    </row>
    <row r="108" spans="1:15">
      <c r="A108" s="5">
        <v>105</v>
      </c>
      <c r="B108" s="5">
        <v>3</v>
      </c>
      <c r="C108" s="5">
        <f>IF(E108="Rick",C107+1,C107)</f>
        <v>26</v>
      </c>
      <c r="D108" s="28">
        <v>45008</v>
      </c>
      <c r="E108" s="5" t="s">
        <v>23</v>
      </c>
      <c r="F108" s="5" t="s">
        <v>419</v>
      </c>
      <c r="G108" s="5" t="s">
        <v>420</v>
      </c>
      <c r="H108" s="5">
        <v>2018</v>
      </c>
      <c r="I108" s="5" t="s">
        <v>243</v>
      </c>
      <c r="J108" s="37">
        <v>158</v>
      </c>
      <c r="K108" s="17" t="s">
        <v>14</v>
      </c>
      <c r="L108" s="17">
        <f>IFERROR(1/((LEN(master2[[#This Row],[Genres]])-LEN(SUBSTITUTE(master2[[#This Row],[Genres]],"'","")))/2),0)</f>
        <v>0.25</v>
      </c>
      <c r="M108" s="5"/>
      <c r="N108" s="29">
        <v>6.9</v>
      </c>
      <c r="O108" s="5" t="str">
        <f>TEXT(WEEKDAY(master2[[#This Row],[Datum]]),"dddd")</f>
        <v>Thursday</v>
      </c>
    </row>
    <row r="109" spans="1:15">
      <c r="A109" s="5">
        <v>106</v>
      </c>
      <c r="B109" s="5">
        <v>3</v>
      </c>
      <c r="C109" s="5">
        <f>IF(E109="Rick",C108+1,C108)</f>
        <v>26</v>
      </c>
      <c r="D109" s="28">
        <v>45014</v>
      </c>
      <c r="E109" s="5" t="s">
        <v>27</v>
      </c>
      <c r="F109" s="5" t="s">
        <v>421</v>
      </c>
      <c r="G109" s="5" t="s">
        <v>422</v>
      </c>
      <c r="H109" s="5">
        <v>2016</v>
      </c>
      <c r="I109" s="5" t="s">
        <v>423</v>
      </c>
      <c r="J109" s="37">
        <v>139</v>
      </c>
      <c r="K109" s="17" t="s">
        <v>22</v>
      </c>
      <c r="L109" s="17">
        <f>IFERROR(1/((LEN(master2[[#This Row],[Genres]])-LEN(SUBSTITUTE(master2[[#This Row],[Genres]],"'","")))/2),0)</f>
        <v>0.25</v>
      </c>
      <c r="M109" s="5"/>
      <c r="N109" s="29">
        <v>8.1</v>
      </c>
      <c r="O109" s="5" t="str">
        <f>TEXT(WEEKDAY(master2[[#This Row],[Datum]]),"dddd")</f>
        <v>Wednesday</v>
      </c>
    </row>
    <row r="110" spans="1:15">
      <c r="A110" s="5">
        <v>107</v>
      </c>
      <c r="B110" s="5">
        <v>3</v>
      </c>
      <c r="C110" s="5">
        <f>IF(E110="Rick",C109+1,C109)</f>
        <v>26</v>
      </c>
      <c r="D110" s="28">
        <v>45021</v>
      </c>
      <c r="E110" s="5" t="s">
        <v>29</v>
      </c>
      <c r="F110" s="5" t="s">
        <v>424</v>
      </c>
      <c r="G110" s="5" t="s">
        <v>425</v>
      </c>
      <c r="H110" s="5">
        <v>2022</v>
      </c>
      <c r="I110" s="5" t="s">
        <v>224</v>
      </c>
      <c r="J110" s="37">
        <v>107</v>
      </c>
      <c r="K110" s="17" t="s">
        <v>14</v>
      </c>
      <c r="L110" s="17">
        <f>IFERROR(1/((LEN(master2[[#This Row],[Genres]])-LEN(SUBSTITUTE(master2[[#This Row],[Genres]],"'","")))/2),0)</f>
        <v>0.25</v>
      </c>
      <c r="M110" s="5"/>
      <c r="N110" s="29">
        <v>7</v>
      </c>
      <c r="O110" s="5" t="str">
        <f>TEXT(WEEKDAY(master2[[#This Row],[Datum]]),"dddd")</f>
        <v>Wednesday</v>
      </c>
    </row>
    <row r="111" spans="1:15">
      <c r="A111" s="5">
        <v>108</v>
      </c>
      <c r="B111" s="5">
        <v>3</v>
      </c>
      <c r="C111" s="5">
        <f>IF(E111="Rick",C110+1,C110)</f>
        <v>27</v>
      </c>
      <c r="D111" s="28">
        <v>45028</v>
      </c>
      <c r="E111" s="5" t="s">
        <v>18</v>
      </c>
      <c r="F111" s="5" t="s">
        <v>426</v>
      </c>
      <c r="G111" s="5" t="s">
        <v>427</v>
      </c>
      <c r="H111" s="5">
        <v>2009</v>
      </c>
      <c r="I111" s="5" t="s">
        <v>218</v>
      </c>
      <c r="J111" s="37">
        <v>116</v>
      </c>
      <c r="K111" s="17" t="s">
        <v>14</v>
      </c>
      <c r="L111" s="17">
        <f>IFERROR(1/((LEN(master2[[#This Row],[Genres]])-LEN(SUBSTITUTE(master2[[#This Row],[Genres]],"'","")))/2),0)</f>
        <v>0.33333333333333331</v>
      </c>
      <c r="M111" s="5"/>
      <c r="N111" s="29">
        <v>8</v>
      </c>
      <c r="O111" s="5" t="str">
        <f>TEXT(WEEKDAY(master2[[#This Row],[Datum]]),"dddd")</f>
        <v>Wednesday</v>
      </c>
    </row>
    <row r="112" spans="1:15">
      <c r="A112" s="5">
        <v>109</v>
      </c>
      <c r="B112" s="5">
        <v>3</v>
      </c>
      <c r="C112" s="5">
        <f>IF(E112="Rick",C111+1,C111)</f>
        <v>27</v>
      </c>
      <c r="D112" s="28">
        <v>45035</v>
      </c>
      <c r="E112" s="5" t="s">
        <v>23</v>
      </c>
      <c r="F112" s="5" t="s">
        <v>428</v>
      </c>
      <c r="G112" s="5" t="s">
        <v>429</v>
      </c>
      <c r="H112" s="5">
        <v>2022</v>
      </c>
      <c r="I112" s="5" t="s">
        <v>430</v>
      </c>
      <c r="J112" s="37">
        <v>107</v>
      </c>
      <c r="K112" s="17" t="s">
        <v>14</v>
      </c>
      <c r="L112" s="17">
        <f>IFERROR(1/((LEN(master2[[#This Row],[Genres]])-LEN(SUBSTITUTE(master2[[#This Row],[Genres]],"'","")))/2),0)</f>
        <v>0.25</v>
      </c>
      <c r="M112" s="5"/>
      <c r="N112" s="29">
        <v>6.8</v>
      </c>
      <c r="O112" s="5" t="str">
        <f>TEXT(WEEKDAY(master2[[#This Row],[Datum]]),"dddd")</f>
        <v>Wednesday</v>
      </c>
    </row>
    <row r="113" spans="1:16">
      <c r="A113" s="5">
        <v>110</v>
      </c>
      <c r="B113" s="5">
        <v>3</v>
      </c>
      <c r="C113" s="5">
        <f>IF(E113="Rick",C112+1,C112)</f>
        <v>27</v>
      </c>
      <c r="D113" s="28">
        <v>45042</v>
      </c>
      <c r="E113" s="5" t="s">
        <v>27</v>
      </c>
      <c r="F113" s="5" t="s">
        <v>431</v>
      </c>
      <c r="G113" s="5" t="s">
        <v>432</v>
      </c>
      <c r="H113" s="5">
        <v>2001</v>
      </c>
      <c r="I113" s="5" t="s">
        <v>433</v>
      </c>
      <c r="J113" s="37">
        <v>99</v>
      </c>
      <c r="K113" s="17" t="s">
        <v>22</v>
      </c>
      <c r="L113" s="17">
        <f>IFERROR(1/((LEN(master2[[#This Row],[Genres]])-LEN(SUBSTITUTE(master2[[#This Row],[Genres]],"'","")))/2),0)</f>
        <v>0.25</v>
      </c>
      <c r="M113" s="5"/>
      <c r="N113" s="29">
        <v>6.4</v>
      </c>
      <c r="O113" s="5" t="str">
        <f>TEXT(WEEKDAY(master2[[#This Row],[Datum]]),"dddd")</f>
        <v>Wednesday</v>
      </c>
    </row>
    <row r="114" spans="1:16">
      <c r="A114" s="5">
        <v>111</v>
      </c>
      <c r="B114" s="5">
        <v>3</v>
      </c>
      <c r="C114" s="5">
        <f>IF(E114="Rick",C113+1,C113)</f>
        <v>27</v>
      </c>
      <c r="D114" s="28">
        <v>45049</v>
      </c>
      <c r="E114" s="5" t="s">
        <v>29</v>
      </c>
      <c r="F114" s="5" t="s">
        <v>434</v>
      </c>
      <c r="G114" s="5" t="s">
        <v>435</v>
      </c>
      <c r="H114" s="5">
        <v>2023</v>
      </c>
      <c r="I114" s="5" t="s">
        <v>436</v>
      </c>
      <c r="J114" s="37">
        <v>150</v>
      </c>
      <c r="K114" s="17" t="s">
        <v>14</v>
      </c>
      <c r="L114" s="17">
        <f>IFERROR(1/((LEN(master2[[#This Row],[Genres]])-LEN(SUBSTITUTE(master2[[#This Row],[Genres]],"'","")))/2),0)</f>
        <v>0.25</v>
      </c>
      <c r="M114" s="5"/>
      <c r="N114" s="29">
        <v>8.4</v>
      </c>
      <c r="O114" s="5" t="str">
        <f>TEXT(WEEKDAY(master2[[#This Row],[Datum]]),"dddd")</f>
        <v>Wednesday</v>
      </c>
    </row>
    <row r="115" spans="1:16">
      <c r="A115" s="5">
        <v>112</v>
      </c>
      <c r="B115" s="5">
        <v>3</v>
      </c>
      <c r="C115" s="5">
        <f>IF(E115="Rick",C114+1,C114)</f>
        <v>28</v>
      </c>
      <c r="D115" s="28">
        <v>45049</v>
      </c>
      <c r="E115" s="5" t="s">
        <v>18</v>
      </c>
      <c r="F115" s="5" t="s">
        <v>437</v>
      </c>
      <c r="G115" s="5" t="s">
        <v>438</v>
      </c>
      <c r="H115" s="5">
        <v>2012</v>
      </c>
      <c r="I115" s="5" t="s">
        <v>439</v>
      </c>
      <c r="J115" s="37">
        <v>89</v>
      </c>
      <c r="K115" s="17" t="s">
        <v>14</v>
      </c>
      <c r="L115" s="17">
        <f>IFERROR(1/((LEN(master2[[#This Row],[Genres]])-LEN(SUBSTITUTE(master2[[#This Row],[Genres]],"'","")))/2),0)</f>
        <v>0.25</v>
      </c>
      <c r="M115" s="5"/>
      <c r="N115" s="29">
        <v>7</v>
      </c>
      <c r="O115" s="5" t="str">
        <f>TEXT(WEEKDAY(master2[[#This Row],[Datum]]),"dddd")</f>
        <v>Wednesday</v>
      </c>
      <c r="P115" s="5"/>
    </row>
    <row r="116" spans="1:16">
      <c r="A116" s="5">
        <v>113</v>
      </c>
      <c r="B116" s="5">
        <v>3</v>
      </c>
      <c r="C116" s="5">
        <f>IF(E116="Rick",C115+1,C115)</f>
        <v>28</v>
      </c>
      <c r="D116" s="28">
        <v>45069</v>
      </c>
      <c r="E116" s="5" t="s">
        <v>23</v>
      </c>
      <c r="F116" s="5" t="s">
        <v>440</v>
      </c>
      <c r="G116" s="5" t="s">
        <v>441</v>
      </c>
      <c r="H116" s="5">
        <v>2023</v>
      </c>
      <c r="I116" s="5" t="s">
        <v>442</v>
      </c>
      <c r="J116" s="37">
        <v>123</v>
      </c>
      <c r="K116" s="17" t="s">
        <v>14</v>
      </c>
      <c r="L116" s="17">
        <f>IFERROR(1/((LEN(master2[[#This Row],[Genres]])-LEN(SUBSTITUTE(master2[[#This Row],[Genres]],"'","")))/2),0)</f>
        <v>0.33333333333333331</v>
      </c>
      <c r="M116" s="5"/>
      <c r="N116" s="29">
        <v>7.5</v>
      </c>
      <c r="O116" s="5" t="str">
        <f>TEXT(WEEKDAY(master2[[#This Row],[Datum]]),"dddd")</f>
        <v>Tuesday</v>
      </c>
    </row>
    <row r="117" spans="1:16">
      <c r="A117" s="5">
        <v>114</v>
      </c>
      <c r="B117" s="5">
        <v>3</v>
      </c>
      <c r="C117" s="5">
        <f>IF(E117="Rick",C116+1,C116)</f>
        <v>28</v>
      </c>
      <c r="D117" s="28">
        <v>45079</v>
      </c>
      <c r="E117" s="5" t="s">
        <v>27</v>
      </c>
      <c r="F117" s="5" t="s">
        <v>443</v>
      </c>
      <c r="G117" s="5" t="s">
        <v>444</v>
      </c>
      <c r="H117" s="5">
        <v>2020</v>
      </c>
      <c r="I117" s="5" t="s">
        <v>445</v>
      </c>
      <c r="J117" s="37">
        <v>117</v>
      </c>
      <c r="K117" s="17" t="s">
        <v>14</v>
      </c>
      <c r="L117" s="17">
        <f>IFERROR(1/((LEN(master2[[#This Row],[Genres]])-LEN(SUBSTITUTE(master2[[#This Row],[Genres]],"'","")))/2),0)</f>
        <v>1</v>
      </c>
      <c r="M117" s="5"/>
      <c r="N117" s="29">
        <v>7.7</v>
      </c>
      <c r="O117" s="5" t="str">
        <f>TEXT(WEEKDAY(master2[[#This Row],[Datum]]),"dddd")</f>
        <v>Friday</v>
      </c>
    </row>
    <row r="118" spans="1:16">
      <c r="A118" s="5">
        <v>115</v>
      </c>
      <c r="B118" s="5" t="s">
        <v>446</v>
      </c>
      <c r="C118" s="5">
        <f>IF(E118="Rick",C116+1,C116)</f>
        <v>28</v>
      </c>
      <c r="D118" s="28">
        <v>45084</v>
      </c>
      <c r="E118" t="s">
        <v>29</v>
      </c>
      <c r="F118" t="s">
        <v>447</v>
      </c>
      <c r="G118" t="s">
        <v>448</v>
      </c>
      <c r="H118" s="5" t="s">
        <v>449</v>
      </c>
      <c r="I118" t="s">
        <v>135</v>
      </c>
      <c r="J118" s="37" t="s">
        <v>450</v>
      </c>
      <c r="K118" s="17" t="s">
        <v>14</v>
      </c>
      <c r="L118" s="17">
        <f>IFERROR(1/((LEN(master2[[#This Row],[Genres]])-LEN(SUBSTITUTE(master2[[#This Row],[Genres]],"'","")))/2),0)</f>
        <v>0.33333333333333331</v>
      </c>
      <c r="M118" s="5"/>
      <c r="N118" s="29">
        <v>7.6</v>
      </c>
      <c r="O118" s="5" t="str">
        <f>TEXT(WEEKDAY(master2[[#This Row],[Datum]]),"dddd")</f>
        <v>Wednesday</v>
      </c>
    </row>
    <row r="119" spans="1:16">
      <c r="A119" s="5">
        <v>116</v>
      </c>
      <c r="B119" s="5" t="s">
        <v>446</v>
      </c>
      <c r="C119" s="5">
        <f>IF(E119="Rick",C117+1,C117)</f>
        <v>29</v>
      </c>
      <c r="D119" s="28">
        <v>45091</v>
      </c>
      <c r="E119" s="5" t="s">
        <v>18</v>
      </c>
      <c r="F119" s="5" t="s">
        <v>451</v>
      </c>
      <c r="G119" s="5" t="s">
        <v>452</v>
      </c>
      <c r="H119" s="5">
        <v>2008</v>
      </c>
      <c r="I119" s="5" t="s">
        <v>218</v>
      </c>
      <c r="J119" s="37">
        <v>111</v>
      </c>
      <c r="K119" s="17" t="s">
        <v>14</v>
      </c>
      <c r="L119" s="17">
        <f>IFERROR(1/((LEN(master2[[#This Row],[Genres]])-LEN(SUBSTITUTE(master2[[#This Row],[Genres]],"'","")))/2),0)</f>
        <v>0.33333333333333331</v>
      </c>
      <c r="M119" s="5"/>
      <c r="N119" s="29">
        <v>7.1</v>
      </c>
      <c r="O119" s="5" t="str">
        <f>TEXT(WEEKDAY(master2[[#This Row],[Datum]]),"dddd")</f>
        <v>Wednesday</v>
      </c>
    </row>
    <row r="120" spans="1:16">
      <c r="A120" s="5">
        <v>117</v>
      </c>
      <c r="B120" s="5" t="s">
        <v>446</v>
      </c>
      <c r="C120" s="5">
        <f>IF(E120="Rick",C119+1,C119)</f>
        <v>29</v>
      </c>
      <c r="D120" s="28">
        <v>45091</v>
      </c>
      <c r="E120" s="5" t="s">
        <v>23</v>
      </c>
      <c r="F120" s="5" t="s">
        <v>453</v>
      </c>
      <c r="G120" s="5" t="s">
        <v>454</v>
      </c>
      <c r="H120" s="5">
        <v>1967</v>
      </c>
      <c r="I120" s="5" t="s">
        <v>455</v>
      </c>
      <c r="J120" s="37">
        <v>127</v>
      </c>
      <c r="K120" s="17" t="s">
        <v>14</v>
      </c>
      <c r="L120" s="17">
        <f>IFERROR(1/((LEN(master2[[#This Row],[Genres]])-LEN(SUBSTITUTE(master2[[#This Row],[Genres]],"'","")))/2),0)</f>
        <v>0.5</v>
      </c>
      <c r="M120" s="5"/>
      <c r="N120" s="29">
        <v>8.1</v>
      </c>
      <c r="O120" s="5" t="str">
        <f>TEXT(WEEKDAY(master2[[#This Row],[Datum]]),"dddd")</f>
        <v>Wednesday</v>
      </c>
    </row>
    <row r="121" spans="1:16">
      <c r="A121" s="5">
        <v>118</v>
      </c>
      <c r="B121" s="5" t="s">
        <v>446</v>
      </c>
      <c r="C121" s="5">
        <f>IF(E121="Rick",C120+1,C120)</f>
        <v>29</v>
      </c>
      <c r="D121" s="28">
        <v>45112</v>
      </c>
      <c r="E121" s="5" t="s">
        <v>27</v>
      </c>
      <c r="F121" s="5" t="s">
        <v>456</v>
      </c>
      <c r="G121" s="5" t="s">
        <v>457</v>
      </c>
      <c r="H121" s="5">
        <v>2016</v>
      </c>
      <c r="I121" s="5" t="s">
        <v>221</v>
      </c>
      <c r="J121" s="37">
        <v>64</v>
      </c>
      <c r="K121" s="17" t="s">
        <v>14</v>
      </c>
      <c r="L121" s="17">
        <f>IFERROR(1/((LEN(master2[[#This Row],[Genres]])-LEN(SUBSTITUTE(master2[[#This Row],[Genres]],"'","")))/2),0)</f>
        <v>1</v>
      </c>
      <c r="M121" s="5"/>
      <c r="N121" s="29">
        <v>8.5</v>
      </c>
      <c r="O121" s="5" t="str">
        <f>TEXT(WEEKDAY(master2[[#This Row],[Datum]]),"dddd")</f>
        <v>Wednesday</v>
      </c>
    </row>
    <row r="122" spans="1:16">
      <c r="A122" s="5">
        <v>119</v>
      </c>
      <c r="B122" s="5" t="s">
        <v>446</v>
      </c>
      <c r="C122" s="5">
        <f>IF(E122="Rick",C121+1,C121)</f>
        <v>29</v>
      </c>
      <c r="D122" s="28">
        <v>45120</v>
      </c>
      <c r="E122" s="5" t="s">
        <v>29</v>
      </c>
      <c r="F122" s="5" t="s">
        <v>458</v>
      </c>
      <c r="G122" s="5" t="s">
        <v>459</v>
      </c>
      <c r="H122" s="5">
        <v>1942</v>
      </c>
      <c r="I122" s="5" t="s">
        <v>460</v>
      </c>
      <c r="J122" s="37">
        <v>102</v>
      </c>
      <c r="K122" s="17" t="s">
        <v>22</v>
      </c>
      <c r="L122" s="17">
        <f>IFERROR(1/((LEN(master2[[#This Row],[Genres]])-LEN(SUBSTITUTE(master2[[#This Row],[Genres]],"'","")))/2),0)</f>
        <v>0.33333333333333331</v>
      </c>
      <c r="M122" s="5"/>
      <c r="N122" s="29">
        <v>8.5</v>
      </c>
      <c r="O122" s="5" t="str">
        <f>TEXT(WEEKDAY(master2[[#This Row],[Datum]]),"dddd")</f>
        <v>Thursday</v>
      </c>
    </row>
    <row r="123" spans="1:16">
      <c r="A123" s="5">
        <v>120</v>
      </c>
      <c r="B123" s="5" t="s">
        <v>446</v>
      </c>
      <c r="C123" s="5">
        <f>IF(E123="Rick",C122+1,C122)</f>
        <v>30</v>
      </c>
      <c r="D123" s="28">
        <v>45133</v>
      </c>
      <c r="E123" s="5" t="s">
        <v>18</v>
      </c>
      <c r="F123" s="5" t="s">
        <v>461</v>
      </c>
      <c r="G123" s="5" t="s">
        <v>462</v>
      </c>
      <c r="H123" s="5">
        <v>1996</v>
      </c>
      <c r="I123" s="5" t="s">
        <v>115</v>
      </c>
      <c r="J123" s="37">
        <v>129</v>
      </c>
      <c r="K123" s="17" t="s">
        <v>14</v>
      </c>
      <c r="L123" s="17">
        <f>IFERROR(1/((LEN(master2[[#This Row],[Genres]])-LEN(SUBSTITUTE(master2[[#This Row],[Genres]],"'","")))/2),0)</f>
        <v>0.25</v>
      </c>
      <c r="M123" s="5"/>
      <c r="N123" s="29">
        <v>7.7</v>
      </c>
      <c r="O123" s="5" t="str">
        <f>TEXT(WEEKDAY(master2[[#This Row],[Datum]]),"dddd")</f>
        <v>Wednesday</v>
      </c>
    </row>
    <row r="124" spans="1:16">
      <c r="A124" s="5">
        <v>121</v>
      </c>
      <c r="B124" s="5" t="s">
        <v>446</v>
      </c>
      <c r="C124" s="5">
        <f>IF(E124="Rick",C123+1,C123)</f>
        <v>30</v>
      </c>
      <c r="D124" s="28">
        <v>45133</v>
      </c>
      <c r="E124" s="5" t="s">
        <v>23</v>
      </c>
      <c r="F124" s="5" t="s">
        <v>463</v>
      </c>
      <c r="G124" s="5" t="s">
        <v>464</v>
      </c>
      <c r="H124" s="5">
        <v>2022</v>
      </c>
      <c r="I124" s="5" t="s">
        <v>465</v>
      </c>
      <c r="J124" s="37">
        <v>102</v>
      </c>
      <c r="K124" s="17" t="s">
        <v>14</v>
      </c>
      <c r="L124" s="17">
        <f>IFERROR(1/((LEN(master2[[#This Row],[Genres]])-LEN(SUBSTITUTE(master2[[#This Row],[Genres]],"'","")))/2),0)</f>
        <v>0.25</v>
      </c>
      <c r="M124" s="5"/>
      <c r="N124" s="29">
        <v>7.9</v>
      </c>
      <c r="O124" s="5" t="str">
        <f>TEXT(WEEKDAY(master2[[#This Row],[Datum]]),"dddd")</f>
        <v>Wednesday</v>
      </c>
    </row>
    <row r="125" spans="1:16">
      <c r="A125" s="5">
        <v>122</v>
      </c>
      <c r="B125" s="5" t="s">
        <v>446</v>
      </c>
      <c r="C125" s="5">
        <f>IF(E125="Rick",C124+1,C124)</f>
        <v>30</v>
      </c>
      <c r="D125" s="28">
        <v>45147</v>
      </c>
      <c r="E125" s="5" t="s">
        <v>29</v>
      </c>
      <c r="F125" s="5" t="s">
        <v>466</v>
      </c>
      <c r="G125" s="5" t="s">
        <v>467</v>
      </c>
      <c r="H125" s="5">
        <v>1964</v>
      </c>
      <c r="I125" s="5" t="s">
        <v>468</v>
      </c>
      <c r="J125" s="37">
        <v>95</v>
      </c>
      <c r="K125" s="17" t="s">
        <v>14</v>
      </c>
      <c r="L125" s="17">
        <f>IFERROR(1/((LEN(master2[[#This Row],[Genres]])-LEN(SUBSTITUTE(master2[[#This Row],[Genres]],"'","")))/2),0)</f>
        <v>0.5</v>
      </c>
      <c r="M125" s="5"/>
      <c r="N125" s="29">
        <v>8.4</v>
      </c>
      <c r="O125" s="5" t="str">
        <f>TEXT(WEEKDAY(master2[[#This Row],[Datum]]),"dddd")</f>
        <v>Wednesday</v>
      </c>
    </row>
    <row r="126" spans="1:16">
      <c r="A126" s="5">
        <v>123</v>
      </c>
      <c r="B126" s="5" t="s">
        <v>446</v>
      </c>
      <c r="C126" s="5">
        <f>IF(E126="Rick",C125+1,C125)</f>
        <v>30</v>
      </c>
      <c r="D126" s="28">
        <v>45154</v>
      </c>
      <c r="E126" s="5" t="s">
        <v>27</v>
      </c>
      <c r="F126" s="5" t="s">
        <v>469</v>
      </c>
      <c r="G126" s="5" t="s">
        <v>470</v>
      </c>
      <c r="H126" s="5">
        <v>2023</v>
      </c>
      <c r="I126" s="5" t="s">
        <v>471</v>
      </c>
      <c r="J126" s="37">
        <v>103</v>
      </c>
      <c r="K126" s="17" t="s">
        <v>14</v>
      </c>
      <c r="L126" s="17">
        <f>IFERROR(1/((LEN(master2[[#This Row],[Genres]])-LEN(SUBSTITUTE(master2[[#This Row],[Genres]],"'","")))/2),0)</f>
        <v>0.5</v>
      </c>
      <c r="M126" s="5"/>
      <c r="N126" s="29">
        <v>6.1</v>
      </c>
      <c r="O126" s="5" t="str">
        <f>TEXT(WEEKDAY(master2[[#This Row],[Datum]]),"dddd")</f>
        <v>Wednesday</v>
      </c>
    </row>
    <row r="127" spans="1:16">
      <c r="A127" s="5">
        <v>124</v>
      </c>
      <c r="B127" s="5" t="s">
        <v>446</v>
      </c>
      <c r="C127" s="5">
        <f>IF(E127="Rick",C126+1,C126)</f>
        <v>31</v>
      </c>
      <c r="D127" s="28">
        <v>45168</v>
      </c>
      <c r="E127" s="5" t="s">
        <v>18</v>
      </c>
      <c r="F127" s="5" t="s">
        <v>472</v>
      </c>
      <c r="G127" s="5" t="s">
        <v>473</v>
      </c>
      <c r="H127" s="5">
        <v>1974</v>
      </c>
      <c r="I127" s="5" t="s">
        <v>474</v>
      </c>
      <c r="J127" s="37">
        <v>93</v>
      </c>
      <c r="K127" s="17" t="s">
        <v>14</v>
      </c>
      <c r="L127" s="17">
        <f>IFERROR(1/((LEN(master2[[#This Row],[Genres]])-LEN(SUBSTITUTE(master2[[#This Row],[Genres]],"'","")))/2),0)</f>
        <v>0.5</v>
      </c>
      <c r="M127" s="5"/>
      <c r="N127" s="29">
        <v>7.7</v>
      </c>
      <c r="O127" s="5" t="str">
        <f>TEXT(WEEKDAY(master2[[#This Row],[Datum]]),"dddd")</f>
        <v>Wednesday</v>
      </c>
    </row>
    <row r="128" spans="1:16">
      <c r="A128" s="5">
        <v>125</v>
      </c>
      <c r="B128" s="5" t="s">
        <v>446</v>
      </c>
      <c r="C128" s="5">
        <f>IF(E128="Rick",C127+1,C127)</f>
        <v>31</v>
      </c>
      <c r="D128" s="28">
        <v>45175</v>
      </c>
      <c r="E128" s="5" t="s">
        <v>23</v>
      </c>
      <c r="F128" s="5" t="s">
        <v>475</v>
      </c>
      <c r="G128" s="5" t="s">
        <v>476</v>
      </c>
      <c r="H128" s="5">
        <v>2023</v>
      </c>
      <c r="I128" s="5" t="s">
        <v>185</v>
      </c>
      <c r="J128" s="37">
        <v>119</v>
      </c>
      <c r="K128" s="17" t="s">
        <v>14</v>
      </c>
      <c r="L128" s="17">
        <f>IFERROR(1/((LEN(master2[[#This Row],[Genres]])-LEN(SUBSTITUTE(master2[[#This Row],[Genres]],"'","")))/2),0)</f>
        <v>0.2</v>
      </c>
      <c r="M128" s="5"/>
      <c r="N128" s="29">
        <v>6.6</v>
      </c>
      <c r="O128" s="5" t="str">
        <f>TEXT(WEEKDAY(master2[[#This Row],[Datum]]),"dddd")</f>
        <v>Wednesday</v>
      </c>
    </row>
    <row r="129" spans="1:15">
      <c r="A129" s="5">
        <v>126</v>
      </c>
      <c r="B129" s="5" t="s">
        <v>446</v>
      </c>
      <c r="C129" s="5">
        <f>IF(E129="Rick",C128+1,C128)</f>
        <v>31</v>
      </c>
      <c r="D129" s="28">
        <v>45180</v>
      </c>
      <c r="E129" s="5" t="s">
        <v>477</v>
      </c>
      <c r="F129" s="5" t="s">
        <v>478</v>
      </c>
      <c r="G129" s="5" t="s">
        <v>479</v>
      </c>
      <c r="H129" s="5">
        <v>1974</v>
      </c>
      <c r="I129" s="5" t="s">
        <v>255</v>
      </c>
      <c r="J129" s="37">
        <v>102</v>
      </c>
      <c r="K129" s="17" t="s">
        <v>22</v>
      </c>
      <c r="L129" s="17">
        <f>IFERROR(1/((LEN(master2[[#This Row],[Genres]])-LEN(SUBSTITUTE(master2[[#This Row],[Genres]],"'","")))/2),0)</f>
        <v>0.5</v>
      </c>
      <c r="M129" s="5"/>
      <c r="N129" s="29">
        <v>7.3</v>
      </c>
      <c r="O129" s="5" t="str">
        <f>TEXT(WEEKDAY(master2[[#This Row],[Datum]]),"dddd")</f>
        <v>Monday</v>
      </c>
    </row>
    <row r="130" spans="1:15">
      <c r="A130" s="5">
        <v>127</v>
      </c>
      <c r="B130" s="5" t="s">
        <v>446</v>
      </c>
      <c r="C130" s="5">
        <f>IF(E130="Rick",C129+1,C129)</f>
        <v>31</v>
      </c>
      <c r="D130" s="28">
        <v>45187</v>
      </c>
      <c r="E130" s="5" t="s">
        <v>29</v>
      </c>
      <c r="F130" s="5" t="s">
        <v>480</v>
      </c>
      <c r="G130" s="5" t="s">
        <v>481</v>
      </c>
      <c r="H130" s="5">
        <v>1989</v>
      </c>
      <c r="I130" s="5" t="s">
        <v>423</v>
      </c>
      <c r="J130" s="37">
        <v>122</v>
      </c>
      <c r="K130" s="17" t="s">
        <v>14</v>
      </c>
      <c r="L130" s="17">
        <f>IFERROR(1/((LEN(master2[[#This Row],[Genres]])-LEN(SUBSTITUTE(master2[[#This Row],[Genres]],"'","")))/2),0)</f>
        <v>0.25</v>
      </c>
      <c r="M130" s="5"/>
      <c r="N130" s="29">
        <v>7.8</v>
      </c>
      <c r="O130" s="5" t="str">
        <f>TEXT(WEEKDAY(master2[[#This Row],[Datum]]),"dddd")</f>
        <v>Monday</v>
      </c>
    </row>
    <row r="131" spans="1:15">
      <c r="A131" s="5">
        <v>128</v>
      </c>
      <c r="B131" s="5" t="s">
        <v>446</v>
      </c>
      <c r="C131" s="5">
        <f>IF(E131="Rick",C130+1,C130)</f>
        <v>32</v>
      </c>
      <c r="D131" s="28">
        <v>45203</v>
      </c>
      <c r="E131" s="5" t="s">
        <v>18</v>
      </c>
      <c r="F131" s="5" t="s">
        <v>482</v>
      </c>
      <c r="G131" s="5" t="s">
        <v>483</v>
      </c>
      <c r="H131" s="5">
        <v>1979</v>
      </c>
      <c r="I131" s="5" t="s">
        <v>484</v>
      </c>
      <c r="J131" s="37">
        <v>117</v>
      </c>
      <c r="K131" s="17" t="s">
        <v>22</v>
      </c>
      <c r="L131" s="17">
        <f>IFERROR(1/((LEN(master2[[#This Row],[Genres]])-LEN(SUBSTITUTE(master2[[#This Row],[Genres]],"'","")))/2),0)</f>
        <v>0.5</v>
      </c>
      <c r="M131" s="5"/>
      <c r="N131" s="29">
        <v>8.5</v>
      </c>
      <c r="O131" s="5" t="str">
        <f>TEXT(WEEKDAY(master2[[#This Row],[Datum]]),"dddd")</f>
        <v>Wednesday</v>
      </c>
    </row>
    <row r="132" spans="1:15">
      <c r="A132" s="5">
        <v>129</v>
      </c>
      <c r="B132" s="5" t="s">
        <v>446</v>
      </c>
      <c r="C132" s="5">
        <f>IF(E132="Rick",C131+1,C131)</f>
        <v>32</v>
      </c>
      <c r="D132" s="28">
        <v>45210</v>
      </c>
      <c r="E132" s="5" t="s">
        <v>23</v>
      </c>
      <c r="F132" s="5" t="s">
        <v>485</v>
      </c>
      <c r="G132" s="5" t="s">
        <v>486</v>
      </c>
      <c r="H132" s="5">
        <v>2017</v>
      </c>
      <c r="I132" s="5" t="s">
        <v>487</v>
      </c>
      <c r="J132" s="37">
        <v>104</v>
      </c>
      <c r="K132" s="17" t="s">
        <v>14</v>
      </c>
      <c r="L132" s="17">
        <f>IFERROR(1/((LEN(master2[[#This Row],[Genres]])-LEN(SUBSTITUTE(master2[[#This Row],[Genres]],"'","")))/2),0)</f>
        <v>0.33333333333333331</v>
      </c>
      <c r="M132" s="5"/>
      <c r="N132" s="29">
        <v>7.8</v>
      </c>
      <c r="O132" s="5" t="str">
        <f>TEXT(WEEKDAY(master2[[#This Row],[Datum]]),"dddd")</f>
        <v>Wednesday</v>
      </c>
    </row>
    <row r="133" spans="1:15">
      <c r="A133" s="5">
        <v>130</v>
      </c>
      <c r="B133" s="5" t="s">
        <v>446</v>
      </c>
      <c r="C133" s="5">
        <f>IF(E133="Rick",C132+1,C132)</f>
        <v>32</v>
      </c>
      <c r="D133" s="28">
        <v>45217</v>
      </c>
      <c r="E133" s="5" t="s">
        <v>477</v>
      </c>
      <c r="F133" t="s">
        <v>488</v>
      </c>
      <c r="G133" t="s">
        <v>489</v>
      </c>
      <c r="H133" s="5">
        <v>2016</v>
      </c>
      <c r="I133" t="s">
        <v>487</v>
      </c>
      <c r="J133" s="37">
        <v>86</v>
      </c>
      <c r="K133" s="17" t="s">
        <v>14</v>
      </c>
      <c r="L133" s="17">
        <f>IFERROR(1/((LEN(master2[[#This Row],[Genres]])-LEN(SUBSTITUTE(master2[[#This Row],[Genres]],"'","")))/2),0)</f>
        <v>0.33333333333333331</v>
      </c>
      <c r="M133" s="5"/>
      <c r="N133" s="29">
        <v>6.8</v>
      </c>
      <c r="O133" s="5" t="str">
        <f>TEXT(WEEKDAY(master2[[#This Row],[Datum]]),"dddd")</f>
        <v>Wednesday</v>
      </c>
    </row>
    <row r="134" spans="1:15">
      <c r="A134" s="5">
        <v>131</v>
      </c>
      <c r="B134" s="5" t="s">
        <v>446</v>
      </c>
      <c r="C134" s="5">
        <f>IF(E134="Rick",C133+1,C133)</f>
        <v>32</v>
      </c>
      <c r="D134" s="28">
        <v>45224</v>
      </c>
      <c r="E134" s="5" t="s">
        <v>29</v>
      </c>
      <c r="F134" s="5" t="s">
        <v>490</v>
      </c>
      <c r="G134" s="5" t="s">
        <v>491</v>
      </c>
      <c r="H134" s="5">
        <v>2014</v>
      </c>
      <c r="I134" s="5" t="s">
        <v>487</v>
      </c>
      <c r="J134" s="37">
        <v>100</v>
      </c>
      <c r="K134" s="17" t="s">
        <v>14</v>
      </c>
      <c r="L134" s="17">
        <f>IFERROR(1/((LEN(master2[[#This Row],[Genres]])-LEN(SUBSTITUTE(master2[[#This Row],[Genres]],"'","")))/2),0)</f>
        <v>0.33333333333333331</v>
      </c>
      <c r="M134" s="5"/>
      <c r="N134" s="29">
        <v>6.8</v>
      </c>
      <c r="O134" s="5" t="str">
        <f>TEXT(WEEKDAY(master2[[#This Row],[Datum]]),"dddd")</f>
        <v>Wednesday</v>
      </c>
    </row>
    <row r="135" spans="1:15">
      <c r="A135" s="5">
        <v>132</v>
      </c>
      <c r="B135" s="5" t="s">
        <v>446</v>
      </c>
      <c r="C135" s="5">
        <v>33</v>
      </c>
      <c r="D135" s="28">
        <v>45231</v>
      </c>
      <c r="E135" s="5" t="s">
        <v>29</v>
      </c>
      <c r="F135" s="5" t="s">
        <v>492</v>
      </c>
      <c r="G135" s="5" t="s">
        <v>493</v>
      </c>
      <c r="H135" s="5">
        <v>2006</v>
      </c>
      <c r="I135" s="5" t="s">
        <v>494</v>
      </c>
      <c r="J135" s="37">
        <v>85</v>
      </c>
      <c r="K135" s="17" t="s">
        <v>14</v>
      </c>
      <c r="L135" s="17">
        <f>IFERROR(1/((LEN(master2[[#This Row],[Genres]])-LEN(SUBSTITUTE(master2[[#This Row],[Genres]],"'","")))/2),0)</f>
        <v>0.5</v>
      </c>
      <c r="M135" s="5"/>
      <c r="N135" s="29">
        <v>5.5</v>
      </c>
      <c r="O135" s="5" t="str">
        <f>TEXT(WEEKDAY(master2[[#This Row],[Datum]]),"dddd")</f>
        <v>Wednesday</v>
      </c>
    </row>
    <row r="136" spans="1:15">
      <c r="A136" s="5">
        <v>133</v>
      </c>
      <c r="B136" s="5" t="s">
        <v>446</v>
      </c>
      <c r="C136" s="5">
        <v>33</v>
      </c>
      <c r="D136" s="28">
        <v>45240</v>
      </c>
      <c r="E136" t="s">
        <v>18</v>
      </c>
      <c r="F136" t="s">
        <v>495</v>
      </c>
      <c r="G136" t="s">
        <v>496</v>
      </c>
      <c r="H136" s="5">
        <v>1999</v>
      </c>
      <c r="I136" t="s">
        <v>138</v>
      </c>
      <c r="J136" s="37">
        <v>95</v>
      </c>
      <c r="K136" s="17" t="s">
        <v>14</v>
      </c>
      <c r="L136" s="17">
        <f>IFERROR(1/((LEN(master2[[#This Row],[Genres]])-LEN(SUBSTITUTE(master2[[#This Row],[Genres]],"'","")))/2),0)</f>
        <v>0.33333333333333331</v>
      </c>
      <c r="N136" s="29">
        <v>7.2</v>
      </c>
      <c r="O136" s="5" t="str">
        <f>TEXT(WEEKDAY(master2[[#This Row],[Datum]]),"dddd")</f>
        <v>Friday</v>
      </c>
    </row>
    <row r="137" spans="1:15">
      <c r="A137" s="5">
        <v>134</v>
      </c>
      <c r="B137" s="5" t="s">
        <v>446</v>
      </c>
      <c r="C137" s="5">
        <f>IF(E137="Rick",C136+1,C136)</f>
        <v>33</v>
      </c>
      <c r="D137" s="28">
        <v>45244</v>
      </c>
      <c r="E137" s="5" t="s">
        <v>23</v>
      </c>
      <c r="F137" s="5" t="s">
        <v>497</v>
      </c>
      <c r="G137" s="5" t="s">
        <v>498</v>
      </c>
      <c r="H137" s="5">
        <v>1986</v>
      </c>
      <c r="I137" s="5" t="s">
        <v>499</v>
      </c>
      <c r="J137" s="37">
        <v>89</v>
      </c>
      <c r="K137" s="17" t="s">
        <v>14</v>
      </c>
      <c r="L137" s="17">
        <f>IFERROR(1/((LEN(master2[[#This Row],[Genres]])-LEN(SUBSTITUTE(master2[[#This Row],[Genres]],"'","")))/2),0)</f>
        <v>0.33333333333333331</v>
      </c>
      <c r="M137" s="5"/>
      <c r="N137" s="29">
        <v>8.1</v>
      </c>
      <c r="O137" s="5" t="str">
        <f>TEXT(WEEKDAY(master2[[#This Row],[Datum]]),"dddd")</f>
        <v>Tuesday</v>
      </c>
    </row>
    <row r="138" spans="1:15">
      <c r="A138" s="5">
        <v>135</v>
      </c>
      <c r="B138" s="5">
        <v>3</v>
      </c>
      <c r="C138" s="5">
        <f>IF(E138="Rick",C137+1,C137)</f>
        <v>33</v>
      </c>
      <c r="D138" s="28">
        <v>45251</v>
      </c>
      <c r="E138" t="s">
        <v>477</v>
      </c>
      <c r="F138" t="s">
        <v>500</v>
      </c>
      <c r="G138" t="s">
        <v>501</v>
      </c>
      <c r="H138" s="5">
        <v>2014</v>
      </c>
      <c r="I138" t="s">
        <v>293</v>
      </c>
      <c r="J138" s="37">
        <v>106</v>
      </c>
      <c r="K138" t="s">
        <v>14</v>
      </c>
      <c r="L138" s="17">
        <f>IFERROR(1/((LEN(master2[[#This Row],[Genres]])-LEN(SUBSTITUTE(master2[[#This Row],[Genres]],"'","")))/2),0)</f>
        <v>0.5</v>
      </c>
      <c r="N138" s="29">
        <v>8.5</v>
      </c>
      <c r="O138" s="5" t="str">
        <f>TEXT(WEEKDAY(master2[[#This Row],[Datum]]),"dddd")</f>
        <v>Tuesday</v>
      </c>
    </row>
    <row r="139" spans="1:15">
      <c r="A139" s="5">
        <v>136</v>
      </c>
      <c r="B139" s="5">
        <v>3</v>
      </c>
      <c r="C139" s="5">
        <f>IF(E139="Rick",C138+1,C138)</f>
        <v>34</v>
      </c>
      <c r="D139" s="28">
        <v>45259</v>
      </c>
      <c r="E139" t="s">
        <v>18</v>
      </c>
      <c r="F139" t="s">
        <v>502</v>
      </c>
      <c r="G139" t="s">
        <v>503</v>
      </c>
      <c r="H139" s="5">
        <v>2010</v>
      </c>
      <c r="I139" t="s">
        <v>224</v>
      </c>
      <c r="J139" s="37">
        <v>107</v>
      </c>
      <c r="K139" t="s">
        <v>14</v>
      </c>
      <c r="L139" s="17">
        <f>IFERROR(1/((LEN(master2[[#This Row],[Genres]])-LEN(SUBSTITUTE(master2[[#This Row],[Genres]],"'","")))/2),0)</f>
        <v>0.25</v>
      </c>
      <c r="N139" s="29">
        <v>6.6</v>
      </c>
      <c r="O139" s="5" t="str">
        <f>TEXT(WEEKDAY(master2[[#This Row],[Datum]]),"dddd")</f>
        <v>Wednesday</v>
      </c>
    </row>
    <row r="140" spans="1:15">
      <c r="A140" s="5">
        <v>137</v>
      </c>
      <c r="B140" s="5">
        <v>3</v>
      </c>
      <c r="C140" s="5">
        <f>IF(E140="Rick",C139+1,C139)</f>
        <v>34</v>
      </c>
      <c r="D140" s="28">
        <v>45266</v>
      </c>
      <c r="E140" s="5" t="s">
        <v>23</v>
      </c>
      <c r="F140" s="5" t="s">
        <v>504</v>
      </c>
      <c r="G140" s="5" t="s">
        <v>505</v>
      </c>
      <c r="H140" s="5">
        <v>2023</v>
      </c>
      <c r="I140" s="5" t="s">
        <v>506</v>
      </c>
      <c r="J140" s="37">
        <v>133</v>
      </c>
      <c r="K140" s="17" t="s">
        <v>14</v>
      </c>
      <c r="L140" s="17">
        <f>IFERROR(1/((LEN(master2[[#This Row],[Genres]])-LEN(SUBSTITUTE(master2[[#This Row],[Genres]],"'","")))/2),0)</f>
        <v>0.2</v>
      </c>
      <c r="M140" s="5"/>
      <c r="N140" s="29">
        <v>6.9</v>
      </c>
      <c r="O140" s="5" t="str">
        <f>TEXT(WEEKDAY(master2[[#This Row],[Datum]]),"dddd")</f>
        <v>Wednesday</v>
      </c>
    </row>
    <row r="141" spans="1:15">
      <c r="A141" s="5">
        <v>138</v>
      </c>
      <c r="B141" s="5">
        <v>3</v>
      </c>
      <c r="C141" s="5">
        <f>IF(E141="Rick",C140+1,C140)</f>
        <v>34</v>
      </c>
      <c r="D141" s="28">
        <v>45273</v>
      </c>
      <c r="E141" s="5" t="s">
        <v>477</v>
      </c>
      <c r="F141" s="5" t="s">
        <v>507</v>
      </c>
      <c r="G141" s="5" t="s">
        <v>508</v>
      </c>
      <c r="H141" s="5">
        <v>1992</v>
      </c>
      <c r="I141" s="5" t="s">
        <v>509</v>
      </c>
      <c r="J141" s="37">
        <v>85</v>
      </c>
      <c r="K141" s="17" t="s">
        <v>22</v>
      </c>
      <c r="L141" s="17">
        <f>IFERROR(1/((LEN(master2[[#This Row],[Genres]])-LEN(SUBSTITUTE(master2[[#This Row],[Genres]],"'","")))/2),0)</f>
        <v>0.2</v>
      </c>
      <c r="M141" s="5"/>
      <c r="N141" s="29">
        <v>7.8</v>
      </c>
      <c r="O141" s="5" t="str">
        <f>TEXT(WEEKDAY(master2[[#This Row],[Datum]]),"dddd")</f>
        <v>Wednesday</v>
      </c>
    </row>
    <row r="142" spans="1:15">
      <c r="A142" s="5">
        <v>139</v>
      </c>
      <c r="B142" s="5">
        <v>3</v>
      </c>
      <c r="C142" s="5">
        <f>IF(E142="Rick",C141+1,C141)</f>
        <v>34</v>
      </c>
      <c r="D142" s="28">
        <v>45281</v>
      </c>
      <c r="E142" s="5" t="s">
        <v>29</v>
      </c>
      <c r="F142" s="5" t="s">
        <v>510</v>
      </c>
      <c r="G142" s="5" t="s">
        <v>511</v>
      </c>
      <c r="H142" s="5">
        <v>2004</v>
      </c>
      <c r="I142" s="5" t="s">
        <v>221</v>
      </c>
      <c r="J142" s="37">
        <v>97</v>
      </c>
      <c r="K142" s="17" t="s">
        <v>14</v>
      </c>
      <c r="L142" s="17">
        <f>IFERROR(1/((LEN(master2[[#This Row],[Genres]])-LEN(SUBSTITUTE(master2[[#This Row],[Genres]],"'","")))/2),0)</f>
        <v>1</v>
      </c>
      <c r="M142" s="5"/>
      <c r="N142" s="29">
        <v>7.1</v>
      </c>
      <c r="O142" s="5" t="str">
        <f>TEXT(WEEKDAY(master2[[#This Row],[Datum]]),"dddd")</f>
        <v>Thursday</v>
      </c>
    </row>
    <row r="143" spans="1:15">
      <c r="A143" s="5">
        <v>140</v>
      </c>
      <c r="B143" s="5">
        <v>3</v>
      </c>
      <c r="C143" s="5">
        <f>IF(E143="Rick",C142+1,C142)</f>
        <v>35</v>
      </c>
      <c r="D143" s="28">
        <v>45287</v>
      </c>
      <c r="E143" s="5" t="s">
        <v>18</v>
      </c>
      <c r="F143" s="5" t="s">
        <v>512</v>
      </c>
      <c r="G143" s="5" t="s">
        <v>513</v>
      </c>
      <c r="H143" s="5">
        <v>1960</v>
      </c>
      <c r="I143" s="5" t="s">
        <v>218</v>
      </c>
      <c r="J143" s="37">
        <v>125</v>
      </c>
      <c r="K143" s="17" t="s">
        <v>14</v>
      </c>
      <c r="L143" s="17">
        <f>IFERROR(1/((LEN(master2[[#This Row],[Genres]])-LEN(SUBSTITUTE(master2[[#This Row],[Genres]],"'","")))/2),0)</f>
        <v>0.33333333333333331</v>
      </c>
      <c r="M143" s="5"/>
      <c r="N143" s="29">
        <v>8.3000000000000007</v>
      </c>
      <c r="O143" s="5" t="str">
        <f>TEXT(WEEKDAY(master2[[#This Row],[Datum]]),"dddd")</f>
        <v>Wednesday</v>
      </c>
    </row>
    <row r="144" spans="1:15">
      <c r="A144" s="5">
        <v>141</v>
      </c>
      <c r="B144" s="5">
        <v>3</v>
      </c>
      <c r="C144" s="5">
        <f>IF(E144="Rick",C143+1,C143)</f>
        <v>35</v>
      </c>
      <c r="D144" s="28">
        <v>45294</v>
      </c>
      <c r="E144" s="5" t="s">
        <v>23</v>
      </c>
      <c r="F144" s="5" t="s">
        <v>514</v>
      </c>
      <c r="G144" s="5" t="s">
        <v>515</v>
      </c>
      <c r="H144" s="5">
        <v>2003</v>
      </c>
      <c r="I144" s="5" t="s">
        <v>445</v>
      </c>
      <c r="J144" s="37">
        <v>99</v>
      </c>
      <c r="K144" s="17" t="s">
        <v>14</v>
      </c>
      <c r="L144" s="17">
        <f>IFERROR(1/((LEN(master2[[#This Row],[Genres]])-LEN(SUBSTITUTE(master2[[#This Row],[Genres]],"'","")))/2),0)</f>
        <v>1</v>
      </c>
      <c r="M144" s="5"/>
      <c r="N144" s="29">
        <v>3.6</v>
      </c>
      <c r="O144" s="5" t="str">
        <f>TEXT(WEEKDAY(master2[[#This Row],[Datum]]),"dddd")</f>
        <v>Wednesday</v>
      </c>
    </row>
    <row r="145" spans="1:15">
      <c r="A145" s="5">
        <v>142</v>
      </c>
      <c r="B145" s="5">
        <v>3</v>
      </c>
      <c r="C145" s="5">
        <f>IF(E145="Rick",C144+1,C144)</f>
        <v>35</v>
      </c>
      <c r="D145" s="28">
        <v>45301</v>
      </c>
      <c r="E145" s="5" t="s">
        <v>477</v>
      </c>
      <c r="F145" s="5" t="s">
        <v>516</v>
      </c>
      <c r="G145" s="5" t="s">
        <v>517</v>
      </c>
      <c r="H145" s="5" t="s">
        <v>518</v>
      </c>
      <c r="I145" s="5" t="s">
        <v>519</v>
      </c>
      <c r="J145" s="37" t="s">
        <v>520</v>
      </c>
      <c r="K145" s="17" t="s">
        <v>22</v>
      </c>
      <c r="L145" s="17">
        <f>IFERROR(1/((LEN(master2[[#This Row],[Genres]])-LEN(SUBSTITUTE(master2[[#This Row],[Genres]],"'","")))/2),0)</f>
        <v>0.5</v>
      </c>
      <c r="M145" s="5"/>
      <c r="N145" s="29">
        <v>7</v>
      </c>
      <c r="O145" s="5" t="str">
        <f>TEXT(WEEKDAY(master2[[#This Row],[Datum]]),"dddd")</f>
        <v>Wednesday</v>
      </c>
    </row>
    <row r="146" spans="1:15">
      <c r="A146" s="5">
        <v>143</v>
      </c>
      <c r="B146" s="5">
        <v>3</v>
      </c>
      <c r="C146" s="5">
        <f>IF(E146="Rick",C145+1,C145)</f>
        <v>35</v>
      </c>
      <c r="D146" s="28">
        <v>45307</v>
      </c>
      <c r="E146" s="5" t="s">
        <v>29</v>
      </c>
      <c r="F146" s="5" t="s">
        <v>521</v>
      </c>
      <c r="G146" s="5" t="s">
        <v>522</v>
      </c>
      <c r="H146" s="5">
        <v>1994</v>
      </c>
      <c r="I146" s="5" t="s">
        <v>523</v>
      </c>
      <c r="J146" s="37">
        <v>118</v>
      </c>
      <c r="K146" s="17" t="s">
        <v>14</v>
      </c>
      <c r="L146" s="17">
        <f>IFERROR(1/((LEN(master2[[#This Row],[Genres]])-LEN(SUBSTITUTE(master2[[#This Row],[Genres]],"'","")))/2),0)</f>
        <v>0.5</v>
      </c>
      <c r="M146" s="5"/>
      <c r="N146" s="29">
        <v>5.9</v>
      </c>
      <c r="O146" s="5" t="str">
        <f>TEXT(WEEKDAY(master2[[#This Row],[Datum]]),"dddd")</f>
        <v>Tuesday</v>
      </c>
    </row>
    <row r="147" spans="1:15">
      <c r="A147" s="5">
        <v>144</v>
      </c>
      <c r="B147" s="5" t="s">
        <v>446</v>
      </c>
      <c r="C147" s="5">
        <f>IF(E147="Rick",C146+1,C146)</f>
        <v>36</v>
      </c>
      <c r="D147" s="28">
        <v>45315</v>
      </c>
      <c r="E147" s="5" t="s">
        <v>18</v>
      </c>
      <c r="F147" s="5" t="s">
        <v>524</v>
      </c>
      <c r="G147" s="5" t="s">
        <v>525</v>
      </c>
      <c r="H147" s="5" t="s">
        <v>526</v>
      </c>
      <c r="I147" s="5" t="s">
        <v>527</v>
      </c>
      <c r="J147" s="37" t="s">
        <v>528</v>
      </c>
      <c r="K147" s="17" t="s">
        <v>14</v>
      </c>
      <c r="L147" s="17">
        <f>IFERROR(1/((LEN(master2[[#This Row],[Genres]])-LEN(SUBSTITUTE(master2[[#This Row],[Genres]],"'","")))/2),0)</f>
        <v>0.33333333333333331</v>
      </c>
      <c r="M147" s="5"/>
      <c r="N147" s="29">
        <v>7.7</v>
      </c>
      <c r="O147" s="5" t="str">
        <f>TEXT(WEEKDAY(master2[[#This Row],[Datum]]),"dddd")</f>
        <v>Wednesday</v>
      </c>
    </row>
    <row r="148" spans="1:15">
      <c r="A148" s="5">
        <v>145</v>
      </c>
      <c r="B148" s="5" t="s">
        <v>446</v>
      </c>
      <c r="C148" s="5">
        <f>IF(E148="Rick",C147+1,C147)</f>
        <v>36</v>
      </c>
      <c r="D148" s="28">
        <v>45322</v>
      </c>
      <c r="E148" s="5" t="s">
        <v>23</v>
      </c>
      <c r="F148" s="5" t="s">
        <v>529</v>
      </c>
      <c r="G148" s="5" t="s">
        <v>530</v>
      </c>
      <c r="H148" s="5">
        <v>2010</v>
      </c>
      <c r="I148" s="5" t="s">
        <v>531</v>
      </c>
      <c r="J148" s="37">
        <v>103</v>
      </c>
      <c r="K148" s="17" t="s">
        <v>14</v>
      </c>
      <c r="L148" s="17">
        <f>IFERROR(1/((LEN(master2[[#This Row],[Genres]])-LEN(SUBSTITUTE(master2[[#This Row],[Genres]],"'","")))/2),0)</f>
        <v>0.2</v>
      </c>
      <c r="M148" s="5"/>
      <c r="N148" s="29">
        <v>8.3000000000000007</v>
      </c>
      <c r="O148" s="5" t="str">
        <f>TEXT(WEEKDAY(master2[[#This Row],[Datum]]),"dddd")</f>
        <v>Wednesday</v>
      </c>
    </row>
    <row r="149" spans="1:15">
      <c r="A149" s="5">
        <v>146</v>
      </c>
      <c r="B149" s="5" t="s">
        <v>446</v>
      </c>
      <c r="C149" s="5">
        <f>IF(E149="Rick",C148+1,C148)</f>
        <v>36</v>
      </c>
      <c r="D149" s="28">
        <v>45329</v>
      </c>
      <c r="E149" s="5" t="s">
        <v>477</v>
      </c>
      <c r="F149" s="5" t="s">
        <v>532</v>
      </c>
      <c r="G149" s="5" t="s">
        <v>533</v>
      </c>
      <c r="H149" s="5">
        <v>2022</v>
      </c>
      <c r="I149" s="5" t="s">
        <v>471</v>
      </c>
      <c r="J149" s="37">
        <v>95</v>
      </c>
      <c r="K149" s="17" t="s">
        <v>14</v>
      </c>
      <c r="L149" s="17">
        <f>IFERROR(1/((LEN(master2[[#This Row],[Genres]])-LEN(SUBSTITUTE(master2[[#This Row],[Genres]],"'","")))/2),0)</f>
        <v>0.5</v>
      </c>
      <c r="M149" s="5"/>
      <c r="N149" s="29">
        <v>7.1</v>
      </c>
      <c r="O149" s="5" t="str">
        <f>TEXT(WEEKDAY(master2[[#This Row],[Datum]]),"dddd")</f>
        <v>Wednesday</v>
      </c>
    </row>
    <row r="150" spans="1:15">
      <c r="A150" s="5">
        <v>147</v>
      </c>
      <c r="B150" s="5" t="s">
        <v>446</v>
      </c>
      <c r="C150" s="5">
        <f>IF(E150="Rick",C149+1,C149)</f>
        <v>36</v>
      </c>
      <c r="D150" s="28">
        <v>45343</v>
      </c>
      <c r="E150" s="5" t="s">
        <v>29</v>
      </c>
      <c r="F150" s="5" t="s">
        <v>534</v>
      </c>
      <c r="G150" s="5" t="s">
        <v>535</v>
      </c>
      <c r="H150" s="5">
        <v>2023</v>
      </c>
      <c r="I150" s="5" t="s">
        <v>112</v>
      </c>
      <c r="J150" s="37">
        <v>131</v>
      </c>
      <c r="K150" s="17" t="s">
        <v>14</v>
      </c>
      <c r="L150" s="17">
        <f>IFERROR(1/((LEN(master2[[#This Row],[Genres]])-LEN(SUBSTITUTE(master2[[#This Row],[Genres]],"'","")))/2),0)</f>
        <v>0.33333333333333331</v>
      </c>
      <c r="M150" s="5"/>
      <c r="N150" s="29">
        <v>7</v>
      </c>
      <c r="O150" s="5" t="str">
        <f>TEXT(WEEKDAY(master2[[#This Row],[Datum]]),"dddd")</f>
        <v>Wednesday</v>
      </c>
    </row>
    <row r="151" spans="1:15">
      <c r="A151" s="5">
        <v>148</v>
      </c>
      <c r="B151" s="5" t="s">
        <v>446</v>
      </c>
      <c r="C151" s="5">
        <f>IF(E151="Rick",C150+1,C150)</f>
        <v>37</v>
      </c>
      <c r="D151" s="28">
        <v>45350</v>
      </c>
      <c r="E151" s="5" t="s">
        <v>18</v>
      </c>
      <c r="F151" t="s">
        <v>536</v>
      </c>
      <c r="G151" t="s">
        <v>537</v>
      </c>
      <c r="H151" s="5">
        <v>2007</v>
      </c>
      <c r="I151" t="s">
        <v>538</v>
      </c>
      <c r="J151" s="37">
        <v>86</v>
      </c>
      <c r="K151" s="17" t="s">
        <v>14</v>
      </c>
      <c r="L151" s="17">
        <f>IFERROR(1/((LEN(master2[[#This Row],[Genres]])-LEN(SUBSTITUTE(master2[[#This Row],[Genres]],"'","")))/2),0)</f>
        <v>0.33333333333333331</v>
      </c>
      <c r="N151" s="29">
        <v>6.6</v>
      </c>
      <c r="O151" s="5" t="str">
        <f>TEXT(WEEKDAY(master2[[#This Row],[Datum]]),"dddd")</f>
        <v>Wednesday</v>
      </c>
    </row>
    <row r="152" spans="1:15">
      <c r="A152" s="5">
        <v>149</v>
      </c>
      <c r="B152" s="5">
        <v>4</v>
      </c>
      <c r="C152" s="5">
        <f>IF(E152="Rick",C151+1,C151)</f>
        <v>37</v>
      </c>
      <c r="D152" s="28">
        <v>45361</v>
      </c>
      <c r="E152" s="5" t="s">
        <v>10</v>
      </c>
      <c r="F152" t="s">
        <v>539</v>
      </c>
      <c r="G152" t="s">
        <v>540</v>
      </c>
      <c r="H152" s="5">
        <v>2024</v>
      </c>
      <c r="I152" t="s">
        <v>179</v>
      </c>
      <c r="J152" s="37">
        <v>166</v>
      </c>
      <c r="K152" s="17" t="s">
        <v>14</v>
      </c>
      <c r="L152" s="17">
        <f>IFERROR(1/((LEN(master2[[#This Row],[Genres]])-LEN(SUBSTITUTE(master2[[#This Row],[Genres]],"'","")))/2),0)</f>
        <v>0.25</v>
      </c>
      <c r="N152" s="29">
        <v>8.8000000000000007</v>
      </c>
      <c r="O152" s="5" t="str">
        <f>TEXT(WEEKDAY(master2[[#This Row],[Datum]]),"dddd")</f>
        <v>Sunday</v>
      </c>
    </row>
    <row r="153" spans="1:15">
      <c r="A153" s="5">
        <v>150</v>
      </c>
      <c r="B153" s="5">
        <v>4</v>
      </c>
      <c r="C153" s="5">
        <f>IF(E153="Rick",C152+1,C152)</f>
        <v>37</v>
      </c>
      <c r="D153" s="28">
        <v>45364</v>
      </c>
      <c r="E153" s="5" t="s">
        <v>23</v>
      </c>
      <c r="F153" t="s">
        <v>541</v>
      </c>
      <c r="G153" t="s">
        <v>542</v>
      </c>
      <c r="H153" s="5">
        <v>1984</v>
      </c>
      <c r="I153" t="s">
        <v>224</v>
      </c>
      <c r="J153" s="37">
        <v>105</v>
      </c>
      <c r="K153" s="17" t="s">
        <v>14</v>
      </c>
      <c r="L153" s="17">
        <f>IFERROR(1/((LEN(master2[[#This Row],[Genres]])-LEN(SUBSTITUTE(master2[[#This Row],[Genres]],"'","")))/2),0)</f>
        <v>0.25</v>
      </c>
      <c r="M153" t="s">
        <v>543</v>
      </c>
      <c r="N153" s="29">
        <v>7.4</v>
      </c>
      <c r="O153" s="5" t="str">
        <f>TEXT(WEEKDAY(master2[[#This Row],[Datum]]),"dddd")</f>
        <v>Wednesday</v>
      </c>
    </row>
    <row r="154" spans="1:15">
      <c r="A154" s="5">
        <v>151</v>
      </c>
      <c r="B154" s="5">
        <v>4</v>
      </c>
      <c r="C154" s="5">
        <f>IF(E154="Rick",C153+1,C153)</f>
        <v>37</v>
      </c>
      <c r="D154" s="28">
        <v>45379</v>
      </c>
      <c r="E154" s="5" t="s">
        <v>477</v>
      </c>
      <c r="F154" t="s">
        <v>544</v>
      </c>
      <c r="G154" t="s">
        <v>545</v>
      </c>
      <c r="H154" s="5">
        <v>2003</v>
      </c>
      <c r="I154" t="s">
        <v>221</v>
      </c>
      <c r="J154" s="37">
        <v>84</v>
      </c>
      <c r="K154" s="17" t="s">
        <v>22</v>
      </c>
      <c r="L154" s="17">
        <f>IFERROR(1/((LEN(master2[[#This Row],[Genres]])-LEN(SUBSTITUTE(master2[[#This Row],[Genres]],"'","")))/2),0)</f>
        <v>1</v>
      </c>
      <c r="M154" t="s">
        <v>543</v>
      </c>
      <c r="N154" s="29">
        <v>5.5</v>
      </c>
      <c r="O154" s="5" t="str">
        <f>TEXT(WEEKDAY(master2[[#This Row],[Datum]]),"dddd")</f>
        <v>Thursday</v>
      </c>
    </row>
    <row r="155" spans="1:15">
      <c r="A155" s="5">
        <v>152</v>
      </c>
      <c r="B155" s="5">
        <v>4</v>
      </c>
      <c r="C155" s="5">
        <f>IF(E155="Rick",C154+1,C154)</f>
        <v>37</v>
      </c>
      <c r="D155" s="28">
        <v>45385</v>
      </c>
      <c r="E155" s="5" t="s">
        <v>29</v>
      </c>
      <c r="F155" t="s">
        <v>546</v>
      </c>
      <c r="G155" t="s">
        <v>547</v>
      </c>
      <c r="H155" s="5">
        <v>1973</v>
      </c>
      <c r="I155" t="s">
        <v>548</v>
      </c>
      <c r="J155" s="37">
        <v>106</v>
      </c>
      <c r="K155" s="17" t="s">
        <v>22</v>
      </c>
      <c r="L155" s="17">
        <f>IFERROR(1/((LEN(master2[[#This Row],[Genres]])-LEN(SUBSTITUTE(master2[[#This Row],[Genres]],"'","")))/2),0)</f>
        <v>0.33333333333333331</v>
      </c>
      <c r="M155" t="s">
        <v>543</v>
      </c>
      <c r="N155" s="29">
        <v>7.4</v>
      </c>
      <c r="O155" s="5" t="str">
        <f>TEXT(WEEKDAY(master2[[#This Row],[Datum]]),"dddd")</f>
        <v>Wednesday</v>
      </c>
    </row>
    <row r="156" spans="1:15">
      <c r="A156" s="5">
        <v>153</v>
      </c>
      <c r="B156" s="5" t="s">
        <v>549</v>
      </c>
      <c r="C156" s="5">
        <f>IF(E156="Rick",C142+1,C142)</f>
        <v>35</v>
      </c>
      <c r="D156" s="28">
        <v>45392</v>
      </c>
      <c r="E156" s="5" t="s">
        <v>18</v>
      </c>
      <c r="F156" s="5" t="s">
        <v>550</v>
      </c>
      <c r="G156" s="5" t="s">
        <v>551</v>
      </c>
      <c r="H156" s="5">
        <v>2023</v>
      </c>
      <c r="I156" s="5" t="s">
        <v>398</v>
      </c>
      <c r="J156" s="37" t="s">
        <v>552</v>
      </c>
      <c r="K156" s="17" t="s">
        <v>14</v>
      </c>
      <c r="L156" s="17">
        <f>IFERROR(1/((LEN(master2[[#This Row],[Genres]])-LEN(SUBSTITUTE(master2[[#This Row],[Genres]],"'","")))/2),0)</f>
        <v>0.5</v>
      </c>
      <c r="M156" s="5" t="s">
        <v>543</v>
      </c>
      <c r="N156" s="29">
        <v>6.5</v>
      </c>
      <c r="O156" s="5" t="str">
        <f>TEXT(WEEKDAY(master2[[#This Row],[Datum]]),"dddd")</f>
        <v>Wednesday</v>
      </c>
    </row>
    <row r="157" spans="1:15">
      <c r="A157" s="5">
        <v>154</v>
      </c>
      <c r="B157" s="5" t="s">
        <v>549</v>
      </c>
      <c r="C157" s="5">
        <f>IF(E157="Rick",C143+1,C143)</f>
        <v>35</v>
      </c>
      <c r="D157" s="28">
        <v>45398</v>
      </c>
      <c r="E157" s="5" t="s">
        <v>23</v>
      </c>
      <c r="F157" t="s">
        <v>553</v>
      </c>
      <c r="G157" t="s">
        <v>554</v>
      </c>
      <c r="H157" s="5">
        <v>2024</v>
      </c>
      <c r="I157" t="s">
        <v>208</v>
      </c>
      <c r="J157" s="37">
        <v>121</v>
      </c>
      <c r="K157" s="17" t="s">
        <v>14</v>
      </c>
      <c r="L157" s="17">
        <f>IFERROR(1/((LEN(master2[[#This Row],[Genres]])-LEN(SUBSTITUTE(master2[[#This Row],[Genres]],"'","")))/2),0)</f>
        <v>0.5</v>
      </c>
      <c r="M157" t="s">
        <v>543</v>
      </c>
      <c r="N157" s="29">
        <v>6.2</v>
      </c>
      <c r="O157" s="5" t="str">
        <f>TEXT(WEEKDAY(master2[[#This Row],[Datum]]),"dddd")</f>
        <v>Tuesday</v>
      </c>
    </row>
    <row r="158" spans="1:15">
      <c r="A158" s="5">
        <v>155</v>
      </c>
      <c r="B158" s="5" t="s">
        <v>549</v>
      </c>
      <c r="C158" s="5">
        <f>IF(E158="Rick",C144+1,C144)</f>
        <v>35</v>
      </c>
      <c r="D158" s="28">
        <v>45418</v>
      </c>
      <c r="E158" s="5" t="s">
        <v>477</v>
      </c>
      <c r="F158" t="s">
        <v>555</v>
      </c>
      <c r="G158" t="s">
        <v>556</v>
      </c>
      <c r="H158" s="5">
        <v>2002</v>
      </c>
      <c r="I158" t="s">
        <v>557</v>
      </c>
      <c r="J158" s="37">
        <v>107</v>
      </c>
      <c r="K158" s="17" t="s">
        <v>22</v>
      </c>
      <c r="L158" s="17">
        <f>IFERROR(1/((LEN(master2[[#This Row],[Genres]])-LEN(SUBSTITUTE(master2[[#This Row],[Genres]],"'","")))/2),0)</f>
        <v>0.25</v>
      </c>
      <c r="M158" t="s">
        <v>543</v>
      </c>
      <c r="N158" s="29">
        <v>6.7</v>
      </c>
      <c r="O158" s="5" t="str">
        <f>TEXT(WEEKDAY(master2[[#This Row],[Datum]]),"dddd")</f>
        <v>Monday</v>
      </c>
    </row>
    <row r="159" spans="1:15">
      <c r="A159" s="5">
        <v>156</v>
      </c>
      <c r="B159" s="5">
        <v>4</v>
      </c>
      <c r="C159" s="5">
        <f>IF(E159="Rick",C145+1,C145)</f>
        <v>35</v>
      </c>
      <c r="D159" s="28">
        <v>45427</v>
      </c>
      <c r="E159" s="5" t="s">
        <v>29</v>
      </c>
      <c r="F159" t="s">
        <v>558</v>
      </c>
      <c r="G159" t="s">
        <v>559</v>
      </c>
      <c r="H159" s="5">
        <v>2000</v>
      </c>
      <c r="I159" t="s">
        <v>560</v>
      </c>
      <c r="J159" s="37">
        <v>102</v>
      </c>
      <c r="K159" s="17" t="s">
        <v>14</v>
      </c>
      <c r="L159" s="17">
        <f>IFERROR(1/((LEN(master2[[#This Row],[Genres]])-LEN(SUBSTITUTE(master2[[#This Row],[Genres]],"'","")))/2),0)</f>
        <v>0.33333333333333331</v>
      </c>
      <c r="M159" t="s">
        <v>543</v>
      </c>
      <c r="N159" s="29">
        <v>7.6</v>
      </c>
      <c r="O159" s="5" t="str">
        <f>TEXT(WEEKDAY(master2[[#This Row],[Datum]]),"dddd")</f>
        <v>Wednesday</v>
      </c>
    </row>
    <row r="160" spans="1:15">
      <c r="A160" s="5">
        <v>157</v>
      </c>
      <c r="B160" s="5">
        <v>4</v>
      </c>
      <c r="C160" s="5">
        <f>IF(E160="Rick",C146+1,C146)</f>
        <v>36</v>
      </c>
      <c r="D160" s="28">
        <v>45434</v>
      </c>
      <c r="E160" s="5" t="s">
        <v>18</v>
      </c>
      <c r="F160" t="s">
        <v>561</v>
      </c>
      <c r="G160" t="s">
        <v>562</v>
      </c>
      <c r="H160" s="5">
        <v>2018</v>
      </c>
      <c r="I160" t="s">
        <v>243</v>
      </c>
      <c r="J160" s="37">
        <v>140</v>
      </c>
      <c r="K160" s="17" t="s">
        <v>14</v>
      </c>
      <c r="L160" s="17">
        <f>IFERROR(1/((LEN(master2[[#This Row],[Genres]])-LEN(SUBSTITUTE(master2[[#This Row],[Genres]],"'","")))/2),0)</f>
        <v>0.25</v>
      </c>
      <c r="M160" t="s">
        <v>543</v>
      </c>
      <c r="N160" s="29">
        <v>7</v>
      </c>
      <c r="O160" s="5" t="str">
        <f>TEXT(WEEKDAY(master2[[#This Row],[Datum]]),"dddd")</f>
        <v>Wednesday</v>
      </c>
    </row>
    <row r="161" spans="1:15">
      <c r="A161" s="5">
        <v>158</v>
      </c>
      <c r="B161" s="5" t="s">
        <v>549</v>
      </c>
      <c r="C161" s="5">
        <f>IF(E161="Rick",C147+1,C147)</f>
        <v>36</v>
      </c>
      <c r="D161" s="28">
        <v>45484</v>
      </c>
      <c r="E161" s="5" t="s">
        <v>23</v>
      </c>
      <c r="F161" t="s">
        <v>563</v>
      </c>
      <c r="G161" t="s">
        <v>564</v>
      </c>
      <c r="H161" s="5">
        <v>1995</v>
      </c>
      <c r="I161" t="s">
        <v>224</v>
      </c>
      <c r="J161" s="37">
        <v>119</v>
      </c>
      <c r="K161" s="17" t="s">
        <v>22</v>
      </c>
      <c r="L161" s="17">
        <f>IFERROR(1/((LEN(master2[[#This Row],[Genres]])-LEN(SUBSTITUTE(master2[[#This Row],[Genres]],"'","")))/2),0)</f>
        <v>0.25</v>
      </c>
      <c r="M161" t="s">
        <v>543</v>
      </c>
      <c r="N161" s="29">
        <v>6.8</v>
      </c>
      <c r="O161" s="5" t="str">
        <f>TEXT(WEEKDAY(master2[[#This Row],[Datum]]),"dddd")</f>
        <v>Thursday</v>
      </c>
    </row>
    <row r="162" spans="1:15">
      <c r="A162" s="5">
        <v>159</v>
      </c>
      <c r="B162" s="5" t="s">
        <v>549</v>
      </c>
      <c r="C162" s="5">
        <f>IF(E162="Rick",C148+1,C148)</f>
        <v>36</v>
      </c>
      <c r="D162" s="28">
        <v>45491</v>
      </c>
      <c r="E162" s="5" t="s">
        <v>477</v>
      </c>
      <c r="F162" t="s">
        <v>565</v>
      </c>
      <c r="G162" s="31" t="s">
        <v>566</v>
      </c>
      <c r="H162" s="5">
        <v>1988</v>
      </c>
      <c r="I162" t="s">
        <v>398</v>
      </c>
      <c r="J162" s="37">
        <v>85</v>
      </c>
      <c r="K162" s="17" t="s">
        <v>22</v>
      </c>
      <c r="L162" s="17">
        <f>IFERROR(1/((LEN(master2[[#This Row],[Genres]])-LEN(SUBSTITUTE(master2[[#This Row],[Genres]],"'","")))/2),0)</f>
        <v>0.5</v>
      </c>
      <c r="M162" t="s">
        <v>543</v>
      </c>
      <c r="N162" s="29">
        <v>7.6</v>
      </c>
      <c r="O162" s="5" t="str">
        <f>TEXT(WEEKDAY(master2[[#This Row],[Datum]]),"dddd")</f>
        <v>Thursday</v>
      </c>
    </row>
    <row r="163" spans="1:15">
      <c r="A163" s="5">
        <v>160</v>
      </c>
      <c r="B163" s="5" t="s">
        <v>549</v>
      </c>
      <c r="C163" s="5">
        <f>IF(E163="Rick",C149+1,C149)</f>
        <v>36</v>
      </c>
      <c r="D163" s="28">
        <v>45497</v>
      </c>
      <c r="E163" s="5" t="s">
        <v>29</v>
      </c>
      <c r="F163" t="s">
        <v>567</v>
      </c>
      <c r="G163" t="s">
        <v>568</v>
      </c>
      <c r="H163" s="5">
        <v>1999</v>
      </c>
      <c r="I163" t="s">
        <v>569</v>
      </c>
      <c r="J163" s="37">
        <v>101</v>
      </c>
      <c r="K163" s="17" t="s">
        <v>14</v>
      </c>
      <c r="L163" s="17">
        <f>IFERROR(1/((LEN(master2[[#This Row],[Genres]])-LEN(SUBSTITUTE(master2[[#This Row],[Genres]],"'","")))/2),0)</f>
        <v>0.25</v>
      </c>
      <c r="M163" t="s">
        <v>543</v>
      </c>
      <c r="N163" s="29">
        <v>6.9</v>
      </c>
      <c r="O163" s="5" t="str">
        <f>TEXT(WEEKDAY(master2[[#This Row],[Datum]]),"dddd")</f>
        <v>Wednesday</v>
      </c>
    </row>
    <row r="164" spans="1:15">
      <c r="A164" s="5">
        <v>161</v>
      </c>
      <c r="B164" s="5">
        <v>4</v>
      </c>
      <c r="C164" s="5">
        <f>IF(E164="Rick",C150+1,C150)</f>
        <v>37</v>
      </c>
      <c r="D164" s="28">
        <v>45504</v>
      </c>
      <c r="E164" s="5" t="s">
        <v>18</v>
      </c>
      <c r="F164" t="s">
        <v>570</v>
      </c>
      <c r="G164" t="s">
        <v>571</v>
      </c>
      <c r="H164" s="5">
        <v>2024</v>
      </c>
      <c r="I164" t="s">
        <v>106</v>
      </c>
      <c r="J164" s="37">
        <v>148</v>
      </c>
      <c r="K164" s="17" t="s">
        <v>14</v>
      </c>
      <c r="L164" s="17">
        <f>IFERROR(1/((LEN(master2[[#This Row],[Genres]])-LEN(SUBSTITUTE(master2[[#This Row],[Genres]],"'","")))/2),0)</f>
        <v>0.25</v>
      </c>
      <c r="M164" t="s">
        <v>543</v>
      </c>
      <c r="N164" s="29">
        <v>7.6</v>
      </c>
      <c r="O164" s="5" t="str">
        <f>TEXT(WEEKDAY(master2[[#This Row],[Datum]]),"dddd")</f>
        <v>Wednesday</v>
      </c>
    </row>
    <row r="165" spans="1:15">
      <c r="A165" s="5">
        <v>162</v>
      </c>
      <c r="B165" s="5">
        <v>4</v>
      </c>
      <c r="C165" s="5">
        <f>IF(E165="Rick",C151+1,C151)</f>
        <v>37</v>
      </c>
      <c r="D165" s="28">
        <v>45511</v>
      </c>
      <c r="E165" s="5" t="s">
        <v>23</v>
      </c>
      <c r="F165" t="s">
        <v>572</v>
      </c>
      <c r="G165" t="s">
        <v>573</v>
      </c>
      <c r="H165" s="5">
        <v>2019</v>
      </c>
      <c r="I165" t="s">
        <v>574</v>
      </c>
      <c r="J165" s="37">
        <v>113</v>
      </c>
      <c r="K165" s="17" t="s">
        <v>22</v>
      </c>
      <c r="L165" s="17">
        <v>0.5</v>
      </c>
      <c r="M165" t="s">
        <v>543</v>
      </c>
      <c r="N165" s="29">
        <v>7.8</v>
      </c>
      <c r="O165" s="5" t="str">
        <f>TEXT(WEEKDAY(master2[[#This Row],[Datum]]),"dddd")</f>
        <v>Wednesday</v>
      </c>
    </row>
    <row r="166" spans="1:15">
      <c r="A166" s="5">
        <v>163</v>
      </c>
      <c r="B166" s="5" t="s">
        <v>549</v>
      </c>
      <c r="C166" s="5">
        <f>IF(E166="Rick",C152+1,C152)</f>
        <v>37</v>
      </c>
      <c r="D166" s="28">
        <v>45525</v>
      </c>
      <c r="E166" s="5" t="s">
        <v>477</v>
      </c>
      <c r="F166" t="s">
        <v>575</v>
      </c>
      <c r="G166" t="s">
        <v>576</v>
      </c>
      <c r="H166" s="5">
        <v>1989</v>
      </c>
      <c r="I166" t="s">
        <v>494</v>
      </c>
      <c r="J166" s="37">
        <v>107</v>
      </c>
      <c r="K166" s="17" t="s">
        <v>14</v>
      </c>
      <c r="L166" s="17">
        <v>0.5</v>
      </c>
      <c r="M166" t="s">
        <v>543</v>
      </c>
      <c r="N166" s="29">
        <v>7.2</v>
      </c>
      <c r="O166" s="5" t="str">
        <f>TEXT(WEEKDAY(master2[[#This Row],[Datum]]),"dddd")</f>
        <v>Wednesday</v>
      </c>
    </row>
    <row r="167" spans="1:15">
      <c r="B167" s="5"/>
      <c r="C167" s="5"/>
      <c r="E167" s="5"/>
      <c r="H167" s="5"/>
      <c r="N167" s="29"/>
      <c r="O167" s="5"/>
    </row>
    <row r="168" spans="1:15">
      <c r="B168" s="5"/>
      <c r="C168" s="5"/>
      <c r="E168" s="5"/>
      <c r="H168" s="5"/>
      <c r="N168" s="29"/>
      <c r="O168" s="5"/>
    </row>
    <row r="169" spans="1:15">
      <c r="B169" s="5"/>
      <c r="C169" s="5"/>
      <c r="E169" s="5"/>
      <c r="H169" s="5"/>
      <c r="N169" s="29"/>
      <c r="O169" s="5"/>
    </row>
    <row r="170" spans="1:15">
      <c r="B170" s="5"/>
      <c r="C170" s="5"/>
      <c r="E170" s="5"/>
      <c r="H170" s="5"/>
      <c r="N170" s="29"/>
      <c r="O170" s="5"/>
    </row>
    <row r="171" spans="1:15">
      <c r="B171" s="5"/>
      <c r="C171" s="5"/>
      <c r="E171" s="5"/>
      <c r="H171" s="5"/>
      <c r="N171" s="29"/>
      <c r="O171" s="5"/>
    </row>
    <row r="172" spans="1:15">
      <c r="B172" s="5"/>
      <c r="C172" s="5"/>
      <c r="E172" s="5"/>
      <c r="H172" s="5"/>
      <c r="N172" s="29"/>
      <c r="O172" s="5"/>
    </row>
    <row r="173" spans="1:15">
      <c r="B173" s="5"/>
      <c r="C173" s="5"/>
      <c r="E173" s="5"/>
      <c r="H173" s="5"/>
      <c r="N173" s="29"/>
      <c r="O173" s="5"/>
    </row>
    <row r="174" spans="1:15">
      <c r="B174" s="5"/>
      <c r="C174" s="5"/>
      <c r="E174" s="5"/>
      <c r="H174" s="5"/>
      <c r="N174" s="29"/>
      <c r="O174" s="5"/>
    </row>
    <row r="175" spans="1:15">
      <c r="B175" s="5"/>
      <c r="C175" s="5"/>
      <c r="E175" s="5"/>
      <c r="H175" s="5"/>
      <c r="N175" s="29"/>
      <c r="O175" s="5"/>
    </row>
    <row r="176" spans="1:15">
      <c r="B176" s="5"/>
      <c r="C176" s="5"/>
      <c r="E176" s="5"/>
      <c r="H176" s="5"/>
      <c r="N176" s="29"/>
      <c r="O176" s="5"/>
    </row>
    <row r="177" spans="2:15">
      <c r="B177" s="5"/>
      <c r="C177" s="5"/>
      <c r="E177" s="5"/>
      <c r="H177" s="5"/>
      <c r="N177" s="29"/>
      <c r="O177" s="5"/>
    </row>
    <row r="178" spans="2:15">
      <c r="B178" s="5"/>
      <c r="C178" s="5"/>
      <c r="E178" s="5"/>
      <c r="H178" s="5"/>
      <c r="N178" s="29"/>
      <c r="O178" s="5"/>
    </row>
    <row r="179" spans="2:15">
      <c r="B179" s="5"/>
      <c r="C179" s="5"/>
      <c r="E179" s="5"/>
      <c r="H179" s="5"/>
      <c r="N179" s="29"/>
      <c r="O179" s="5"/>
    </row>
    <row r="180" spans="2:15">
      <c r="B180" s="5"/>
      <c r="C180" s="5"/>
      <c r="E180" s="5"/>
      <c r="H180" s="5"/>
      <c r="N180" s="29"/>
      <c r="O180" s="5"/>
    </row>
    <row r="181" spans="2:15">
      <c r="B181" s="5"/>
      <c r="C181" s="5"/>
      <c r="E181" s="5"/>
      <c r="H181" s="5"/>
      <c r="N181" s="29"/>
      <c r="O181" s="5"/>
    </row>
    <row r="182" spans="2:15">
      <c r="B182" s="5"/>
      <c r="C182" s="5"/>
      <c r="E182" s="5"/>
      <c r="H182" s="5"/>
      <c r="N182" s="29"/>
      <c r="O182" s="5"/>
    </row>
    <row r="183" spans="2:15">
      <c r="B183" s="5"/>
      <c r="C183" s="5"/>
      <c r="E183" s="5"/>
      <c r="H183" s="5"/>
      <c r="N183" s="29"/>
      <c r="O183" s="5"/>
    </row>
    <row r="184" spans="2:15">
      <c r="B184" s="5"/>
      <c r="C184" s="5"/>
      <c r="E184" s="5"/>
      <c r="H184" s="5"/>
      <c r="N184" s="29"/>
      <c r="O184" s="5"/>
    </row>
    <row r="185" spans="2:15">
      <c r="B185" s="5"/>
      <c r="C185" s="5"/>
      <c r="E185" s="5"/>
      <c r="H185" s="5"/>
      <c r="N185" s="29"/>
      <c r="O185" s="5"/>
    </row>
    <row r="186" spans="2:15">
      <c r="B186" s="5"/>
      <c r="C186" s="5"/>
      <c r="E186" s="5"/>
      <c r="H186" s="5"/>
      <c r="N186" s="29"/>
      <c r="O186" s="5"/>
    </row>
    <row r="187" spans="2:15">
      <c r="B187" s="5"/>
      <c r="C187" s="5"/>
      <c r="E187" s="5"/>
      <c r="H187" s="5"/>
      <c r="N187" s="29"/>
      <c r="O187" s="5"/>
    </row>
    <row r="188" spans="2:15">
      <c r="B188" s="5"/>
      <c r="C188" s="5"/>
      <c r="E188" s="5"/>
      <c r="H188" s="5"/>
      <c r="N188" s="29"/>
      <c r="O188" s="5"/>
    </row>
    <row r="189" spans="2:15">
      <c r="B189" s="5"/>
      <c r="C189" s="5"/>
      <c r="E189" s="5"/>
      <c r="H189" s="5"/>
      <c r="N189" s="29"/>
      <c r="O189" s="5"/>
    </row>
    <row r="190" spans="2:15">
      <c r="B190" s="5"/>
      <c r="C190" s="5"/>
      <c r="E190" s="5"/>
      <c r="H190" s="5"/>
      <c r="N190" s="29"/>
      <c r="O190" s="5"/>
    </row>
    <row r="191" spans="2:15">
      <c r="B191" s="5"/>
      <c r="C191" s="5"/>
      <c r="E191" s="5"/>
      <c r="H191" s="5"/>
      <c r="N191" s="29"/>
      <c r="O191" s="5"/>
    </row>
    <row r="192" spans="2:15">
      <c r="B192" s="5"/>
      <c r="C192" s="5"/>
      <c r="E192" s="5"/>
      <c r="H192" s="5"/>
      <c r="N192" s="29"/>
      <c r="O192" s="5"/>
    </row>
    <row r="193" spans="2:15">
      <c r="B193" s="5"/>
      <c r="C193" s="5"/>
      <c r="E193" s="5"/>
      <c r="H193" s="5"/>
      <c r="N193" s="29"/>
      <c r="O193" s="5"/>
    </row>
    <row r="194" spans="2:15">
      <c r="B194" s="5"/>
      <c r="C194" s="5"/>
      <c r="E194" s="5"/>
      <c r="H194" s="5"/>
      <c r="N194" s="29"/>
      <c r="O194" s="5"/>
    </row>
    <row r="195" spans="2:15">
      <c r="B195" s="5"/>
      <c r="C195" s="5"/>
      <c r="E195" s="5"/>
      <c r="H195" s="5"/>
      <c r="N195" s="29"/>
      <c r="O195" s="5"/>
    </row>
    <row r="196" spans="2:15">
      <c r="B196" s="5"/>
      <c r="C196" s="5"/>
      <c r="E196" s="5"/>
      <c r="H196" s="5"/>
      <c r="N196" s="29"/>
      <c r="O196" s="5"/>
    </row>
    <row r="197" spans="2:15">
      <c r="B197" s="5"/>
      <c r="C197" s="5"/>
      <c r="E197" s="5"/>
      <c r="H197" s="5"/>
      <c r="N197" s="29"/>
      <c r="O197" s="5"/>
    </row>
    <row r="198" spans="2:15">
      <c r="B198" s="5"/>
      <c r="C198" s="5"/>
      <c r="E198" s="5"/>
      <c r="F198" s="5"/>
      <c r="G198" s="5"/>
      <c r="H198" s="5"/>
      <c r="I198" s="5"/>
      <c r="M198" s="5"/>
      <c r="N198" s="29"/>
      <c r="O198" s="5"/>
    </row>
  </sheetData>
  <pageMargins left="0.7" right="0.7" top="0.75" bottom="0.75" header="0.3" footer="0.3"/>
  <pageSetup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A4096D8-CA55-4CE2-A824-B250FE7CD8BE}">
          <x14:formula1>
            <xm:f>Dropdowns!$B$2:$B$3</xm:f>
          </x14:formula1>
          <xm:sqref>K2:K84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6FD20-41ED-4676-8DBB-CB2D228503C2}">
  <dimension ref="A1:H21"/>
  <sheetViews>
    <sheetView workbookViewId="0">
      <selection activeCell="E43" sqref="E43"/>
    </sheetView>
  </sheetViews>
  <sheetFormatPr defaultRowHeight="15"/>
  <cols>
    <col min="1" max="1" width="12.85546875" bestFit="1" customWidth="1"/>
  </cols>
  <sheetData>
    <row r="1" spans="1:8">
      <c r="A1" s="1" t="s">
        <v>6</v>
      </c>
      <c r="B1" s="1" t="s">
        <v>577</v>
      </c>
    </row>
    <row r="2" spans="1:8">
      <c r="A2" s="2" t="s">
        <v>12</v>
      </c>
      <c r="B2" t="s">
        <v>22</v>
      </c>
    </row>
    <row r="3" spans="1:8">
      <c r="A3" s="2" t="s">
        <v>34</v>
      </c>
      <c r="B3" t="s">
        <v>14</v>
      </c>
    </row>
    <row r="4" spans="1:8">
      <c r="A4" s="2" t="s">
        <v>16</v>
      </c>
    </row>
    <row r="5" spans="1:8">
      <c r="A5" s="2" t="s">
        <v>41</v>
      </c>
    </row>
    <row r="6" spans="1:8">
      <c r="A6" s="2" t="s">
        <v>17</v>
      </c>
    </row>
    <row r="7" spans="1:8">
      <c r="A7" s="2" t="s">
        <v>25</v>
      </c>
    </row>
    <row r="8" spans="1:8">
      <c r="A8" s="2" t="s">
        <v>81</v>
      </c>
    </row>
    <row r="9" spans="1:8">
      <c r="A9" s="2" t="s">
        <v>26</v>
      </c>
    </row>
    <row r="10" spans="1:8" s="2" customFormat="1">
      <c r="A10" s="2" t="s">
        <v>74</v>
      </c>
      <c r="H10"/>
    </row>
    <row r="11" spans="1:8">
      <c r="A11" s="2" t="s">
        <v>62</v>
      </c>
    </row>
    <row r="12" spans="1:8">
      <c r="A12" s="2" t="s">
        <v>578</v>
      </c>
    </row>
    <row r="13" spans="1:8">
      <c r="A13" s="2" t="s">
        <v>63</v>
      </c>
    </row>
    <row r="14" spans="1:8">
      <c r="A14" s="2" t="s">
        <v>46</v>
      </c>
    </row>
    <row r="15" spans="1:8">
      <c r="A15" s="2" t="s">
        <v>20</v>
      </c>
    </row>
    <row r="16" spans="1:8">
      <c r="A16" s="2" t="s">
        <v>68</v>
      </c>
    </row>
    <row r="17" spans="1:1">
      <c r="A17" s="2" t="s">
        <v>21</v>
      </c>
    </row>
    <row r="18" spans="1:1">
      <c r="A18" s="2" t="s">
        <v>579</v>
      </c>
    </row>
    <row r="19" spans="1:1">
      <c r="A19" s="2" t="s">
        <v>13</v>
      </c>
    </row>
    <row r="20" spans="1:1">
      <c r="A20" s="2" t="s">
        <v>44</v>
      </c>
    </row>
    <row r="21" spans="1:1">
      <c r="A21" s="2" t="s">
        <v>58</v>
      </c>
    </row>
  </sheetData>
  <sortState xmlns:xlrd2="http://schemas.microsoft.com/office/spreadsheetml/2017/richdata2" ref="A2:A21">
    <sortCondition ref="A2:A21"/>
  </sortState>
  <hyperlinks>
    <hyperlink ref="A2" r:id="rId1" xr:uid="{42685522-0C49-4BF8-BD6F-7F3423DC0C08}"/>
    <hyperlink ref="A3" r:id="rId2" xr:uid="{58BCDC09-167D-43AF-A725-69B66D072BBF}"/>
    <hyperlink ref="A4" r:id="rId3" xr:uid="{9C201081-7E6B-4BFD-BA12-06AC6F7F74BB}"/>
    <hyperlink ref="A5" r:id="rId4" xr:uid="{71A09DB0-F74F-4FF6-8E60-8F1F6E265C55}"/>
    <hyperlink ref="A6" r:id="rId5" xr:uid="{55381C9A-FD44-4F5B-A6A9-113B172B0DE5}"/>
    <hyperlink ref="A7" r:id="rId6" xr:uid="{6F380D43-737D-4F4A-A6D6-9BFB21F5B2B3}"/>
    <hyperlink ref="A8" r:id="rId7" xr:uid="{0D324041-46EB-43C9-80CA-06964CE37E61}"/>
    <hyperlink ref="A9" r:id="rId8" xr:uid="{2FD58C0B-D236-438D-A8EC-B7D1AD4C63C8}"/>
    <hyperlink ref="A11" r:id="rId9" xr:uid="{7850A58C-BE9B-4602-841F-9E38102E5664}"/>
    <hyperlink ref="A13" r:id="rId10" xr:uid="{2ABD4162-5A9D-42B4-90F2-7ADCB4032459}"/>
    <hyperlink ref="A14" r:id="rId11" xr:uid="{AD946766-B4A5-4F02-945B-0A10BD2026D4}"/>
    <hyperlink ref="A15" r:id="rId12" xr:uid="{DBB93F03-36A8-4FC2-81D4-9E50FC3EB0F1}"/>
    <hyperlink ref="A16" r:id="rId13" xr:uid="{DAC4CCCF-A44E-4CE4-9C43-9C10A6B05394}"/>
    <hyperlink ref="A17" r:id="rId14" xr:uid="{D39B5E6F-3D7E-4770-BC19-208E4E579B26}"/>
    <hyperlink ref="A18" r:id="rId15" xr:uid="{55CC9628-96DD-4B48-9EE4-FDF5A0792885}"/>
    <hyperlink ref="A19" r:id="rId16" xr:uid="{867F7558-9882-4578-9444-93E30AD7573E}"/>
    <hyperlink ref="A20" r:id="rId17" xr:uid="{E3DB35FC-87B7-4FF4-8C98-8388216E0489}"/>
    <hyperlink ref="A21" r:id="rId18" xr:uid="{AF8A99D7-900B-4D1A-BE83-F3D2262EB7BD}"/>
    <hyperlink ref="A12" r:id="rId19" xr:uid="{3C585FB0-91A1-467A-B1E4-308ED04014BD}"/>
  </hyperlinks>
  <pageMargins left="0.7" right="0.7" top="0.75" bottom="0.75" header="0.3" footer="0.3"/>
  <pageSetup orientation="portrait" horizontalDpi="300" verticalDpi="30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C728-0B9A-4007-A10F-5B8D45B80F12}">
  <dimension ref="A1:O27"/>
  <sheetViews>
    <sheetView zoomScale="160" zoomScaleNormal="160" workbookViewId="0">
      <selection activeCell="E6" sqref="E6"/>
    </sheetView>
  </sheetViews>
  <sheetFormatPr defaultRowHeight="15"/>
  <cols>
    <col min="1" max="1" width="13.5703125" bestFit="1" customWidth="1"/>
    <col min="5" max="5" width="11" bestFit="1" customWidth="1"/>
    <col min="9" max="9" width="14.28515625" customWidth="1"/>
    <col min="10" max="10" width="16.140625" bestFit="1" customWidth="1"/>
    <col min="11" max="11" width="5.5703125" bestFit="1" customWidth="1"/>
    <col min="12" max="12" width="7.42578125" bestFit="1" customWidth="1"/>
    <col min="13" max="13" width="6" bestFit="1" customWidth="1"/>
    <col min="14" max="14" width="7" customWidth="1"/>
    <col min="15" max="15" width="12.140625" bestFit="1" customWidth="1"/>
    <col min="17" max="17" width="8.140625" customWidth="1"/>
  </cols>
  <sheetData>
    <row r="1" spans="1:15" ht="14.45" customHeight="1">
      <c r="A1" t="s">
        <v>580</v>
      </c>
      <c r="J1" s="34" t="s">
        <v>581</v>
      </c>
      <c r="K1" s="34"/>
      <c r="L1" s="34"/>
      <c r="M1" s="34"/>
      <c r="N1" s="34"/>
      <c r="O1" s="34"/>
    </row>
    <row r="2" spans="1:15">
      <c r="A2" s="1" t="s">
        <v>6</v>
      </c>
      <c r="B2" s="1" t="s">
        <v>582</v>
      </c>
      <c r="C2" s="1" t="s">
        <v>583</v>
      </c>
      <c r="D2" s="1" t="s">
        <v>584</v>
      </c>
      <c r="E2" s="1" t="s">
        <v>18</v>
      </c>
      <c r="F2" s="1" t="s">
        <v>23</v>
      </c>
      <c r="G2" s="1" t="s">
        <v>27</v>
      </c>
      <c r="H2" s="1" t="s">
        <v>29</v>
      </c>
      <c r="I2" s="1" t="s">
        <v>3</v>
      </c>
      <c r="J2" s="1" t="s">
        <v>3</v>
      </c>
      <c r="K2" s="1" t="s">
        <v>18</v>
      </c>
      <c r="L2" s="1" t="s">
        <v>23</v>
      </c>
      <c r="M2" s="1" t="s">
        <v>27</v>
      </c>
      <c r="N2" s="1" t="s">
        <v>29</v>
      </c>
      <c r="O2" s="1" t="s">
        <v>585</v>
      </c>
    </row>
    <row r="3" spans="1:15">
      <c r="A3" s="2" t="s">
        <v>12</v>
      </c>
      <c r="B3">
        <f>COUNTIF(Table1[Genre],'Legacy Berekeningen'!A3)</f>
        <v>17</v>
      </c>
      <c r="C3">
        <f>COUNTIF(Table1[Optioneel genre],'Legacy Berekeningen'!A3)</f>
        <v>1</v>
      </c>
      <c r="D3">
        <f t="shared" ref="D3:D21" si="0">SUM(B3,C3)</f>
        <v>18</v>
      </c>
      <c r="E3">
        <f>COUNTIFS(Table1[Genre],'Legacy Berekeningen'!$A3,Table1[Meister],E$2)+COUNTIFS(Table1[Optioneel genre],'Legacy Berekeningen'!$A3,Table1[Meister],E$2)</f>
        <v>4</v>
      </c>
      <c r="F3">
        <f>COUNTIFS(Table1[Genre],'Legacy Berekeningen'!$A3,Table1[Meister],F$2)+COUNTIFS(Table1[Optioneel genre],'Legacy Berekeningen'!$A3,Table1[Meister],F$2)</f>
        <v>3</v>
      </c>
      <c r="G3">
        <f>COUNTIFS(Table1[Genre],'Legacy Berekeningen'!$A3,Table1[Meister],G$2)+COUNTIFS(Table1[Optioneel genre],'Legacy Berekeningen'!$A3,Table1[Meister],G$2)</f>
        <v>4</v>
      </c>
      <c r="H3">
        <f>COUNTIFS(Table1[Genre],'Legacy Berekeningen'!$A3,Table1[Meister],H$2)+COUNTIFS(Table1[Optioneel genre],'Legacy Berekeningen'!$A3,Table1[Meister],H$2)</f>
        <v>6</v>
      </c>
      <c r="I3" t="str">
        <f>IF(SUM(E3:H3)=0,"geen",IF(COUNTIF(E3:H3,MAX(E3:H3))&gt;1,"Betwist",_xlfn.XLOOKUP(MAX(E3:H3),E3:H3,$E$2:$H$2)))</f>
        <v>Jan</v>
      </c>
      <c r="J3" t="s">
        <v>586</v>
      </c>
      <c r="K3">
        <f>_xlfn.MINIFS(Table1[Jaar],Table1[Meister],'Legacy Berekeningen'!K2)</f>
        <v>1995</v>
      </c>
      <c r="L3">
        <f>_xlfn.MINIFS(Table1[Jaar],Table1[Meister],'Legacy Berekeningen'!L2)</f>
        <v>1997</v>
      </c>
      <c r="M3">
        <f>_xlfn.MINIFS(Table1[Jaar],Table1[Meister],'Legacy Berekeningen'!M2)</f>
        <v>1980</v>
      </c>
      <c r="N3">
        <f>_xlfn.MINIFS(Table1[Jaar],Table1[Meister],'Legacy Berekeningen'!N2)</f>
        <v>1946</v>
      </c>
      <c r="O3" s="3">
        <f>AVERAGE(K3:N3)</f>
        <v>1979.5</v>
      </c>
    </row>
    <row r="4" spans="1:15">
      <c r="A4" s="2" t="s">
        <v>34</v>
      </c>
      <c r="B4">
        <f>COUNTIF(Table1[Genre],'Legacy Berekeningen'!A4)</f>
        <v>2</v>
      </c>
      <c r="C4">
        <f>COUNTIF(Table1[Optioneel genre],'Legacy Berekeningen'!A4)</f>
        <v>6</v>
      </c>
      <c r="D4">
        <f t="shared" si="0"/>
        <v>8</v>
      </c>
      <c r="E4">
        <f>COUNTIFS(Table1[Genre],'Legacy Berekeningen'!$A4,Table1[Meister],E$2)+COUNTIFS(Table1[Optioneel genre],'Legacy Berekeningen'!$A4,Table1[Meister],E$2)</f>
        <v>4</v>
      </c>
      <c r="F4">
        <f>COUNTIFS(Table1[Genre],'Legacy Berekeningen'!$A4,Table1[Meister],F$2)+COUNTIFS(Table1[Optioneel genre],'Legacy Berekeningen'!$A4,Table1[Meister],F$2)</f>
        <v>1</v>
      </c>
      <c r="G4">
        <f>COUNTIFS(Table1[Genre],'Legacy Berekeningen'!$A4,Table1[Meister],G$2)+COUNTIFS(Table1[Optioneel genre],'Legacy Berekeningen'!$A4,Table1[Meister],G$2)</f>
        <v>1</v>
      </c>
      <c r="H4">
        <f>COUNTIFS(Table1[Genre],'Legacy Berekeningen'!$A4,Table1[Meister],H$2)+COUNTIFS(Table1[Optioneel genre],'Legacy Berekeningen'!$A4,Table1[Meister],H$2)</f>
        <v>2</v>
      </c>
      <c r="I4" t="str">
        <f t="shared" ref="I4:I21" si="1">IF(SUM(E4:H4)=0,"geen",IF(COUNTIF(E4:H4,MAX(E4:H4))&gt;1,"Betwist",_xlfn.XLOOKUP(MAX(E4:H4),E4:H4,$E$2:$H$2)))</f>
        <v>Rick</v>
      </c>
      <c r="J4" t="s">
        <v>587</v>
      </c>
      <c r="K4">
        <f>_xlfn.MAXIFS(Table1[Jaar],Table1[Meister],'Legacy Berekeningen'!K2)</f>
        <v>2021</v>
      </c>
      <c r="L4">
        <f>_xlfn.MAXIFS(Table1[Jaar],Table1[Meister],'Legacy Berekeningen'!L2)</f>
        <v>2021</v>
      </c>
      <c r="M4">
        <f>_xlfn.MAXIFS(Table1[Jaar],Table1[Meister],'Legacy Berekeningen'!M2)</f>
        <v>2021</v>
      </c>
      <c r="N4">
        <f>_xlfn.MAXIFS(Table1[Jaar],Table1[Meister],'Legacy Berekeningen'!N2)</f>
        <v>2021</v>
      </c>
      <c r="O4" s="3">
        <f>AVERAGE(K4:N4)</f>
        <v>2021</v>
      </c>
    </row>
    <row r="5" spans="1:15">
      <c r="A5" s="2" t="s">
        <v>16</v>
      </c>
      <c r="B5">
        <f>COUNTIF(Table1[Genre],'Legacy Berekeningen'!A5)</f>
        <v>4</v>
      </c>
      <c r="C5">
        <f>COUNTIF(Table1[Optioneel genre],'Legacy Berekeningen'!A5)</f>
        <v>0</v>
      </c>
      <c r="D5">
        <f t="shared" si="0"/>
        <v>4</v>
      </c>
      <c r="E5">
        <f>COUNTIFS(Table1[Genre],'Legacy Berekeningen'!$A5,Table1[Meister],E$2)+COUNTIFS(Table1[Optioneel genre],'Legacy Berekeningen'!$A5,Table1[Meister],E$2)</f>
        <v>0</v>
      </c>
      <c r="F5">
        <f>COUNTIFS(Table1[Genre],'Legacy Berekeningen'!$A5,Table1[Meister],F$2)+COUNTIFS(Table1[Optioneel genre],'Legacy Berekeningen'!$A5,Table1[Meister],F$2)</f>
        <v>1</v>
      </c>
      <c r="G5">
        <f>COUNTIFS(Table1[Genre],'Legacy Berekeningen'!$A5,Table1[Meister],G$2)+COUNTIFS(Table1[Optioneel genre],'Legacy Berekeningen'!$A5,Table1[Meister],G$2)</f>
        <v>2</v>
      </c>
      <c r="H5">
        <f>COUNTIFS(Table1[Genre],'Legacy Berekeningen'!$A5,Table1[Meister],H$2)+COUNTIFS(Table1[Optioneel genre],'Legacy Berekeningen'!$A5,Table1[Meister],H$2)</f>
        <v>0</v>
      </c>
      <c r="I5" t="str">
        <f t="shared" si="1"/>
        <v>Joris</v>
      </c>
      <c r="J5" t="s">
        <v>585</v>
      </c>
      <c r="K5" s="3" cm="1">
        <f t="array" ref="K5">ROUND(AVERAGE(IF(Table1[Meister]=K2,Table1[Jaar])),0)</f>
        <v>2016</v>
      </c>
      <c r="L5" s="3" cm="1">
        <f t="array" ref="L5">ROUND(AVERAGE(IF(Table1[Meister]=L2,Table1[Jaar])),0)</f>
        <v>2013</v>
      </c>
      <c r="M5" s="3" cm="1">
        <f t="array" ref="M5">ROUND(AVERAGE(IF(Table1[Meister]=M2,Table1[Jaar])),0)</f>
        <v>2007</v>
      </c>
      <c r="N5" s="3" cm="1">
        <f t="array" ref="N5">ROUND(AVERAGE(IF(Table1[Meister]=N2,Table1[Jaar])),0)</f>
        <v>2004</v>
      </c>
      <c r="O5" s="3">
        <f>AVERAGE(K5:N5)</f>
        <v>2010</v>
      </c>
    </row>
    <row r="6" spans="1:15">
      <c r="A6" s="2" t="s">
        <v>41</v>
      </c>
      <c r="B6">
        <f>COUNTIF(Table1[Genre],'Legacy Berekeningen'!A6)</f>
        <v>2</v>
      </c>
      <c r="C6">
        <f>COUNTIF(Table1[Optioneel genre],'Legacy Berekeningen'!A6)</f>
        <v>1</v>
      </c>
      <c r="D6">
        <f t="shared" si="0"/>
        <v>3</v>
      </c>
      <c r="E6">
        <f>COUNTIFS(Table1[Genre],'Legacy Berekeningen'!$A6,Table1[Meister],E$2)+COUNTIFS(Table1[Optioneel genre],'Legacy Berekeningen'!$A6,Table1[Meister],E$2)</f>
        <v>1</v>
      </c>
      <c r="F6">
        <f>COUNTIFS(Table1[Genre],'Legacy Berekeningen'!$A6,Table1[Meister],F$2)+COUNTIFS(Table1[Optioneel genre],'Legacy Berekeningen'!$A6,Table1[Meister],F$2)</f>
        <v>1</v>
      </c>
      <c r="G6">
        <f>COUNTIFS(Table1[Genre],'Legacy Berekeningen'!$A6,Table1[Meister],G$2)+COUNTIFS(Table1[Optioneel genre],'Legacy Berekeningen'!$A6,Table1[Meister],G$2)</f>
        <v>0</v>
      </c>
      <c r="H6">
        <f>COUNTIFS(Table1[Genre],'Legacy Berekeningen'!$A6,Table1[Meister],H$2)+COUNTIFS(Table1[Optioneel genre],'Legacy Berekeningen'!$A6,Table1[Meister],H$2)</f>
        <v>1</v>
      </c>
      <c r="I6" t="str">
        <f t="shared" si="1"/>
        <v>Betwist</v>
      </c>
      <c r="J6" s="34" t="s">
        <v>588</v>
      </c>
      <c r="K6" s="34"/>
      <c r="L6" s="34"/>
      <c r="M6" s="34"/>
      <c r="N6" s="34"/>
      <c r="O6" s="34"/>
    </row>
    <row r="7" spans="1:15">
      <c r="A7" s="2" t="s">
        <v>17</v>
      </c>
      <c r="B7">
        <f>COUNTIF(Table1[Genre],'Legacy Berekeningen'!A7)</f>
        <v>5</v>
      </c>
      <c r="C7">
        <f>COUNTIF(Table1[Optioneel genre],'Legacy Berekeningen'!A7)</f>
        <v>8</v>
      </c>
      <c r="D7">
        <f t="shared" si="0"/>
        <v>13</v>
      </c>
      <c r="E7">
        <f>COUNTIFS(Table1[Genre],'Legacy Berekeningen'!$A7,Table1[Meister],E$2)+COUNTIFS(Table1[Optioneel genre],'Legacy Berekeningen'!$A7,Table1[Meister],E$2)</f>
        <v>2</v>
      </c>
      <c r="F7">
        <f>COUNTIFS(Table1[Genre],'Legacy Berekeningen'!$A7,Table1[Meister],F$2)+COUNTIFS(Table1[Optioneel genre],'Legacy Berekeningen'!$A7,Table1[Meister],F$2)</f>
        <v>3</v>
      </c>
      <c r="G7">
        <f>COUNTIFS(Table1[Genre],'Legacy Berekeningen'!$A7,Table1[Meister],G$2)+COUNTIFS(Table1[Optioneel genre],'Legacy Berekeningen'!$A7,Table1[Meister],G$2)</f>
        <v>6</v>
      </c>
      <c r="H7">
        <f>COUNTIFS(Table1[Genre],'Legacy Berekeningen'!$A7,Table1[Meister],H$2)+COUNTIFS(Table1[Optioneel genre],'Legacy Berekeningen'!$A7,Table1[Meister],H$2)</f>
        <v>1</v>
      </c>
      <c r="I7" t="str">
        <f t="shared" si="1"/>
        <v>Joris</v>
      </c>
      <c r="J7" s="1" t="s">
        <v>3</v>
      </c>
      <c r="K7" s="1" t="s">
        <v>18</v>
      </c>
      <c r="L7" s="1" t="s">
        <v>23</v>
      </c>
      <c r="M7" s="1" t="s">
        <v>27</v>
      </c>
      <c r="N7" s="1" t="s">
        <v>29</v>
      </c>
      <c r="O7" s="1" t="s">
        <v>585</v>
      </c>
    </row>
    <row r="8" spans="1:15">
      <c r="A8" s="2" t="s">
        <v>25</v>
      </c>
      <c r="B8">
        <f>COUNTIF(Table1[Genre],'Legacy Berekeningen'!A8)</f>
        <v>6</v>
      </c>
      <c r="C8">
        <f>COUNTIF(Table1[Optioneel genre],'Legacy Berekeningen'!A8)</f>
        <v>1</v>
      </c>
      <c r="D8">
        <f t="shared" si="0"/>
        <v>7</v>
      </c>
      <c r="E8">
        <f>COUNTIFS(Table1[Genre],'Legacy Berekeningen'!$A8,Table1[Meister],E$2)+COUNTIFS(Table1[Optioneel genre],'Legacy Berekeningen'!$A8,Table1[Meister],E$2)</f>
        <v>2</v>
      </c>
      <c r="F8">
        <f>COUNTIFS(Table1[Genre],'Legacy Berekeningen'!$A8,Table1[Meister],F$2)+COUNTIFS(Table1[Optioneel genre],'Legacy Berekeningen'!$A8,Table1[Meister],F$2)</f>
        <v>5</v>
      </c>
      <c r="G8">
        <f>COUNTIFS(Table1[Genre],'Legacy Berekeningen'!$A8,Table1[Meister],G$2)+COUNTIFS(Table1[Optioneel genre],'Legacy Berekeningen'!$A8,Table1[Meister],G$2)</f>
        <v>0</v>
      </c>
      <c r="H8">
        <f>COUNTIFS(Table1[Genre],'Legacy Berekeningen'!$A8,Table1[Meister],H$2)+COUNTIFS(Table1[Optioneel genre],'Legacy Berekeningen'!$A8,Table1[Meister],H$2)</f>
        <v>0</v>
      </c>
      <c r="I8" t="str">
        <f t="shared" si="1"/>
        <v>Berend</v>
      </c>
      <c r="J8" t="s">
        <v>586</v>
      </c>
      <c r="K8">
        <f>_xlfn.MINIFS(Table1[Tijdsduur in min],Table1[Meister],'Legacy Berekeningen'!K7)</f>
        <v>95</v>
      </c>
      <c r="L8">
        <f>_xlfn.MINIFS(Table1[Tijdsduur in min],Table1[Meister],'Legacy Berekeningen'!L7)</f>
        <v>87</v>
      </c>
      <c r="M8">
        <f>_xlfn.MINIFS(Table1[Tijdsduur in min],Table1[Meister],'Legacy Berekeningen'!M7)</f>
        <v>88</v>
      </c>
      <c r="N8">
        <f>_xlfn.MINIFS(Table1[Tijdsduur in min],Table1[Meister],'Legacy Berekeningen'!N7)</f>
        <v>75</v>
      </c>
      <c r="O8" s="3">
        <f>AVERAGE(K8:N8)</f>
        <v>86.25</v>
      </c>
    </row>
    <row r="9" spans="1:15">
      <c r="A9" s="2" t="s">
        <v>81</v>
      </c>
      <c r="B9">
        <f>COUNTIF(Table1[Genre],'Legacy Berekeningen'!A9)</f>
        <v>1</v>
      </c>
      <c r="C9">
        <f>COUNTIF(Table1[Optioneel genre],'Legacy Berekeningen'!A9)</f>
        <v>0</v>
      </c>
      <c r="D9">
        <f t="shared" si="0"/>
        <v>1</v>
      </c>
      <c r="E9">
        <f>COUNTIFS(Table1[Genre],'Legacy Berekeningen'!$A9,Table1[Meister],E$2)+COUNTIFS(Table1[Optioneel genre],'Legacy Berekeningen'!$A9,Table1[Meister],E$2)</f>
        <v>0</v>
      </c>
      <c r="F9">
        <f>COUNTIFS(Table1[Genre],'Legacy Berekeningen'!$A9,Table1[Meister],F$2)+COUNTIFS(Table1[Optioneel genre],'Legacy Berekeningen'!$A9,Table1[Meister],F$2)</f>
        <v>1</v>
      </c>
      <c r="G9">
        <f>COUNTIFS(Table1[Genre],'Legacy Berekeningen'!$A9,Table1[Meister],G$2)+COUNTIFS(Table1[Optioneel genre],'Legacy Berekeningen'!$A9,Table1[Meister],G$2)</f>
        <v>0</v>
      </c>
      <c r="H9">
        <f>COUNTIFS(Table1[Genre],'Legacy Berekeningen'!$A9,Table1[Meister],H$2)+COUNTIFS(Table1[Optioneel genre],'Legacy Berekeningen'!$A9,Table1[Meister],H$2)</f>
        <v>0</v>
      </c>
      <c r="I9" t="str">
        <f t="shared" si="1"/>
        <v>Berend</v>
      </c>
      <c r="J9" t="s">
        <v>587</v>
      </c>
      <c r="K9">
        <f>_xlfn.MAXIFS(Table1[Tijdsduur in min],Table1[Meister],'Legacy Berekeningen'!K7)</f>
        <v>172</v>
      </c>
      <c r="L9">
        <f>_xlfn.MAXIFS(Table1[Tijdsduur in min],Table1[Meister],'Legacy Berekeningen'!L7)</f>
        <v>165</v>
      </c>
      <c r="M9">
        <f>_xlfn.MAXIFS(Table1[Tijdsduur in min],Table1[Meister],'Legacy Berekeningen'!M7)</f>
        <v>194</v>
      </c>
      <c r="N9">
        <f>_xlfn.MAXIFS(Table1[Tijdsduur in min],Table1[Meister],'Legacy Berekeningen'!N7)</f>
        <v>164</v>
      </c>
      <c r="O9" s="3">
        <f>AVERAGE(K9:N9)</f>
        <v>173.75</v>
      </c>
    </row>
    <row r="10" spans="1:15">
      <c r="A10" s="2" t="s">
        <v>26</v>
      </c>
      <c r="B10">
        <f>COUNTIF(Table1[Genre],'Legacy Berekeningen'!A10)</f>
        <v>6</v>
      </c>
      <c r="C10">
        <f>COUNTIF(Table1[Optioneel genre],'Legacy Berekeningen'!A10)</f>
        <v>17</v>
      </c>
      <c r="D10">
        <f t="shared" si="0"/>
        <v>23</v>
      </c>
      <c r="E10">
        <f>COUNTIFS(Table1[Genre],'Legacy Berekeningen'!$A10,Table1[Meister],E$2)+COUNTIFS(Table1[Optioneel genre],'Legacy Berekeningen'!$A10,Table1[Meister],E$2)</f>
        <v>7</v>
      </c>
      <c r="F10">
        <f>COUNTIFS(Table1[Genre],'Legacy Berekeningen'!$A10,Table1[Meister],F$2)+COUNTIFS(Table1[Optioneel genre],'Legacy Berekeningen'!$A10,Table1[Meister],F$2)</f>
        <v>7</v>
      </c>
      <c r="G10">
        <f>COUNTIFS(Table1[Genre],'Legacy Berekeningen'!$A10,Table1[Meister],G$2)+COUNTIFS(Table1[Optioneel genre],'Legacy Berekeningen'!$A10,Table1[Meister],G$2)</f>
        <v>3</v>
      </c>
      <c r="H10">
        <f>COUNTIFS(Table1[Genre],'Legacy Berekeningen'!$A10,Table1[Meister],H$2)+COUNTIFS(Table1[Optioneel genre],'Legacy Berekeningen'!$A10,Table1[Meister],H$2)</f>
        <v>6</v>
      </c>
      <c r="I10" t="str">
        <f t="shared" si="1"/>
        <v>Betwist</v>
      </c>
      <c r="J10" t="s">
        <v>585</v>
      </c>
      <c r="K10" s="3" cm="1">
        <f t="array" ref="K10">ROUND(AVERAGE(IF(Table1[Meister]=K7,Table1[Tijdsduur in min])),0)</f>
        <v>136</v>
      </c>
      <c r="L10" s="3" cm="1">
        <f t="array" ref="L10">ROUND(AVERAGE(IF(Table1[Meister]=L7,Table1[Tijdsduur in min])),0)</f>
        <v>116</v>
      </c>
      <c r="M10" s="3" cm="1">
        <f t="array" ref="M10">ROUND(AVERAGE(IF(Table1[Meister]=M7,Table1[Tijdsduur in min])),0)</f>
        <v>122</v>
      </c>
      <c r="N10" s="3" cm="1">
        <f t="array" ref="N10">ROUND(AVERAGE(IF(Table1[Meister]=N7,Table1[Tijdsduur in min])),0)</f>
        <v>120</v>
      </c>
      <c r="O10" s="3">
        <f>AVERAGE(K10:N10)</f>
        <v>123.5</v>
      </c>
    </row>
    <row r="11" spans="1:15">
      <c r="A11" s="2" t="s">
        <v>74</v>
      </c>
      <c r="B11">
        <f>COUNTIF(Table1[Genre],'Legacy Berekeningen'!A11)</f>
        <v>0</v>
      </c>
      <c r="C11">
        <f>COUNTIF(Table1[Optioneel genre],'Legacy Berekeningen'!A11)</f>
        <v>1</v>
      </c>
      <c r="D11">
        <f t="shared" si="0"/>
        <v>1</v>
      </c>
      <c r="E11">
        <f>COUNTIFS(Table1[Genre],'Legacy Berekeningen'!$A11,Table1[Meister],E$2)+COUNTIFS(Table1[Optioneel genre],'Legacy Berekeningen'!$A11,Table1[Meister],E$2)</f>
        <v>0</v>
      </c>
      <c r="F11">
        <f>COUNTIFS(Table1[Genre],'Legacy Berekeningen'!$A11,Table1[Meister],F$2)+COUNTIFS(Table1[Optioneel genre],'Legacy Berekeningen'!$A11,Table1[Meister],F$2)</f>
        <v>0</v>
      </c>
      <c r="G11">
        <f>COUNTIFS(Table1[Genre],'Legacy Berekeningen'!$A11,Table1[Meister],G$2)+COUNTIFS(Table1[Optioneel genre],'Legacy Berekeningen'!$A11,Table1[Meister],G$2)</f>
        <v>0</v>
      </c>
      <c r="H11">
        <f>COUNTIFS(Table1[Genre],'Legacy Berekeningen'!$A11,Table1[Meister],H$2)+COUNTIFS(Table1[Optioneel genre],'Legacy Berekeningen'!$A11,Table1[Meister],H$2)</f>
        <v>1</v>
      </c>
      <c r="I11" t="str">
        <f t="shared" si="1"/>
        <v>Jan</v>
      </c>
      <c r="J11" s="34" t="s">
        <v>589</v>
      </c>
      <c r="K11" s="34"/>
      <c r="L11" s="34"/>
      <c r="M11" s="34"/>
      <c r="N11" s="34"/>
      <c r="O11" s="34"/>
    </row>
    <row r="12" spans="1:15">
      <c r="A12" s="2" t="s">
        <v>62</v>
      </c>
      <c r="B12">
        <f>COUNTIF(Table1[Genre],'Legacy Berekeningen'!A12)</f>
        <v>1</v>
      </c>
      <c r="C12">
        <f>COUNTIF(Table1[Optioneel genre],'Legacy Berekeningen'!A12)</f>
        <v>0</v>
      </c>
      <c r="D12">
        <f t="shared" si="0"/>
        <v>1</v>
      </c>
      <c r="E12">
        <f>COUNTIFS(Table1[Genre],'Legacy Berekeningen'!$A12,Table1[Meister],E$2)+COUNTIFS(Table1[Optioneel genre],'Legacy Berekeningen'!$A12,Table1[Meister],E$2)</f>
        <v>0</v>
      </c>
      <c r="F12">
        <f>COUNTIFS(Table1[Genre],'Legacy Berekeningen'!$A12,Table1[Meister],F$2)+COUNTIFS(Table1[Optioneel genre],'Legacy Berekeningen'!$A12,Table1[Meister],F$2)</f>
        <v>0</v>
      </c>
      <c r="G12">
        <f>COUNTIFS(Table1[Genre],'Legacy Berekeningen'!$A12,Table1[Meister],G$2)+COUNTIFS(Table1[Optioneel genre],'Legacy Berekeningen'!$A12,Table1[Meister],G$2)</f>
        <v>1</v>
      </c>
      <c r="H12">
        <f>COUNTIFS(Table1[Genre],'Legacy Berekeningen'!$A12,Table1[Meister],H$2)+COUNTIFS(Table1[Optioneel genre],'Legacy Berekeningen'!$A12,Table1[Meister],H$2)</f>
        <v>0</v>
      </c>
      <c r="I12" t="str">
        <f t="shared" si="1"/>
        <v>Joris</v>
      </c>
      <c r="J12" s="1" t="s">
        <v>3</v>
      </c>
      <c r="K12" s="1" t="s">
        <v>18</v>
      </c>
      <c r="L12" s="1" t="s">
        <v>23</v>
      </c>
      <c r="M12" s="1" t="s">
        <v>27</v>
      </c>
      <c r="N12" s="1" t="s">
        <v>29</v>
      </c>
      <c r="O12" s="1" t="s">
        <v>585</v>
      </c>
    </row>
    <row r="13" spans="1:15">
      <c r="A13" s="2" t="s">
        <v>63</v>
      </c>
      <c r="B13">
        <f>COUNTIF(Table1[Genre],'Legacy Berekeningen'!A13)</f>
        <v>1</v>
      </c>
      <c r="C13">
        <f>COUNTIF(Table1[Optioneel genre],'Legacy Berekeningen'!A13)</f>
        <v>2</v>
      </c>
      <c r="D13">
        <f t="shared" si="0"/>
        <v>3</v>
      </c>
      <c r="E13">
        <f>COUNTIFS(Table1[Genre],'Legacy Berekeningen'!$A13,Table1[Meister],E$2)+COUNTIFS(Table1[Optioneel genre],'Legacy Berekeningen'!$A13,Table1[Meister],E$2)</f>
        <v>1</v>
      </c>
      <c r="F13">
        <f>COUNTIFS(Table1[Genre],'Legacy Berekeningen'!$A13,Table1[Meister],F$2)+COUNTIFS(Table1[Optioneel genre],'Legacy Berekeningen'!$A13,Table1[Meister],F$2)</f>
        <v>0</v>
      </c>
      <c r="G13">
        <f>COUNTIFS(Table1[Genre],'Legacy Berekeningen'!$A13,Table1[Meister],G$2)+COUNTIFS(Table1[Optioneel genre],'Legacy Berekeningen'!$A13,Table1[Meister],G$2)</f>
        <v>1</v>
      </c>
      <c r="H13">
        <f>COUNTIFS(Table1[Genre],'Legacy Berekeningen'!$A13,Table1[Meister],H$2)+COUNTIFS(Table1[Optioneel genre],'Legacy Berekeningen'!$A13,Table1[Meister],H$2)</f>
        <v>1</v>
      </c>
      <c r="I13" t="str">
        <f t="shared" si="1"/>
        <v>Betwist</v>
      </c>
      <c r="J13" t="s">
        <v>590</v>
      </c>
      <c r="K13" s="12">
        <f>IF(COUNT(E3:E21)&gt;=SUM(E3:E21),COUNT(E3:E21)-COUNTIF(E3:E21,0),IF(ROUNDDOWN(AVERAGE(E3:E21),0)=ROUNDUP(AVERAGE(E3:E21),0),COUNT(E3:E21),COUNTIF(E3:E21,ROUNDDOWN(AVERAGE(E3:E21),0))+COUNTIF(E3:E21,ROUNDUP(AVERAGE(E3:E21),0))))/IF(COUNT(E3:E21)&gt;SUM(E3:E21),SUM(E3:E21),COUNT(E3:E21))</f>
        <v>0.42105263157894735</v>
      </c>
      <c r="L13" s="12">
        <f>IF(COUNT(F3:F21)&gt;=SUM(F3:F21),COUNT(F3:F21)-COUNTIF(F3:F21,0),IF(ROUNDDOWN(AVERAGE(F3:F21),0)=ROUNDUP(AVERAGE(F3:F21),0),COUNT(F3:F21),COUNTIF(F3:F21,ROUNDDOWN(AVERAGE(F3:F21),0))+COUNTIF(F3:F21,ROUNDUP(AVERAGE(F3:F21),0))))/IF(COUNT(F3:F21)&gt;SUM(F3:F21),SUM(F3:F21),COUNT(F3:F21))</f>
        <v>0.31578947368421051</v>
      </c>
      <c r="M13" s="12">
        <f>IF(COUNT(G3:G21)&gt;=SUM(G3:G21),COUNT(G3:G21)-COUNTIF(G3:G21,0),IF(ROUNDDOWN(AVERAGE(G3:G21),0)=ROUNDUP(AVERAGE(G3:G21),0),COUNT(G3:G21),COUNTIF(G3:G21,ROUNDDOWN(AVERAGE(G3:G21),0))+COUNTIF(G3:G21,ROUNDUP(AVERAGE(G3:G21),0))))/IF(COUNT(G3:G21)&gt;SUM(G3:G21),SUM(G3:G21),COUNT(G3:G21))</f>
        <v>0.47368421052631576</v>
      </c>
      <c r="N13" s="12">
        <f>IF(COUNT(H3:H21)&gt;=SUM(H3:H21),COUNT(H3:H21)-COUNTIF(H3:H21,0),IF(ROUNDDOWN(AVERAGE(H3:H21),0)=ROUNDUP(AVERAGE(H3:H21),0),COUNT(H3:H21),COUNTIF(H3:H21,ROUNDDOWN(AVERAGE(H3:H21),0))+COUNTIF(H3:H21,ROUNDUP(AVERAGE(H3:H21),0))))/IF(COUNT(H3:H21)&gt;SUM(H3:H21),SUM(H3:H21),COUNT(H3:H21))</f>
        <v>0.36842105263157893</v>
      </c>
      <c r="O13" s="12">
        <f>AVERAGE(K13:N13)</f>
        <v>0.39473684210526316</v>
      </c>
    </row>
    <row r="14" spans="1:15">
      <c r="A14" s="2" t="s">
        <v>46</v>
      </c>
      <c r="B14">
        <f>COUNTIF(Table1[Genre],'Legacy Berekeningen'!A14)</f>
        <v>1</v>
      </c>
      <c r="C14">
        <f>COUNTIF(Table1[Optioneel genre],'Legacy Berekeningen'!A14)</f>
        <v>0</v>
      </c>
      <c r="D14">
        <f t="shared" si="0"/>
        <v>1</v>
      </c>
      <c r="E14">
        <f>COUNTIFS(Table1[Genre],'Legacy Berekeningen'!$A14,Table1[Meister],E$2)+COUNTIFS(Table1[Optioneel genre],'Legacy Berekeningen'!$A14,Table1[Meister],E$2)</f>
        <v>0</v>
      </c>
      <c r="F14">
        <f>COUNTIFS(Table1[Genre],'Legacy Berekeningen'!$A14,Table1[Meister],F$2)+COUNTIFS(Table1[Optioneel genre],'Legacy Berekeningen'!$A14,Table1[Meister],F$2)</f>
        <v>0</v>
      </c>
      <c r="G14">
        <f>COUNTIFS(Table1[Genre],'Legacy Berekeningen'!$A14,Table1[Meister],G$2)+COUNTIFS(Table1[Optioneel genre],'Legacy Berekeningen'!$A14,Table1[Meister],G$2)</f>
        <v>0</v>
      </c>
      <c r="H14">
        <f>COUNTIFS(Table1[Genre],'Legacy Berekeningen'!$A14,Table1[Meister],H$2)+COUNTIFS(Table1[Optioneel genre],'Legacy Berekeningen'!$A14,Table1[Meister],H$2)</f>
        <v>1</v>
      </c>
      <c r="I14" t="str">
        <f t="shared" si="1"/>
        <v>Jan</v>
      </c>
      <c r="J14" t="s">
        <v>591</v>
      </c>
      <c r="K14">
        <f>((COUNT(E3:E21)-COUNTIF(E3:E21,0)))</f>
        <v>11</v>
      </c>
      <c r="L14">
        <f>((COUNT(F3:F21)-COUNTIF(F3:F21,0)))</f>
        <v>10</v>
      </c>
      <c r="M14">
        <f>((COUNT(G3:G21)-COUNTIF(G3:G21,0)))</f>
        <v>12</v>
      </c>
      <c r="N14">
        <f>((COUNT(H3:H21)-COUNTIF(H3:H21,0)))</f>
        <v>10</v>
      </c>
      <c r="O14" s="3">
        <f>AVERAGE(K14:N14)</f>
        <v>10.75</v>
      </c>
    </row>
    <row r="15" spans="1:15">
      <c r="A15" s="2" t="s">
        <v>20</v>
      </c>
      <c r="B15">
        <f>COUNTIF(Table1[Genre],'Legacy Berekeningen'!A15)</f>
        <v>1</v>
      </c>
      <c r="C15">
        <f>COUNTIF(Table1[Optioneel genre],'Legacy Berekeningen'!A15)</f>
        <v>1</v>
      </c>
      <c r="D15">
        <f t="shared" si="0"/>
        <v>2</v>
      </c>
      <c r="E15">
        <f>COUNTIFS(Table1[Genre],'Legacy Berekeningen'!$A15,Table1[Meister],E$2)+COUNTIFS(Table1[Optioneel genre],'Legacy Berekeningen'!$A15,Table1[Meister],E$2)</f>
        <v>1</v>
      </c>
      <c r="F15">
        <f>COUNTIFS(Table1[Genre],'Legacy Berekeningen'!$A15,Table1[Meister],F$2)+COUNTIFS(Table1[Optioneel genre],'Legacy Berekeningen'!$A15,Table1[Meister],F$2)</f>
        <v>0</v>
      </c>
      <c r="G15">
        <f>COUNTIFS(Table1[Genre],'Legacy Berekeningen'!$A15,Table1[Meister],G$2)+COUNTIFS(Table1[Optioneel genre],'Legacy Berekeningen'!$A15,Table1[Meister],G$2)</f>
        <v>0</v>
      </c>
      <c r="H15">
        <f>COUNTIFS(Table1[Genre],'Legacy Berekeningen'!$A15,Table1[Meister],H$2)+COUNTIFS(Table1[Optioneel genre],'Legacy Berekeningen'!$A15,Table1[Meister],H$2)</f>
        <v>1</v>
      </c>
      <c r="I15" t="str">
        <f t="shared" si="1"/>
        <v>Betwist</v>
      </c>
      <c r="J15" t="s">
        <v>592</v>
      </c>
      <c r="K15" s="3">
        <f>COUNTIF($I$3:$I$21,K12)</f>
        <v>1</v>
      </c>
      <c r="L15" s="3">
        <f t="shared" ref="L15:N15" si="2">COUNTIF($I$3:$I$21,L12)</f>
        <v>2</v>
      </c>
      <c r="M15" s="3">
        <f t="shared" si="2"/>
        <v>4</v>
      </c>
      <c r="N15" s="3">
        <f t="shared" si="2"/>
        <v>4</v>
      </c>
      <c r="O15" s="3">
        <f>COUNTIF($I$3:$I$21,O12)</f>
        <v>0</v>
      </c>
    </row>
    <row r="16" spans="1:15">
      <c r="A16" s="2" t="s">
        <v>68</v>
      </c>
      <c r="B16">
        <f>COUNTIF(Table1[Genre],'Legacy Berekeningen'!A16)</f>
        <v>0</v>
      </c>
      <c r="C16">
        <f>COUNTIF(Table1[Optioneel genre],'Legacy Berekeningen'!A16)</f>
        <v>2</v>
      </c>
      <c r="D16">
        <f t="shared" si="0"/>
        <v>2</v>
      </c>
      <c r="E16">
        <f>COUNTIFS(Table1[Genre],'Legacy Berekeningen'!$A16,Table1[Meister],E$2)+COUNTIFS(Table1[Optioneel genre],'Legacy Berekeningen'!$A16,Table1[Meister],E$2)</f>
        <v>0</v>
      </c>
      <c r="F16">
        <f>COUNTIFS(Table1[Genre],'Legacy Berekeningen'!$A16,Table1[Meister],F$2)+COUNTIFS(Table1[Optioneel genre],'Legacy Berekeningen'!$A16,Table1[Meister],F$2)</f>
        <v>1</v>
      </c>
      <c r="G16">
        <f>COUNTIFS(Table1[Genre],'Legacy Berekeningen'!$A16,Table1[Meister],G$2)+COUNTIFS(Table1[Optioneel genre],'Legacy Berekeningen'!$A16,Table1[Meister],G$2)</f>
        <v>1</v>
      </c>
      <c r="H16">
        <f>COUNTIFS(Table1[Genre],'Legacy Berekeningen'!$A16,Table1[Meister],H$2)+COUNTIFS(Table1[Optioneel genre],'Legacy Berekeningen'!$A16,Table1[Meister],H$2)</f>
        <v>0</v>
      </c>
      <c r="I16" t="str">
        <f t="shared" si="1"/>
        <v>Betwist</v>
      </c>
    </row>
    <row r="17" spans="1:15">
      <c r="A17" s="2" t="s">
        <v>21</v>
      </c>
      <c r="B17">
        <f>COUNTIF(Table1[Genre],'Legacy Berekeningen'!A17)</f>
        <v>2</v>
      </c>
      <c r="C17">
        <f>COUNTIF(Table1[Optioneel genre],'Legacy Berekeningen'!A17)</f>
        <v>5</v>
      </c>
      <c r="D17">
        <f t="shared" si="0"/>
        <v>7</v>
      </c>
      <c r="E17">
        <f>COUNTIFS(Table1[Genre],'Legacy Berekeningen'!$A17,Table1[Meister],E$2)+COUNTIFS(Table1[Optioneel genre],'Legacy Berekeningen'!$A17,Table1[Meister],E$2)</f>
        <v>1</v>
      </c>
      <c r="F17">
        <f>COUNTIFS(Table1[Genre],'Legacy Berekeningen'!$A17,Table1[Meister],F$2)+COUNTIFS(Table1[Optioneel genre],'Legacy Berekeningen'!$A17,Table1[Meister],F$2)</f>
        <v>1</v>
      </c>
      <c r="G17">
        <f>COUNTIFS(Table1[Genre],'Legacy Berekeningen'!$A17,Table1[Meister],G$2)+COUNTIFS(Table1[Optioneel genre],'Legacy Berekeningen'!$A17,Table1[Meister],G$2)</f>
        <v>1</v>
      </c>
      <c r="H17">
        <f>COUNTIFS(Table1[Genre],'Legacy Berekeningen'!$A17,Table1[Meister],H$2)+COUNTIFS(Table1[Optioneel genre],'Legacy Berekeningen'!$A17,Table1[Meister],H$2)</f>
        <v>4</v>
      </c>
      <c r="I17" t="str">
        <f t="shared" si="1"/>
        <v>Jan</v>
      </c>
    </row>
    <row r="18" spans="1:15">
      <c r="A18" s="2" t="s">
        <v>579</v>
      </c>
      <c r="B18">
        <f>COUNTIF(Table1[Genre],'Legacy Berekeningen'!A18)</f>
        <v>0</v>
      </c>
      <c r="C18">
        <f>COUNTIF(Table1[Optioneel genre],'Legacy Berekeningen'!A18)</f>
        <v>0</v>
      </c>
      <c r="D18">
        <f t="shared" si="0"/>
        <v>0</v>
      </c>
      <c r="E18">
        <f>COUNTIFS(Table1[Genre],'Legacy Berekeningen'!$A18,Table1[Meister],E$2)+COUNTIFS(Table1[Optioneel genre],'Legacy Berekeningen'!$A18,Table1[Meister],E$2)</f>
        <v>0</v>
      </c>
      <c r="F18">
        <f>COUNTIFS(Table1[Genre],'Legacy Berekeningen'!$A18,Table1[Meister],F$2)+COUNTIFS(Table1[Optioneel genre],'Legacy Berekeningen'!$A18,Table1[Meister],F$2)</f>
        <v>0</v>
      </c>
      <c r="G18">
        <f>COUNTIFS(Table1[Genre],'Legacy Berekeningen'!$A18,Table1[Meister],G$2)+COUNTIFS(Table1[Optioneel genre],'Legacy Berekeningen'!$A18,Table1[Meister],G$2)</f>
        <v>0</v>
      </c>
      <c r="H18">
        <f>COUNTIFS(Table1[Genre],'Legacy Berekeningen'!$A18,Table1[Meister],H$2)+COUNTIFS(Table1[Optioneel genre],'Legacy Berekeningen'!$A18,Table1[Meister],H$2)</f>
        <v>0</v>
      </c>
      <c r="I18" t="str">
        <f t="shared" si="1"/>
        <v>geen</v>
      </c>
      <c r="K18" s="33" t="s">
        <v>593</v>
      </c>
      <c r="L18" s="33"/>
      <c r="M18" s="33"/>
      <c r="N18" s="33"/>
      <c r="O18" s="33"/>
    </row>
    <row r="19" spans="1:15">
      <c r="A19" s="2" t="s">
        <v>13</v>
      </c>
      <c r="B19">
        <f>COUNTIF(Table1[Genre],'Legacy Berekeningen'!A19)</f>
        <v>1</v>
      </c>
      <c r="C19">
        <f>COUNTIF(Table1[Optioneel genre],'Legacy Berekeningen'!A19)</f>
        <v>4</v>
      </c>
      <c r="D19">
        <f t="shared" si="0"/>
        <v>5</v>
      </c>
      <c r="E19">
        <f>COUNTIFS(Table1[Genre],'Legacy Berekeningen'!$A19,Table1[Meister],E$2)+COUNTIFS(Table1[Optioneel genre],'Legacy Berekeningen'!$A19,Table1[Meister],E$2)</f>
        <v>2</v>
      </c>
      <c r="F19">
        <f>COUNTIFS(Table1[Genre],'Legacy Berekeningen'!$A19,Table1[Meister],F$2)+COUNTIFS(Table1[Optioneel genre],'Legacy Berekeningen'!$A19,Table1[Meister],F$2)</f>
        <v>0</v>
      </c>
      <c r="G19">
        <f>COUNTIFS(Table1[Genre],'Legacy Berekeningen'!$A19,Table1[Meister],G$2)+COUNTIFS(Table1[Optioneel genre],'Legacy Berekeningen'!$A19,Table1[Meister],G$2)</f>
        <v>2</v>
      </c>
      <c r="H19">
        <f>COUNTIFS(Table1[Genre],'Legacy Berekeningen'!$A19,Table1[Meister],H$2)+COUNTIFS(Table1[Optioneel genre],'Legacy Berekeningen'!$A19,Table1[Meister],H$2)</f>
        <v>0</v>
      </c>
      <c r="I19" t="str">
        <f t="shared" si="1"/>
        <v>Betwist</v>
      </c>
      <c r="K19" s="10" t="s">
        <v>18</v>
      </c>
      <c r="L19" s="10" t="s">
        <v>23</v>
      </c>
      <c r="M19" s="10" t="s">
        <v>27</v>
      </c>
      <c r="N19" s="10" t="s">
        <v>29</v>
      </c>
      <c r="O19" s="10" t="s">
        <v>594</v>
      </c>
    </row>
    <row r="20" spans="1:15">
      <c r="A20" s="2" t="s">
        <v>44</v>
      </c>
      <c r="B20">
        <f>COUNTIF(Table1[Genre],'Legacy Berekeningen'!A20)</f>
        <v>1</v>
      </c>
      <c r="C20">
        <f>COUNTIF(Table1[Optioneel genre],'Legacy Berekeningen'!A20)</f>
        <v>1</v>
      </c>
      <c r="D20">
        <f t="shared" si="0"/>
        <v>2</v>
      </c>
      <c r="E20">
        <f>COUNTIFS(Table1[Genre],'Legacy Berekeningen'!$A20,Table1[Meister],E$2)+COUNTIFS(Table1[Optioneel genre],'Legacy Berekeningen'!$A20,Table1[Meister],E$2)</f>
        <v>1</v>
      </c>
      <c r="F20">
        <f>COUNTIFS(Table1[Genre],'Legacy Berekeningen'!$A20,Table1[Meister],F$2)+COUNTIFS(Table1[Optioneel genre],'Legacy Berekeningen'!$A20,Table1[Meister],F$2)</f>
        <v>0</v>
      </c>
      <c r="G20">
        <f>COUNTIFS(Table1[Genre],'Legacy Berekeningen'!$A20,Table1[Meister],G$2)+COUNTIFS(Table1[Optioneel genre],'Legacy Berekeningen'!$A20,Table1[Meister],G$2)</f>
        <v>1</v>
      </c>
      <c r="H20">
        <f>COUNTIFS(Table1[Genre],'Legacy Berekeningen'!$A20,Table1[Meister],H$2)+COUNTIFS(Table1[Optioneel genre],'Legacy Berekeningen'!$A20,Table1[Meister],H$2)</f>
        <v>0</v>
      </c>
      <c r="I20" t="str">
        <f t="shared" si="1"/>
        <v>Betwist</v>
      </c>
      <c r="K20" s="15">
        <f>COUNTIFS(Table1[Al gezien?],"Nee",Table1[Meister],K19)/COUNTIF(Table1[Meister],K19)</f>
        <v>0.76923076923076927</v>
      </c>
      <c r="L20" s="15">
        <f>COUNTIFS(Table1[Al gezien?],"Nee",Table1[Meister],L19)/COUNTIF(Table1[Meister],L19)</f>
        <v>0.91666666666666663</v>
      </c>
      <c r="M20" s="15">
        <f>COUNTIFS(Table1[Al gezien?],"Nee",Table1[Meister],M19)/COUNTIF(Table1[Meister],M19)</f>
        <v>0.25</v>
      </c>
      <c r="N20" s="15">
        <f>COUNTIFS(Table1[Al gezien?],"Nee",Table1[Meister],N19)/COUNTIF(Table1[Meister],N19)</f>
        <v>0.5</v>
      </c>
      <c r="O20" s="12">
        <f>AVERAGE(K20:N20)</f>
        <v>0.60897435897435903</v>
      </c>
    </row>
    <row r="21" spans="1:15">
      <c r="A21" s="2" t="s">
        <v>58</v>
      </c>
      <c r="B21">
        <f>COUNTIF(Table1[Genre],'Legacy Berekeningen'!A21)</f>
        <v>0</v>
      </c>
      <c r="C21">
        <f>COUNTIF(Table1[Optioneel genre],'Legacy Berekeningen'!A21)</f>
        <v>1</v>
      </c>
      <c r="D21">
        <f t="shared" si="0"/>
        <v>1</v>
      </c>
      <c r="E21">
        <f>COUNTIFS(Table1[Genre],'Legacy Berekeningen'!$A21,Table1[Meister],E$2)+COUNTIFS(Table1[Optioneel genre],'Legacy Berekeningen'!$A21,Table1[Meister],E$2)</f>
        <v>0</v>
      </c>
      <c r="F21">
        <f>COUNTIFS(Table1[Genre],'Legacy Berekeningen'!$A21,Table1[Meister],F$2)+COUNTIFS(Table1[Optioneel genre],'Legacy Berekeningen'!$A21,Table1[Meister],F$2)</f>
        <v>0</v>
      </c>
      <c r="G21">
        <f>COUNTIFS(Table1[Genre],'Legacy Berekeningen'!$A21,Table1[Meister],G$2)+COUNTIFS(Table1[Optioneel genre],'Legacy Berekeningen'!$A21,Table1[Meister],G$2)</f>
        <v>1</v>
      </c>
      <c r="H21">
        <f>COUNTIFS(Table1[Genre],'Legacy Berekeningen'!$A21,Table1[Meister],H$2)+COUNTIFS(Table1[Optioneel genre],'Legacy Berekeningen'!$A21,Table1[Meister],H$2)</f>
        <v>0</v>
      </c>
      <c r="I21" t="str">
        <f t="shared" si="1"/>
        <v>Joris</v>
      </c>
      <c r="K21" s="33" t="s">
        <v>595</v>
      </c>
      <c r="L21" s="33"/>
      <c r="M21" s="33"/>
      <c r="N21" s="33"/>
      <c r="O21" s="33"/>
    </row>
    <row r="22" spans="1:15">
      <c r="K22" s="12">
        <f>COUNTIFS(Table1[Al gezien?],"Ja",Table1[Meister],K19)/COUNTIF(Table1[Meister],K19)</f>
        <v>0.23076923076923078</v>
      </c>
      <c r="L22" s="12">
        <f>COUNTIFS(Table1[Al gezien?],"ja",Table1[Meister],L19)/COUNTIF(Table1[Meister],L19)</f>
        <v>8.3333333333333329E-2</v>
      </c>
      <c r="M22" s="12">
        <f>COUNTIFS(Table1[Al gezien?],"ja",Table1[Meister],M19)/COUNTIF(Table1[Meister],M19)</f>
        <v>0.75</v>
      </c>
      <c r="N22" s="12">
        <f>COUNTIFS(Table1[Al gezien?],"ja",Table1[Meister],N19)/COUNTIF(Table1[Meister],N19)</f>
        <v>0.5</v>
      </c>
      <c r="O22" s="12">
        <f>AVERAGE(K22:N22)</f>
        <v>0.39102564102564102</v>
      </c>
    </row>
    <row r="27" spans="1:15">
      <c r="I27" s="12"/>
    </row>
  </sheetData>
  <mergeCells count="5">
    <mergeCell ref="K18:O18"/>
    <mergeCell ref="K21:O21"/>
    <mergeCell ref="J11:O11"/>
    <mergeCell ref="J6:O6"/>
    <mergeCell ref="J1:O1"/>
  </mergeCells>
  <conditionalFormatting sqref="E3:H21">
    <cfRule type="colorScale" priority="11">
      <colorScale>
        <cfvo type="min"/>
        <cfvo type="percentile" val="50"/>
        <cfvo type="max"/>
        <color rgb="FFF8696B"/>
        <color rgb="FFFFEB84"/>
        <color rgb="FF63BE7B"/>
      </colorScale>
    </cfRule>
  </conditionalFormatting>
  <conditionalFormatting sqref="K13:O13">
    <cfRule type="colorScale" priority="12">
      <colorScale>
        <cfvo type="min"/>
        <cfvo type="percentile" val="50"/>
        <cfvo type="max"/>
        <color rgb="FFF8696B"/>
        <color rgb="FFFFEB84"/>
        <color rgb="FF63BE7B"/>
      </colorScale>
    </cfRule>
  </conditionalFormatting>
  <conditionalFormatting sqref="K20:O20">
    <cfRule type="colorScale" priority="1">
      <colorScale>
        <cfvo type="min"/>
        <cfvo type="percentile" val="50"/>
        <cfvo type="max"/>
        <color rgb="FFF8696B"/>
        <color rgb="FFFCFCFF"/>
        <color rgb="FF63BE7B"/>
      </colorScale>
    </cfRule>
  </conditionalFormatting>
  <conditionalFormatting sqref="K22:O22">
    <cfRule type="colorScale" priority="2">
      <colorScale>
        <cfvo type="min"/>
        <cfvo type="percentile" val="50"/>
        <cfvo type="max"/>
        <color rgb="FFF8696B"/>
        <color rgb="FFFCFCFF"/>
        <color rgb="FF63BE7B"/>
      </colorScale>
    </cfRule>
  </conditionalFormatting>
  <conditionalFormatting sqref="O20">
    <cfRule type="colorScale" priority="9">
      <colorScale>
        <cfvo type="min"/>
        <cfvo type="percentile" val="50"/>
        <cfvo type="max"/>
        <color rgb="FFF8696B"/>
        <color rgb="FFFFEB84"/>
        <color rgb="FF63BE7B"/>
      </colorScale>
    </cfRule>
  </conditionalFormatting>
  <conditionalFormatting sqref="O22">
    <cfRule type="colorScale" priority="3">
      <colorScale>
        <cfvo type="min"/>
        <cfvo type="percentile" val="50"/>
        <cfvo type="max"/>
        <color rgb="FF63BE7B"/>
        <color rgb="FFFCFCFF"/>
        <color rgb="FFF8696B"/>
      </colorScale>
    </cfRule>
    <cfRule type="colorScale" priority="4">
      <colorScale>
        <cfvo type="min"/>
        <cfvo type="percentile" val="50"/>
        <cfvo type="max"/>
        <color rgb="FFF8696B"/>
        <color rgb="FFFFEB84"/>
        <color rgb="FF63BE7B"/>
      </colorScale>
    </cfRule>
  </conditionalFormatting>
  <hyperlinks>
    <hyperlink ref="A3" r:id="rId1" xr:uid="{9BE29658-4F5F-494C-8A16-A70E5ACA5CC0}"/>
    <hyperlink ref="A4" r:id="rId2" xr:uid="{D99DB3F9-5BF7-4B2C-AC00-500697B5DBD4}"/>
    <hyperlink ref="A5" r:id="rId3" xr:uid="{1CAD4886-7C26-4D01-A84E-352335AD7CE6}"/>
    <hyperlink ref="A6" r:id="rId4" xr:uid="{770CED9E-2DDC-4CFA-BF51-DE3BC6572FBF}"/>
    <hyperlink ref="A7" r:id="rId5" xr:uid="{0290DEE9-C45F-413C-AF5D-AD5845CCAF42}"/>
    <hyperlink ref="A8" r:id="rId6" xr:uid="{604803F1-E25A-479C-BB84-70F7B0834831}"/>
    <hyperlink ref="A9" r:id="rId7" xr:uid="{7C7FC549-8F51-4944-9BE4-83511A09700E}"/>
    <hyperlink ref="A10" r:id="rId8" xr:uid="{4FD3C908-D2DC-479B-8E5A-EC6D0D46B9E2}"/>
    <hyperlink ref="A12" r:id="rId9" xr:uid="{B0B63A27-DB1A-480F-948F-3539A6C6FC18}"/>
    <hyperlink ref="A13" r:id="rId10" xr:uid="{1A36E6D0-3A81-4325-BE1C-49A1BD4EB521}"/>
    <hyperlink ref="A14" r:id="rId11" xr:uid="{2438D628-992B-4F2C-8B1E-B61EE7B56716}"/>
    <hyperlink ref="A15" r:id="rId12" xr:uid="{48D6F1DE-68BD-40D3-B5AD-75D3AEF77FC9}"/>
    <hyperlink ref="A16" r:id="rId13" xr:uid="{C2361C68-D7FE-46C9-A117-11D459C85BB0}"/>
    <hyperlink ref="A17" r:id="rId14" xr:uid="{38924877-7B97-4C54-A238-28198AC09A16}"/>
    <hyperlink ref="A18" r:id="rId15" xr:uid="{286FB673-897F-4839-AC05-48CA784D5468}"/>
    <hyperlink ref="A19" r:id="rId16" xr:uid="{7918A500-7442-4FC6-B46C-9AF2B2D8B402}"/>
    <hyperlink ref="A20" r:id="rId17" xr:uid="{148D514C-E22E-4E30-88B2-F6B36F201173}"/>
    <hyperlink ref="A21" r:id="rId18" xr:uid="{4DCB17E3-56A3-432E-B4FB-1DA7879E9A7D}"/>
    <hyperlink ref="A11" r:id="rId19" xr:uid="{24F11B30-E4E4-4486-819A-8E170E8BC673}"/>
  </hyperlinks>
  <pageMargins left="0.7" right="0.7" top="0.75" bottom="0.75" header="0.3" footer="0.3"/>
  <pageSetup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7234-7D82-4C7B-BE0D-C97095522CDF}">
  <dimension ref="A1"/>
  <sheetViews>
    <sheetView zoomScale="115" zoomScaleNormal="115" workbookViewId="0">
      <selection activeCell="E6" sqref="E6"/>
    </sheetView>
  </sheetViews>
  <sheetFormatPr defaultColWidth="9.140625" defaultRowHeight="15"/>
  <cols>
    <col min="1" max="16384" width="9.140625" style="1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B09E1-9441-4896-A7A0-1F10F1572009}">
  <dimension ref="A1:N87"/>
  <sheetViews>
    <sheetView workbookViewId="0">
      <selection activeCell="E6" sqref="E6"/>
    </sheetView>
  </sheetViews>
  <sheetFormatPr defaultRowHeight="15"/>
  <cols>
    <col min="1" max="1" width="15.5703125" bestFit="1" customWidth="1"/>
    <col min="11" max="11" width="16.7109375" customWidth="1"/>
  </cols>
  <sheetData>
    <row r="1" spans="1:14">
      <c r="A1" s="1" t="s">
        <v>596</v>
      </c>
      <c r="B1" t="s">
        <v>597</v>
      </c>
      <c r="C1" t="s">
        <v>332</v>
      </c>
      <c r="D1" t="s">
        <v>446</v>
      </c>
      <c r="E1" t="s">
        <v>549</v>
      </c>
      <c r="F1" t="s">
        <v>598</v>
      </c>
      <c r="G1" t="s">
        <v>599</v>
      </c>
      <c r="H1" t="s">
        <v>600</v>
      </c>
      <c r="I1" t="s">
        <v>601</v>
      </c>
      <c r="J1" t="s">
        <v>602</v>
      </c>
      <c r="K1" t="s">
        <v>603</v>
      </c>
      <c r="L1" t="s">
        <v>604</v>
      </c>
      <c r="M1" t="s">
        <v>605</v>
      </c>
      <c r="N1">
        <v>13</v>
      </c>
    </row>
    <row r="2" spans="1:14">
      <c r="A2" s="1" t="s">
        <v>18</v>
      </c>
      <c r="B2" s="12" t="e">
        <f>IF(COUNTIFS(Table1[Rnd],B$1,Table1[Meister],$A2)=1,
IF(COUNT(B9:B27)&gt;=SUM(B9:B27),COUNT(B9:B27)-COUNTIF(B9:B27,0),IF(ROUNDDOWN(AVERAGE(B9:B27),0)=ROUNDUP(AVERAGE(B9:B27),0),COUNT(B9:B27),COUNTIF(B9:B27,ROUNDDOWN(AVERAGE(B9:B27),0))+COUNTIF(B9:B27,ROUNDUP(AVERAGE(B9:B27),0))))/IF(COUNT(B9:B27)&gt;SUM(B9:B27),SUM(B9:B27),COUNT(B9:B27)),"")</f>
        <v>#REF!</v>
      </c>
      <c r="C2" s="12">
        <f>IF(COUNTIFS(Table1[Rnd],C$1,Table1[Meister],$A2)=1,
IF(COUNT(C9:C27)&gt;=SUM(C9:C27),COUNT(C9:C27)-COUNTIF(C9:C27,0),IF(ROUNDDOWN(AVERAGE(C9:C27),0)=ROUNDUP(AVERAGE(C9:C27),0),COUNT(C9:C27),COUNTIF(C9:C27,ROUNDDOWN(AVERAGE(C9:C27),0))+COUNTIF(C9:C27,ROUNDUP(AVERAGE(C9:C27),0))))/IF(COUNT(C9:C27)&gt;SUM(C9:C27),SUM(C9:C27),COUNT(C9:C27)),"")</f>
        <v>1</v>
      </c>
      <c r="D2" s="12">
        <f>IF(COUNTIFS(Table1[Rnd],D$1,Table1[Meister],$A2)=1,
IF(COUNT(D9:D27)&gt;=SUM(D9:D27),COUNT(D9:D27)-COUNTIF(D9:D27,0),IF(ROUNDDOWN(AVERAGE(D9:D27),0)=ROUNDUP(AVERAGE(D9:D27),0),COUNT(D9:D27),COUNTIF(D9:D27,ROUNDDOWN(AVERAGE(D9:D27),0))+COUNTIF(D9:D27,ROUNDUP(AVERAGE(D9:D27),0))))/IF(COUNT(D9:D27)&gt;SUM(D9:D27),SUM(D9:D27),COUNT(D9:D27)),"")</f>
        <v>0.83333333333333337</v>
      </c>
      <c r="E2" s="12">
        <f>IF(COUNTIFS(Table1[Rnd],E$1,Table1[Meister],$A2)=1,
IF(COUNT(E9:E27)&gt;=SUM(E9:E27),COUNT(E9:E27)-COUNTIF(E9:E27,0),IF(ROUNDDOWN(AVERAGE(E9:E27),0)=ROUNDUP(AVERAGE(E9:E27),0),COUNT(E9:E27),COUNTIF(E9:E27,ROUNDDOWN(AVERAGE(E9:E27),0))+COUNTIF(E9:E27,ROUNDUP(AVERAGE(E9:E27),0))))/IF(COUNT(E9:E27)&gt;SUM(E9:E27),SUM(E9:E27),COUNT(E9:E27)),"")</f>
        <v>0.75</v>
      </c>
      <c r="F2" s="12">
        <f>IF(COUNTIFS(Table1[Rnd],F$1,Table1[Meister],$A2)=1,
IF(COUNT(F9:F27)&gt;=SUM(F9:F27),COUNT(F9:F27)-COUNTIF(F9:F27,0),IF(ROUNDDOWN(AVERAGE(F9:F27),0)=ROUNDUP(AVERAGE(F9:F27),0),COUNT(F9:F27),COUNTIF(F9:F27,ROUNDDOWN(AVERAGE(F9:F27),0))+COUNTIF(F9:F27,ROUNDUP(AVERAGE(F9:F27),0))))/IF(COUNT(F9:F27)&gt;SUM(F9:F27),SUM(F9:F27),COUNT(F9:F27)),"")</f>
        <v>0.7</v>
      </c>
      <c r="G2" s="12">
        <f>IF(COUNTIFS(Table1[Rnd],G$1,Table1[Meister],$A2)=1,
IF(COUNT(G9:G27)&gt;=SUM(G9:G27),COUNT(G9:G27)-COUNTIF(G9:G27,0),IF(ROUNDDOWN(AVERAGE(G9:G27),0)=ROUNDUP(AVERAGE(G9:G27),0),COUNT(G9:G27),COUNTIF(G9:G27,ROUNDDOWN(AVERAGE(G9:G27),0))+COUNTIF(G9:G27,ROUNDUP(AVERAGE(G9:G27),0))))/IF(COUNT(G9:G27)&gt;SUM(G9:G27),SUM(G9:G27),COUNT(G9:G27)),"")</f>
        <v>0.75</v>
      </c>
      <c r="H2" s="12">
        <f>IF(COUNTIFS(Table1[Rnd],H$1,Table1[Meister],$A2)=1,
IF(COUNT(H9:H27)&gt;=SUM(H9:H27),COUNT(H9:H27)-COUNTIF(H9:H27,0),IF(ROUNDDOWN(AVERAGE(H9:H27),0)=ROUNDUP(AVERAGE(H9:H27),0),COUNT(H9:H27),COUNTIF(H9:H27,ROUNDDOWN(AVERAGE(H9:H27),0))+COUNTIF(H9:H27,ROUNDUP(AVERAGE(H9:H27),0))))/IF(COUNT(H9:H27)&gt;SUM(H9:H27),SUM(H9:H27),COUNT(H9:H27)),"")</f>
        <v>0.7142857142857143</v>
      </c>
      <c r="I2" s="12">
        <f>IF(COUNTIFS(Table1[Rnd],I$1,Table1[Meister],$A2)=1,
IF(COUNT(I9:I27)&gt;=SUM(I9:I27),COUNT(I9:I27)-COUNTIF(I9:I27,0),IF(ROUNDDOWN(AVERAGE(I9:I27),0)=ROUNDUP(AVERAGE(I9:I27),0),COUNT(I9:I27),COUNTIF(I9:I27,ROUNDDOWN(AVERAGE(I9:I27),0))+COUNTIF(I9:I27,ROUNDUP(AVERAGE(I9:I27),0))))/IF(COUNT(I9:I27)&gt;SUM(I9:I27),SUM(I9:I27),COUNT(I9:I27)),"")</f>
        <v>0.625</v>
      </c>
      <c r="J2" s="12">
        <f>IF(COUNTIFS(Table1[Rnd],J$1,Table1[Meister],$A2)=1,
IF(COUNT(J9:J27)&gt;=SUM(J9:J27),COUNT(J9:J27)-COUNTIF(J9:J27,0),IF(ROUNDDOWN(AVERAGE(J9:J27),0)=ROUNDUP(AVERAGE(J9:J27),0),COUNT(J9:J27),COUNTIF(J9:J27,ROUNDDOWN(AVERAGE(J9:J27),0))+COUNTIF(J9:J27,ROUNDUP(AVERAGE(J9:J27),0))))/IF(COUNT(J9:J27)&gt;SUM(J9:J27),SUM(J9:J27),COUNT(J9:J27)),"")</f>
        <v>0.55555555555555558</v>
      </c>
      <c r="K2" s="16">
        <f>IF(COUNTIFS(Table1[Rnd],K$1,Table1[Meister],$A2)=1,
IF(COUNT(K9:K27)&gt;=SUM(K9:K27),COUNT(K9:K27)-COUNTIF(K9:K27,0),IF(ROUNDDOWN(AVERAGE(K9:K27),0)=ROUNDUP(AVERAGE(K9:K27),0),COUNT(K9:K27),COUNTIF(K9:K27,ROUNDDOWN(AVERAGE(K9:K27),0))+COUNTIF(K9:K27,ROUNDUP(AVERAGE(K9:K27),0))))/IF(COUNT(K9:K27)&gt;SUM(K9:K27),SUM(K9:K27),COUNT(K9:K27)),"")</f>
        <v>0.52631578947368418</v>
      </c>
      <c r="L2" s="16">
        <f>IF(COUNTIFS(Table1[Rnd],L$1,Table1[Meister],$A2)=1,
IF(COUNT(L9:L27)&gt;=SUM(L9:L27),COUNT(L9:L27)-COUNTIF(L9:L27,0),IF(ROUNDDOWN(AVERAGE(L9:L27),0)=ROUNDUP(AVERAGE(L9:L27),0),COUNT(L9:L27),COUNTIF(L9:L27,ROUNDDOWN(AVERAGE(L9:L27),0))+COUNTIF(L9:L27,ROUNDUP(AVERAGE(L9:L27),0))))/IF(COUNT(L9:L27)&gt;SUM(L9:L27),SUM(L9:L27),COUNT(L9:L27)),"")</f>
        <v>0.42105263157894735</v>
      </c>
      <c r="M2" s="16">
        <f>IF(COUNTIFS(Table1[Rnd],M$1,Table1[Meister],$A2)=1,
IF(COUNT(M9:M27)&gt;=SUM(M9:M27),COUNT(M9:M27)-COUNTIF(M9:M27,0),IF(ROUNDDOWN(AVERAGE(M9:M27),0)=ROUNDUP(AVERAGE(M9:M27),0),COUNT(M9:M27),COUNTIF(M9:M27,ROUNDDOWN(AVERAGE(M9:M27),0))+COUNTIF(M9:M27,ROUNDUP(AVERAGE(M9:M27),0))))/IF(COUNT(M9:M27)&gt;SUM(M9:M27),SUM(M9:M27),COUNT(M9:M27)),"")</f>
        <v>0.42105263157894735</v>
      </c>
      <c r="N2" s="16">
        <f>IF(COUNTIFS(Table1[Rnd],N$1,Table1[Meister],$A2)=1,
IF(COUNT(N9:N27)&gt;=SUM(N9:N27),COUNT(N9:N27)-COUNTIF(N9:N27,0),IF(ROUNDDOWN(AVERAGE(N9:N27),0)=ROUNDUP(AVERAGE(N9:N27),0),COUNT(N9:N27),COUNTIF(N9:N27,ROUNDDOWN(AVERAGE(N9:N27),0))+COUNTIF(N9:N27,ROUNDUP(AVERAGE(N9:N27),0))))/IF(COUNT(N9:N27)&gt;SUM(N9:N27),SUM(N9:N27),COUNT(N9:N27)),"")</f>
        <v>0.42105263157894735</v>
      </c>
    </row>
    <row r="3" spans="1:14">
      <c r="A3" s="1" t="s">
        <v>23</v>
      </c>
      <c r="B3" s="12">
        <f>IF(COUNTIFS(Table1[Rnd],B$1,Table1[Meister],$A3)=1,
IF(COUNT(B29:B47)&gt;=SUM(B29:B47),COUNT(B29:B47)-COUNTIF(B29:B47,0),IF(ROUNDDOWN(AVERAGE(B29:B47),0)=ROUNDUP(AVERAGE(B29:B47),0),COUNT(B29:B47),COUNTIF(B29:B47,ROUNDDOWN(AVERAGE(B29:B47),0))+COUNTIF(B29:B47,ROUNDUP(AVERAGE(B29:B47),0))))/IF(COUNT(B29:B47)&gt;SUM(B29:B47),SUM(B29:B47),COUNT(B29:B47)),"")</f>
        <v>1</v>
      </c>
      <c r="C3" s="12">
        <f>IF(COUNTIFS(Table1[Rnd],C$1,Table1[Meister],$A3)=1,
IF(COUNT(C29:C47)&gt;=SUM(C29:C47),COUNT(C29:C47)-COUNTIF(C29:C47,0),IF(ROUNDDOWN(AVERAGE(C29:C47),0)=ROUNDUP(AVERAGE(C29:C47),0),COUNT(C29:C47),COUNTIF(C29:C47,ROUNDDOWN(AVERAGE(C29:C47),0))+COUNTIF(C29:C47,ROUNDUP(AVERAGE(C29:C47),0))))/IF(COUNT(C29:C47)&gt;SUM(C29:C47),SUM(C29:C47),COUNT(C29:C47)),"")</f>
        <v>0.5</v>
      </c>
      <c r="D3" s="12">
        <f>IF(COUNTIFS(Table1[Rnd],D$1,Table1[Meister],$A3)=1,
IF(COUNT(D29:D47)&gt;=SUM(D29:D47),COUNT(D29:D47)-COUNTIF(D29:D47,0),IF(ROUNDDOWN(AVERAGE(D29:D47),0)=ROUNDUP(AVERAGE(D29:D47),0),COUNT(D29:D47),COUNTIF(D29:D47,ROUNDDOWN(AVERAGE(D29:D47),0))+COUNTIF(D29:D47,ROUNDUP(AVERAGE(D29:D47),0))))/IF(COUNT(D29:D47)&gt;SUM(D29:D47),SUM(D29:D47),COUNT(D29:D47)),"")</f>
        <v>0.66666666666666663</v>
      </c>
      <c r="E3" s="12">
        <f>IF(COUNTIFS(Table1[Rnd],E$1,Table1[Meister],$A3)=1,
IF(COUNT(E29:E47)&gt;=SUM(E29:E47),COUNT(E29:E47)-COUNTIF(E29:E47,0),IF(ROUNDDOWN(AVERAGE(E29:E47),0)=ROUNDUP(AVERAGE(E29:E47),0),COUNT(E29:E47),COUNTIF(E29:E47,ROUNDDOWN(AVERAGE(E29:E47),0))+COUNTIF(E29:E47,ROUNDUP(AVERAGE(E29:E47),0))))/IF(COUNT(E29:E47)&gt;SUM(E29:E47),SUM(E29:E47),COUNT(E29:E47)),"")</f>
        <v>0.5</v>
      </c>
      <c r="F3" s="12">
        <f>IF(COUNTIFS(Table1[Rnd],F$1,Table1[Meister],$A3)=1,
IF(COUNT(F29:F47)&gt;=SUM(F29:F47),COUNT(F29:F47)-COUNTIF(F29:F47,0),IF(ROUNDDOWN(AVERAGE(F29:F47),0)=ROUNDUP(AVERAGE(F29:F47),0),COUNT(F29:F47),COUNTIF(F29:F47,ROUNDDOWN(AVERAGE(F29:F47),0))+COUNTIF(F29:F47,ROUNDUP(AVERAGE(F29:F47),0))))/IF(COUNT(F29:F47)&gt;SUM(F29:F47),SUM(F29:F47),COUNT(F29:F47)),"")</f>
        <v>0.6</v>
      </c>
      <c r="G3" s="12">
        <f>IF(COUNTIFS(Table1[Rnd],G$1,Table1[Meister],$A3)=1,
IF(COUNT(G29:G47)&gt;=SUM(G29:G47),COUNT(G29:G47)-COUNTIF(G29:G47,0),IF(ROUNDDOWN(AVERAGE(G29:G47),0)=ROUNDUP(AVERAGE(G29:G47),0),COUNT(G29:G47),COUNTIF(G29:G47,ROUNDDOWN(AVERAGE(G29:G47),0))+COUNTIF(G29:G47,ROUNDUP(AVERAGE(G29:G47),0))))/IF(COUNT(G29:G47)&gt;SUM(G29:G47),SUM(G29:G47),COUNT(G29:G47)),"")</f>
        <v>0.5</v>
      </c>
      <c r="H3" s="12">
        <f>IF(COUNTIFS(Table1[Rnd],H$1,Table1[Meister],$A3)=1,
IF(COUNT(H29:H47)&gt;=SUM(H29:H47),COUNT(H29:H47)-COUNTIF(H29:H47,0),IF(ROUNDDOWN(AVERAGE(H29:H47),0)=ROUNDUP(AVERAGE(H29:H47),0),COUNT(H29:H47),COUNTIF(H29:H47,ROUNDDOWN(AVERAGE(H29:H47),0))+COUNTIF(H29:H47,ROUNDUP(AVERAGE(H29:H47),0))))/IF(COUNT(H29:H47)&gt;SUM(H29:H47),SUM(H29:H47),COUNT(H29:H47)),"")</f>
        <v>0.5</v>
      </c>
      <c r="I3" s="12">
        <f>IF(COUNTIFS(Table1[Rnd],I$1,Table1[Meister],$A3)=1,
IF(COUNT(I29:I47)&gt;=SUM(I29:I47),COUNT(I29:I47)-COUNTIF(I29:I47,0),IF(ROUNDDOWN(AVERAGE(I29:I47),0)=ROUNDUP(AVERAGE(I29:I47),0),COUNT(I29:I47),COUNTIF(I29:I47,ROUNDDOWN(AVERAGE(I29:I47),0))+COUNTIF(I29:I47,ROUNDUP(AVERAGE(I29:I47),0))))/IF(COUNT(I29:I47)&gt;SUM(I29:I47),SUM(I29:I47),COUNT(I29:I47)),"")</f>
        <v>0.4375</v>
      </c>
      <c r="J3" s="12">
        <f>IF(COUNTIFS(Table1[Rnd],J$1,Table1[Meister],$A3)=1,
IF(COUNT(J29:J47)&gt;=SUM(J29:J47),COUNT(J29:J47)-COUNTIF(J29:J47,0),IF(ROUNDDOWN(AVERAGE(J29:J47),0)=ROUNDUP(AVERAGE(J29:J47),0),COUNT(J29:J47),COUNTIF(J29:J47,ROUNDDOWN(AVERAGE(J29:J47),0))+COUNTIF(J29:J47,ROUNDUP(AVERAGE(J29:J47),0))))/IF(COUNT(J29:J47)&gt;SUM(J29:J47),SUM(J29:J47),COUNT(J29:J47)),"")</f>
        <v>0.3888888888888889</v>
      </c>
      <c r="K3" s="12">
        <f>IF(COUNTIFS(Table1[Rnd],K$1,Table1[Meister],$A3)=1,
IF(COUNT(K29:K47)&gt;=SUM(K29:K47),COUNT(K29:K47)-COUNTIF(K29:K47,0),IF(ROUNDDOWN(AVERAGE(K29:K47),0)=ROUNDUP(AVERAGE(K29:K47),0),COUNT(K29:K47),COUNTIF(K29:K47,ROUNDDOWN(AVERAGE(K29:K47),0))+COUNTIF(K29:K47,ROUNDUP(AVERAGE(K29:K47),0))))/IF(COUNT(K29:K47)&gt;SUM(K29:K47),SUM(K29:K47),COUNT(K29:K47)),"")</f>
        <v>0.26315789473684209</v>
      </c>
      <c r="L3" s="12">
        <f>IF(COUNTIFS(Table1[Rnd],L$1,Table1[Meister],$A3)=1,
IF(COUNT(L29:L47)&gt;=SUM(L29:L47),COUNT(L29:L47)-COUNTIF(L29:L47,0),IF(ROUNDDOWN(AVERAGE(L29:L47),0)=ROUNDUP(AVERAGE(L29:L47),0),COUNT(L29:L47),COUNTIF(L29:L47,ROUNDDOWN(AVERAGE(L29:L47),0))+COUNTIF(L29:L47,ROUNDUP(AVERAGE(L29:L47),0))))/IF(COUNT(L29:L47)&gt;SUM(L29:L47),SUM(L29:L47),COUNT(L29:L47)),"")</f>
        <v>0.21052631578947367</v>
      </c>
      <c r="M3" s="12">
        <f>IF(COUNTIFS(Table1[Rnd],M$1,Table1[Meister],$A3)=1,
IF(COUNT(M29:M47)&gt;=SUM(M29:M47),COUNT(M29:M47)-COUNTIF(M29:M47,0),IF(ROUNDDOWN(AVERAGE(M29:M47),0)=ROUNDUP(AVERAGE(M29:M47),0),COUNT(M29:M47),COUNTIF(M29:M47,ROUNDDOWN(AVERAGE(M29:M47),0))+COUNTIF(M29:M47,ROUNDUP(AVERAGE(M29:M47),0))))/IF(COUNT(M29:M47)&gt;SUM(M29:M47),SUM(M29:M47),COUNT(M29:M47)),"")</f>
        <v>0.31578947368421051</v>
      </c>
      <c r="N3" s="12" t="str">
        <f>IF(COUNTIFS(Table1[Rnd],N$1,Table1[Meister],$A3)=1,
IF(COUNT(N29:N47)&gt;=SUM(N29:N47),COUNT(N29:N47)-COUNTIF(N29:N47,0),IF(ROUNDDOWN(AVERAGE(N29:N47),0)=ROUNDUP(AVERAGE(N29:N47),0),COUNT(N29:N47),COUNTIF(N29:N47,ROUNDDOWN(AVERAGE(N29:N47),0))+COUNTIF(N29:N47,ROUNDUP(AVERAGE(N29:N47),0))))/IF(COUNT(N29:N47)&gt;SUM(N29:N47),SUM(N29:N47),COUNT(N29:N47)),"")</f>
        <v/>
      </c>
    </row>
    <row r="4" spans="1:14">
      <c r="A4" s="1" t="s">
        <v>477</v>
      </c>
      <c r="B4" s="12">
        <f xml:space="preserve">
IF(COUNT(B49:B67)&gt;=SUM(B49:B67),COUNT(B49:B67)-COUNTIF(B49:B67,0),IF(ROUNDDOWN(AVERAGE(B49:B67),0)=ROUNDUP(AVERAGE(B49:B67),0),COUNT(B49:B67),COUNTIF(B49:B67,ROUNDDOWN(AVERAGE(B49:B67),0))+COUNTIF(B49:B67,ROUNDUP(AVERAGE(B49:B67),0))))/IF(COUNT(B49:B67)&gt;SUM(B49:B67),SUM(B49:B67),COUNT(B49:B67))</f>
        <v>1</v>
      </c>
      <c r="C4" s="12">
        <f t="shared" ref="C4:I4" si="0">IF(COUNT(C49:C67)&gt;=SUM(C49:C67),COUNT(C49:C67)-COUNTIF(C49:C67,0),IF(ROUNDDOWN(AVERAGE(C49:C67),0)=ROUNDUP(AVERAGE(C49:C67),0),COUNT(C49:C67),COUNTIF(C49:C67,ROUNDDOWN(AVERAGE(C49:C67),0))+COUNTIF(C49:C67,ROUNDUP(AVERAGE(C49:C67),0))))/IF(COUNT(C49:C67)&gt;SUM(C49:C67),SUM(C49:C67),COUNT(C49:C67))</f>
        <v>1</v>
      </c>
      <c r="D4" s="12">
        <f t="shared" si="0"/>
        <v>0.83333333333333337</v>
      </c>
      <c r="E4" s="12">
        <f t="shared" si="0"/>
        <v>0.75</v>
      </c>
      <c r="F4" s="12">
        <f t="shared" si="0"/>
        <v>0.6</v>
      </c>
      <c r="G4" s="12">
        <f t="shared" si="0"/>
        <v>0.66666666666666663</v>
      </c>
      <c r="H4" s="12">
        <f t="shared" si="0"/>
        <v>0.6428571428571429</v>
      </c>
      <c r="I4" s="12">
        <f t="shared" si="0"/>
        <v>0.6875</v>
      </c>
      <c r="J4" s="12">
        <f>IF(COUNT(J49:J67)&gt;=SUM(J49:J67),COUNT(J49:J67)-COUNTIF(J49:J67,0),IF(ROUNDDOWN(AVERAGE(J49:J67),0)=ROUNDUP(AVERAGE(J49:J67),0),COUNT(J49:J67),COUNTIF(J49:J67,ROUNDDOWN(AVERAGE(J49:J67),0))+COUNTIF(J49:J67,ROUNDUP(AVERAGE(J49:J67),0))))/IF(COUNT(J49:J67)&gt;SUM(J49:J67),SUM(J49:J67),COUNT(J49:J67))</f>
        <v>0.66666666666666663</v>
      </c>
      <c r="K4" s="12">
        <f>IF(COUNT(K49:K67)&gt;=SUM(K49:K67),COUNT(K49:K67)-COUNTIF(K49:K67,0),IF(ROUNDDOWN(AVERAGE(K49:K67),0)=ROUNDUP(AVERAGE(K49:K67),0),COUNT(K49:K67),COUNTIF(K49:K67,ROUNDDOWN(AVERAGE(K49:K67),0))+COUNTIF(K49:K67,ROUNDUP(AVERAGE(K49:K67),0))))/IF(COUNT(K49:K67)&gt;SUM(K49:K67),SUM(K49:K67),COUNT(K49:K67))</f>
        <v>0.52631578947368418</v>
      </c>
      <c r="L4" s="12">
        <f>IF(COUNT(L49:L67)&gt;=SUM(L49:L67),COUNT(L49:L67)-COUNTIF(L49:L67,0),IF(ROUNDDOWN(AVERAGE(L49:L67),0)=ROUNDUP(AVERAGE(L49:L67),0),COUNT(L49:L67),COUNTIF(L49:L67,ROUNDDOWN(AVERAGE(L49:L67),0))+COUNTIF(L49:L67,ROUNDUP(AVERAGE(L49:L67),0))))/IF(COUNT(L49:L67)&gt;SUM(L49:L67),SUM(L49:L67),COUNT(L49:L67))</f>
        <v>0.52631578947368418</v>
      </c>
      <c r="M4" s="12">
        <f>IF(COUNT(M49:M67)&gt;=SUM(M49:M67),COUNT(M49:M67)-COUNTIF(M49:M67,0),IF(ROUNDDOWN(AVERAGE(M49:M67),0)=ROUNDUP(AVERAGE(M49:M67),0),COUNT(M49:M67),COUNTIF(M49:M67,ROUNDDOWN(AVERAGE(M49:M67),0))+COUNTIF(M49:M67,ROUNDUP(AVERAGE(M49:M67),0))))/IF(COUNT(M49:M67)&gt;SUM(M49:M67),SUM(M49:M67),COUNT(M49:M67))</f>
        <v>0.47368421052631576</v>
      </c>
      <c r="N4" s="12">
        <f>IF(COUNT(N49:N67)&gt;=SUM(N49:N67),COUNT(N49:N67)-COUNTIF(N49:N67,0),IF(ROUNDDOWN(AVERAGE(N49:N67),0)=ROUNDUP(AVERAGE(N49:N67),0),COUNT(N49:N67),COUNTIF(N49:N67,ROUNDDOWN(AVERAGE(N49:N67),0))+COUNTIF(N49:N67,ROUNDUP(AVERAGE(N49:N67),0))))/IF(COUNT(N49:N67)&gt;SUM(N49:N67),SUM(N49:N67),COUNT(N49:N67))</f>
        <v>0.47368421052631576</v>
      </c>
    </row>
    <row r="5" spans="1:14">
      <c r="A5" s="1" t="s">
        <v>29</v>
      </c>
      <c r="B5" s="12">
        <f t="shared" ref="B5:J5" si="1">IF(COUNT(B69:B87)&gt;=SUM(B69:B87),COUNT(B69:B87)-COUNTIF(B69:B87,0),IF(ROUNDDOWN(AVERAGE(B69:B87),0)=ROUNDUP(AVERAGE(B69:B87),0),COUNT(B69:B87),COUNTIF(B69:B87,ROUNDDOWN(AVERAGE(B69:B87),0))+COUNTIF(B69:B87,ROUNDUP(AVERAGE(B69:B87),0))))/IF(COUNT(B69:B87)&gt;SUM(B69:B87),SUM(B69:B87),COUNT(B69:B87))</f>
        <v>1</v>
      </c>
      <c r="C5" s="12">
        <f t="shared" si="1"/>
        <v>0.75</v>
      </c>
      <c r="D5" s="12">
        <f t="shared" si="1"/>
        <v>0.5</v>
      </c>
      <c r="E5" s="12">
        <f t="shared" si="1"/>
        <v>0.5</v>
      </c>
      <c r="F5" s="12">
        <f t="shared" si="1"/>
        <v>0.4</v>
      </c>
      <c r="G5" s="12">
        <f t="shared" si="1"/>
        <v>0.33333333333333331</v>
      </c>
      <c r="H5" s="12">
        <f t="shared" si="1"/>
        <v>0.35714285714285715</v>
      </c>
      <c r="I5" s="12">
        <f t="shared" si="1"/>
        <v>0.375</v>
      </c>
      <c r="J5" s="12">
        <f t="shared" si="1"/>
        <v>0.33333333333333331</v>
      </c>
      <c r="K5" s="12">
        <f>IF(COUNT(K69:K87)&gt;=SUM(K69:K87),COUNT(K69:K87)-COUNTIF(K69:K87,0),IF(ROUNDDOWN(AVERAGE(K69:K87),0)=ROUNDUP(AVERAGE(K69:K87),0),COUNT(K69:K87),COUNTIF(K69:K87,ROUNDDOWN(AVERAGE(K69:K87),0))+COUNTIF(K69:K87,ROUNDUP(AVERAGE(K69:K87),0))))/IF(COUNT(K69:K87)&gt;SUM(K69:K87),SUM(K69:K87),COUNT(K69:K87))</f>
        <v>0.21052631578947367</v>
      </c>
      <c r="L5" s="12">
        <f>IF(COUNT(L69:L87)&gt;=SUM(L69:L87),COUNT(L69:L87)-COUNTIF(L69:L87,0),IF(ROUNDDOWN(AVERAGE(L69:L87),0)=ROUNDUP(AVERAGE(L69:L87),0),COUNT(L69:L87),COUNTIF(L69:L87,ROUNDDOWN(AVERAGE(L69:L87),0))+COUNTIF(L69:L87,ROUNDUP(AVERAGE(L69:L87),0))))/IF(COUNT(L69:L87)&gt;SUM(L69:L87),SUM(L69:L87),COUNT(L69:L87))</f>
        <v>0.26315789473684209</v>
      </c>
      <c r="M5" s="12">
        <f>IF(COUNT(M69:M87)&gt;=SUM(M69:M87),COUNT(M69:M87)-COUNTIF(M69:M87,0),IF(ROUNDDOWN(AVERAGE(M69:M87),0)=ROUNDUP(AVERAGE(M69:M87),0),COUNT(M69:M87),COUNTIF(M69:M87,ROUNDDOWN(AVERAGE(M69:M87),0))+COUNTIF(M69:M87,ROUNDUP(AVERAGE(M69:M87),0))))/IF(COUNT(M69:M87)&gt;SUM(M69:M87),SUM(M69:M87),COUNT(M69:M87))</f>
        <v>0.36842105263157893</v>
      </c>
      <c r="N5" s="12">
        <f>IF(COUNT(N69:N87)&gt;=SUM(N69:N87),COUNT(N69:N87)-COUNTIF(N69:N87,0),IF(ROUNDDOWN(AVERAGE(N69:N87),0)=ROUNDUP(AVERAGE(N69:N87),0),COUNT(N69:N87),COUNTIF(N69:N87,ROUNDDOWN(AVERAGE(N69:N87),0))+COUNTIF(N69:N87,ROUNDUP(AVERAGE(N69:N87),0))))/IF(COUNT(N69:N87)&gt;SUM(N69:N87),SUM(N69:N87),COUNT(N69:N87))</f>
        <v>0.36842105263157893</v>
      </c>
    </row>
    <row r="7" spans="1:14">
      <c r="A7" s="1" t="s">
        <v>18</v>
      </c>
    </row>
    <row r="8" spans="1:14">
      <c r="A8" s="1" t="s">
        <v>6</v>
      </c>
      <c r="B8" s="1">
        <v>1</v>
      </c>
      <c r="C8" s="1">
        <v>2</v>
      </c>
      <c r="D8" s="1">
        <v>3</v>
      </c>
      <c r="E8" s="1">
        <v>4</v>
      </c>
      <c r="F8" s="1">
        <v>5</v>
      </c>
      <c r="G8" s="1">
        <v>6</v>
      </c>
      <c r="H8" s="1">
        <v>7</v>
      </c>
      <c r="I8" s="1">
        <v>8</v>
      </c>
      <c r="J8" s="1">
        <v>9</v>
      </c>
      <c r="K8" s="1">
        <v>10</v>
      </c>
      <c r="L8" s="1">
        <v>11</v>
      </c>
      <c r="M8" s="1">
        <v>12</v>
      </c>
      <c r="N8" s="1">
        <v>13</v>
      </c>
    </row>
    <row r="9" spans="1:14">
      <c r="A9" s="2" t="s">
        <v>12</v>
      </c>
      <c r="B9" t="e">
        <f>IF((_xlfn.MAXIFS(#REF!,#REF!,$A$7)&gt;B$8),COUNTIFS(#REF!,'Legacy Berekeningen'!$A3,#REF!,$A$7,#REF!,"&lt;="&amp;B$8)+COUNTIFS(#REF!,'Legacy Berekeningen'!$A3,#REF!,$A$7,#REF!,"&lt;="&amp;#REF!),0)</f>
        <v>#REF!</v>
      </c>
      <c r="C9">
        <f>IF((_xlfn.MAXIFS(Table1[Rnd],Table1[Rnd],$A$7)&gt;C$8),COUNTIFS(Table1[Genre],'Legacy Berekeningen'!$A3,Table1[Meister],$A$7,Table1[Rnd],"&lt;="&amp;C$8)+COUNTIFS(Table1[Optioneel genre],'Legacy Berekeningen'!$A3,Table1[Meister],$A$7,Table1[Rnd],"&lt;="&amp;C$8),0)</f>
        <v>0</v>
      </c>
      <c r="D9">
        <f>COUNTIFS(Table1[Genre],'Legacy Berekeningen'!$A3,Table1[Meister],$A$7,Table1[Rnd],"&lt;="&amp;D$8)+COUNTIFS(Table1[Optioneel genre],'Legacy Berekeningen'!$A3,Table1[Meister],$A$7,Table1[Rnd],"&lt;="&amp;D$8)</f>
        <v>0</v>
      </c>
      <c r="E9">
        <f>COUNTIFS(Table1[Genre],'Legacy Berekeningen'!$A3,Table1[Meister],$A$7,Table1[Rnd],"&lt;="&amp;E$8)+COUNTIFS(Table1[Optioneel genre],'Legacy Berekeningen'!$A3,Table1[Meister],$A$7,Table1[Rnd],"&lt;="&amp;E$8)</f>
        <v>0</v>
      </c>
      <c r="F9">
        <f>COUNTIFS(Table1[Genre],'Legacy Berekeningen'!$A3,Table1[Meister],$A$7,Table1[Rnd],"&lt;="&amp;F$8)+COUNTIFS(Table1[Optioneel genre],'Legacy Berekeningen'!$A3,Table1[Meister],$A$7,Table1[Rnd],"&lt;="&amp;F$8)</f>
        <v>0</v>
      </c>
      <c r="G9">
        <f>COUNTIFS(Table1[Genre],'Legacy Berekeningen'!$A3,Table1[Meister],$A$7,Table1[Rnd],"&lt;="&amp;G$8)+COUNTIFS(Table1[Optioneel genre],'Legacy Berekeningen'!$A3,Table1[Meister],$A$7,Table1[Rnd],"&lt;="&amp;G$8)</f>
        <v>1</v>
      </c>
      <c r="H9">
        <f>COUNTIFS(Table1[Genre],'Legacy Berekeningen'!$A3,Table1[Meister],$A$7,Table1[Rnd],"&lt;="&amp;H$8)+COUNTIFS(Table1[Optioneel genre],'Legacy Berekeningen'!$A3,Table1[Meister],$A$7,Table1[Rnd],"&lt;="&amp;H$8)</f>
        <v>1</v>
      </c>
      <c r="I9">
        <f>COUNTIFS(Table1[Genre],'Legacy Berekeningen'!$A3,Table1[Meister],$A$7,Table1[Rnd],"&lt;="&amp;I$8)+COUNTIFS(Table1[Optioneel genre],'Legacy Berekeningen'!$A3,Table1[Meister],$A$7,Table1[Rnd],"&lt;="&amp;I$8)</f>
        <v>2</v>
      </c>
      <c r="J9">
        <f>COUNTIFS(Table1[Genre],'Legacy Berekeningen'!$A3,Table1[Meister],$A$7,Table1[Rnd],"&lt;="&amp;J$8)+COUNTIFS(Table1[Optioneel genre],'Legacy Berekeningen'!$A3,Table1[Meister],$A$7,Table1[Rnd],"&lt;="&amp;J$8)</f>
        <v>2</v>
      </c>
      <c r="K9">
        <f>COUNTIFS(Table1[Genre],'Legacy Berekeningen'!$A3,Table1[Meister],$A$7,Table1[Rnd],"&lt;="&amp;K$8)+COUNTIFS(Table1[Optioneel genre],'Legacy Berekeningen'!$A3,Table1[Meister],$A$7,Table1[Rnd],"&lt;="&amp;K$8)</f>
        <v>2</v>
      </c>
      <c r="L9">
        <f>COUNTIFS(Table1[Genre],'Legacy Berekeningen'!$A3,Table1[Meister],$A$7,Table1[Rnd],"&lt;="&amp;L$8)+COUNTIFS(Table1[Optioneel genre],'Legacy Berekeningen'!$A3,Table1[Meister],$A$7,Table1[Rnd],"&lt;="&amp;L$8)</f>
        <v>3</v>
      </c>
      <c r="M9">
        <f>COUNTIFS(Table1[Genre],'Legacy Berekeningen'!$A3,Table1[Meister],$A$7,Table1[Rnd],"&lt;="&amp;M$8)+COUNTIFS(Table1[Optioneel genre],'Legacy Berekeningen'!$A3,Table1[Meister],$A$7,Table1[Rnd],"&lt;="&amp;M$8)</f>
        <v>4</v>
      </c>
      <c r="N9">
        <f>COUNTIFS(Table1[Genre],'Legacy Berekeningen'!$A3,Table1[Meister],$A$7,Table1[Rnd],"&lt;="&amp;N$8)+COUNTIFS(Table1[Optioneel genre],'Legacy Berekeningen'!$A3,Table1[Meister],$A$7,Table1[Rnd],"&lt;="&amp;N$8)</f>
        <v>4</v>
      </c>
    </row>
    <row r="10" spans="1:14">
      <c r="A10" s="2" t="s">
        <v>34</v>
      </c>
      <c r="B10">
        <f>COUNTIFS(Table1[Genre],'Legacy Berekeningen'!$A4,Table1[Meister],$A$7,Table1[Rnd],"&lt;="&amp;B$8)+COUNTIFS(Table1[Optioneel genre],'Legacy Berekeningen'!$A4,Table1[Meister],$A$7,Table1[Rnd],"&lt;="&amp;B$8)</f>
        <v>0</v>
      </c>
      <c r="C10">
        <f>COUNTIFS(Table1[Genre],'Legacy Berekeningen'!$A4,Table1[Meister],$A$7,Table1[Rnd],"&lt;="&amp;C$8)+COUNTIFS(Table1[Optioneel genre],'Legacy Berekeningen'!$A4,Table1[Meister],$A$7,Table1[Rnd],"&lt;="&amp;C$8)</f>
        <v>0</v>
      </c>
      <c r="D10">
        <f>COUNTIFS(Table1[Genre],'Legacy Berekeningen'!$A4,Table1[Meister],$A$7,Table1[Rnd],"&lt;="&amp;D$8)+COUNTIFS(Table1[Optioneel genre],'Legacy Berekeningen'!$A4,Table1[Meister],$A$7,Table1[Rnd],"&lt;="&amp;D$8)</f>
        <v>0</v>
      </c>
      <c r="E10">
        <f>COUNTIFS(Table1[Genre],'Legacy Berekeningen'!$A4,Table1[Meister],$A$7,Table1[Rnd],"&lt;="&amp;E$8)+COUNTIFS(Table1[Optioneel genre],'Legacy Berekeningen'!$A4,Table1[Meister],$A$7,Table1[Rnd],"&lt;="&amp;E$8)</f>
        <v>0</v>
      </c>
      <c r="F10">
        <f>COUNTIFS(Table1[Genre],'Legacy Berekeningen'!$A4,Table1[Meister],$A$7,Table1[Rnd],"&lt;="&amp;F$8)+COUNTIFS(Table1[Optioneel genre],'Legacy Berekeningen'!$A4,Table1[Meister],$A$7,Table1[Rnd],"&lt;="&amp;F$8)</f>
        <v>0</v>
      </c>
      <c r="G10">
        <f>COUNTIFS(Table1[Genre],'Legacy Berekeningen'!$A4,Table1[Meister],$A$7,Table1[Rnd],"&lt;="&amp;G$8)+COUNTIFS(Table1[Optioneel genre],'Legacy Berekeningen'!$A4,Table1[Meister],$A$7,Table1[Rnd],"&lt;="&amp;G$8)</f>
        <v>1</v>
      </c>
      <c r="H10">
        <f>COUNTIFS(Table1[Genre],'Legacy Berekeningen'!$A4,Table1[Meister],$A$7,Table1[Rnd],"&lt;="&amp;H$8)+COUNTIFS(Table1[Optioneel genre],'Legacy Berekeningen'!$A4,Table1[Meister],$A$7,Table1[Rnd],"&lt;="&amp;H$8)</f>
        <v>1</v>
      </c>
      <c r="I10">
        <f>COUNTIFS(Table1[Genre],'Legacy Berekeningen'!$A4,Table1[Meister],$A$7,Table1[Rnd],"&lt;="&amp;I$8)+COUNTIFS(Table1[Optioneel genre],'Legacy Berekeningen'!$A4,Table1[Meister],$A$7,Table1[Rnd],"&lt;="&amp;I$8)</f>
        <v>2</v>
      </c>
      <c r="J10">
        <f>COUNTIFS(Table1[Genre],'Legacy Berekeningen'!$A4,Table1[Meister],$A$7,Table1[Rnd],"&lt;="&amp;J$8)+COUNTIFS(Table1[Optioneel genre],'Legacy Berekeningen'!$A4,Table1[Meister],$A$7,Table1[Rnd],"&lt;="&amp;J$8)</f>
        <v>2</v>
      </c>
      <c r="K10">
        <f>COUNTIFS(Table1[Genre],'Legacy Berekeningen'!$A4,Table1[Meister],$A$7,Table1[Rnd],"&lt;="&amp;K$8)+COUNTIFS(Table1[Optioneel genre],'Legacy Berekeningen'!$A4,Table1[Meister],$A$7,Table1[Rnd],"&lt;="&amp;K$8)</f>
        <v>2</v>
      </c>
      <c r="L10">
        <f>COUNTIFS(Table1[Genre],'Legacy Berekeningen'!$A4,Table1[Meister],$A$7,Table1[Rnd],"&lt;="&amp;L$8)+COUNTIFS(Table1[Optioneel genre],'Legacy Berekeningen'!$A4,Table1[Meister],$A$7,Table1[Rnd],"&lt;="&amp;L$8)</f>
        <v>3</v>
      </c>
      <c r="M10">
        <f>COUNTIFS(Table1[Genre],'Legacy Berekeningen'!$A4,Table1[Meister],$A$7,Table1[Rnd],"&lt;="&amp;M$8)+COUNTIFS(Table1[Optioneel genre],'Legacy Berekeningen'!$A4,Table1[Meister],$A$7,Table1[Rnd],"&lt;="&amp;M$8)</f>
        <v>3</v>
      </c>
      <c r="N10">
        <f>COUNTIFS(Table1[Genre],'Legacy Berekeningen'!$A4,Table1[Meister],$A$7,Table1[Rnd],"&lt;="&amp;N$8)+COUNTIFS(Table1[Optioneel genre],'Legacy Berekeningen'!$A4,Table1[Meister],$A$7,Table1[Rnd],"&lt;="&amp;N$8)</f>
        <v>4</v>
      </c>
    </row>
    <row r="11" spans="1:14">
      <c r="A11" s="2" t="s">
        <v>16</v>
      </c>
      <c r="B11">
        <f>COUNTIFS(Table1[Genre],'Legacy Berekeningen'!$A5,Table1[Meister],$A$7,Table1[Rnd],"&lt;="&amp;B$8)+COUNTIFS(Table1[Optioneel genre],'Legacy Berekeningen'!$A5,Table1[Meister],$A$7,Table1[Rnd],"&lt;="&amp;B$8)</f>
        <v>0</v>
      </c>
      <c r="C11">
        <f>COUNTIFS(Table1[Genre],'Legacy Berekeningen'!$A5,Table1[Meister],$A$7,Table1[Rnd],"&lt;="&amp;C$8)+COUNTIFS(Table1[Optioneel genre],'Legacy Berekeningen'!$A5,Table1[Meister],$A$7,Table1[Rnd],"&lt;="&amp;C$8)</f>
        <v>0</v>
      </c>
      <c r="D11">
        <f>COUNTIFS(Table1[Genre],'Legacy Berekeningen'!$A5,Table1[Meister],$A$7,Table1[Rnd],"&lt;="&amp;D$8)+COUNTIFS(Table1[Optioneel genre],'Legacy Berekeningen'!$A5,Table1[Meister],$A$7,Table1[Rnd],"&lt;="&amp;D$8)</f>
        <v>0</v>
      </c>
      <c r="E11">
        <f>COUNTIFS(Table1[Genre],'Legacy Berekeningen'!$A5,Table1[Meister],$A$7,Table1[Rnd],"&lt;="&amp;E$8)+COUNTIFS(Table1[Optioneel genre],'Legacy Berekeningen'!$A5,Table1[Meister],$A$7,Table1[Rnd],"&lt;="&amp;E$8)</f>
        <v>0</v>
      </c>
      <c r="F11">
        <f>COUNTIFS(Table1[Genre],'Legacy Berekeningen'!$A5,Table1[Meister],$A$7,Table1[Rnd],"&lt;="&amp;F$8)+COUNTIFS(Table1[Optioneel genre],'Legacy Berekeningen'!$A5,Table1[Meister],$A$7,Table1[Rnd],"&lt;="&amp;F$8)</f>
        <v>0</v>
      </c>
      <c r="G11">
        <f>COUNTIFS(Table1[Genre],'Legacy Berekeningen'!$A5,Table1[Meister],$A$7,Table1[Rnd],"&lt;="&amp;G$8)+COUNTIFS(Table1[Optioneel genre],'Legacy Berekeningen'!$A5,Table1[Meister],$A$7,Table1[Rnd],"&lt;="&amp;G$8)</f>
        <v>0</v>
      </c>
      <c r="H11">
        <f>COUNTIFS(Table1[Genre],'Legacy Berekeningen'!$A5,Table1[Meister],$A$7,Table1[Rnd],"&lt;="&amp;H$8)+COUNTIFS(Table1[Optioneel genre],'Legacy Berekeningen'!$A5,Table1[Meister],$A$7,Table1[Rnd],"&lt;="&amp;H$8)</f>
        <v>0</v>
      </c>
      <c r="I11">
        <f>COUNTIFS(Table1[Genre],'Legacy Berekeningen'!$A5,Table1[Meister],$A$7,Table1[Rnd],"&lt;="&amp;I$8)+COUNTIFS(Table1[Optioneel genre],'Legacy Berekeningen'!$A5,Table1[Meister],$A$7,Table1[Rnd],"&lt;="&amp;I$8)</f>
        <v>0</v>
      </c>
      <c r="J11">
        <f>COUNTIFS(Table1[Genre],'Legacy Berekeningen'!$A5,Table1[Meister],$A$7,Table1[Rnd],"&lt;="&amp;J$8)+COUNTIFS(Table1[Optioneel genre],'Legacy Berekeningen'!$A5,Table1[Meister],$A$7,Table1[Rnd],"&lt;="&amp;J$8)</f>
        <v>0</v>
      </c>
      <c r="K11">
        <f>COUNTIFS(Table1[Genre],'Legacy Berekeningen'!$A5,Table1[Meister],$A$7,Table1[Rnd],"&lt;="&amp;K$8)+COUNTIFS(Table1[Optioneel genre],'Legacy Berekeningen'!$A5,Table1[Meister],$A$7,Table1[Rnd],"&lt;="&amp;K$8)</f>
        <v>0</v>
      </c>
      <c r="L11">
        <f>COUNTIFS(Table1[Genre],'Legacy Berekeningen'!$A5,Table1[Meister],$A$7,Table1[Rnd],"&lt;="&amp;L$8)+COUNTIFS(Table1[Optioneel genre],'Legacy Berekeningen'!$A5,Table1[Meister],$A$7,Table1[Rnd],"&lt;="&amp;L$8)</f>
        <v>0</v>
      </c>
      <c r="M11">
        <f>COUNTIFS(Table1[Genre],'Legacy Berekeningen'!$A5,Table1[Meister],$A$7,Table1[Rnd],"&lt;="&amp;M$8)+COUNTIFS(Table1[Optioneel genre],'Legacy Berekeningen'!$A5,Table1[Meister],$A$7,Table1[Rnd],"&lt;="&amp;M$8)</f>
        <v>0</v>
      </c>
      <c r="N11">
        <f>COUNTIFS(Table1[Genre],'Legacy Berekeningen'!$A5,Table1[Meister],$A$7,Table1[Rnd],"&lt;="&amp;N$8)+COUNTIFS(Table1[Optioneel genre],'Legacy Berekeningen'!$A5,Table1[Meister],$A$7,Table1[Rnd],"&lt;="&amp;N$8)</f>
        <v>0</v>
      </c>
    </row>
    <row r="12" spans="1:14">
      <c r="A12" s="2" t="s">
        <v>41</v>
      </c>
      <c r="B12">
        <f>COUNTIFS(Table1[Genre],'Legacy Berekeningen'!$A6,Table1[Meister],$A$7,Table1[Rnd],"&lt;="&amp;B$8)+COUNTIFS(Table1[Optioneel genre],'Legacy Berekeningen'!$A6,Table1[Meister],$A$7,Table1[Rnd],"&lt;="&amp;B$8)</f>
        <v>0</v>
      </c>
      <c r="C12">
        <f>COUNTIFS(Table1[Genre],'Legacy Berekeningen'!$A6,Table1[Meister],$A$7,Table1[Rnd],"&lt;="&amp;C$8)+COUNTIFS(Table1[Optioneel genre],'Legacy Berekeningen'!$A6,Table1[Meister],$A$7,Table1[Rnd],"&lt;="&amp;C$8)</f>
        <v>0</v>
      </c>
      <c r="D12">
        <f>COUNTIFS(Table1[Genre],'Legacy Berekeningen'!$A6,Table1[Meister],$A$7,Table1[Rnd],"&lt;="&amp;D$8)+COUNTIFS(Table1[Optioneel genre],'Legacy Berekeningen'!$A6,Table1[Meister],$A$7,Table1[Rnd],"&lt;="&amp;D$8)</f>
        <v>0</v>
      </c>
      <c r="E12">
        <f>COUNTIFS(Table1[Genre],'Legacy Berekeningen'!$A6,Table1[Meister],$A$7,Table1[Rnd],"&lt;="&amp;E$8)+COUNTIFS(Table1[Optioneel genre],'Legacy Berekeningen'!$A6,Table1[Meister],$A$7,Table1[Rnd],"&lt;="&amp;E$8)</f>
        <v>1</v>
      </c>
      <c r="F12">
        <f>COUNTIFS(Table1[Genre],'Legacy Berekeningen'!$A6,Table1[Meister],$A$7,Table1[Rnd],"&lt;="&amp;F$8)+COUNTIFS(Table1[Optioneel genre],'Legacy Berekeningen'!$A6,Table1[Meister],$A$7,Table1[Rnd],"&lt;="&amp;F$8)</f>
        <v>1</v>
      </c>
      <c r="G12">
        <f>COUNTIFS(Table1[Genre],'Legacy Berekeningen'!$A6,Table1[Meister],$A$7,Table1[Rnd],"&lt;="&amp;G$8)+COUNTIFS(Table1[Optioneel genre],'Legacy Berekeningen'!$A6,Table1[Meister],$A$7,Table1[Rnd],"&lt;="&amp;G$8)</f>
        <v>1</v>
      </c>
      <c r="H12">
        <f>COUNTIFS(Table1[Genre],'Legacy Berekeningen'!$A6,Table1[Meister],$A$7,Table1[Rnd],"&lt;="&amp;H$8)+COUNTIFS(Table1[Optioneel genre],'Legacy Berekeningen'!$A6,Table1[Meister],$A$7,Table1[Rnd],"&lt;="&amp;H$8)</f>
        <v>1</v>
      </c>
      <c r="I12">
        <f>COUNTIFS(Table1[Genre],'Legacy Berekeningen'!$A6,Table1[Meister],$A$7,Table1[Rnd],"&lt;="&amp;I$8)+COUNTIFS(Table1[Optioneel genre],'Legacy Berekeningen'!$A6,Table1[Meister],$A$7,Table1[Rnd],"&lt;="&amp;I$8)</f>
        <v>1</v>
      </c>
      <c r="J12">
        <f>COUNTIFS(Table1[Genre],'Legacy Berekeningen'!$A6,Table1[Meister],$A$7,Table1[Rnd],"&lt;="&amp;J$8)+COUNTIFS(Table1[Optioneel genre],'Legacy Berekeningen'!$A6,Table1[Meister],$A$7,Table1[Rnd],"&lt;="&amp;J$8)</f>
        <v>1</v>
      </c>
      <c r="K12">
        <f>COUNTIFS(Table1[Genre],'Legacy Berekeningen'!$A6,Table1[Meister],$A$7,Table1[Rnd],"&lt;="&amp;K$8)+COUNTIFS(Table1[Optioneel genre],'Legacy Berekeningen'!$A6,Table1[Meister],$A$7,Table1[Rnd],"&lt;="&amp;K$8)</f>
        <v>1</v>
      </c>
      <c r="L12">
        <f>COUNTIFS(Table1[Genre],'Legacy Berekeningen'!$A6,Table1[Meister],$A$7,Table1[Rnd],"&lt;="&amp;L$8)+COUNTIFS(Table1[Optioneel genre],'Legacy Berekeningen'!$A6,Table1[Meister],$A$7,Table1[Rnd],"&lt;="&amp;L$8)</f>
        <v>1</v>
      </c>
      <c r="M12">
        <f>COUNTIFS(Table1[Genre],'Legacy Berekeningen'!$A6,Table1[Meister],$A$7,Table1[Rnd],"&lt;="&amp;M$8)+COUNTIFS(Table1[Optioneel genre],'Legacy Berekeningen'!$A6,Table1[Meister],$A$7,Table1[Rnd],"&lt;="&amp;M$8)</f>
        <v>1</v>
      </c>
      <c r="N12">
        <f>COUNTIFS(Table1[Genre],'Legacy Berekeningen'!$A6,Table1[Meister],$A$7,Table1[Rnd],"&lt;="&amp;N$8)+COUNTIFS(Table1[Optioneel genre],'Legacy Berekeningen'!$A6,Table1[Meister],$A$7,Table1[Rnd],"&lt;="&amp;N$8)</f>
        <v>1</v>
      </c>
    </row>
    <row r="13" spans="1:14">
      <c r="A13" s="2" t="s">
        <v>17</v>
      </c>
      <c r="B13">
        <f>COUNTIFS(Table1[Genre],'Legacy Berekeningen'!$A7,Table1[Meister],$A$7,Table1[Rnd],"&lt;="&amp;B$8)+COUNTIFS(Table1[Optioneel genre],'Legacy Berekeningen'!$A7,Table1[Meister],$A$7,Table1[Rnd],"&lt;="&amp;B$8)</f>
        <v>0</v>
      </c>
      <c r="C13">
        <f>COUNTIFS(Table1[Genre],'Legacy Berekeningen'!$A7,Table1[Meister],$A$7,Table1[Rnd],"&lt;="&amp;C$8)+COUNTIFS(Table1[Optioneel genre],'Legacy Berekeningen'!$A7,Table1[Meister],$A$7,Table1[Rnd],"&lt;="&amp;C$8)</f>
        <v>1</v>
      </c>
      <c r="D13">
        <f>COUNTIFS(Table1[Genre],'Legacy Berekeningen'!$A7,Table1[Meister],$A$7,Table1[Rnd],"&lt;="&amp;D$8)+COUNTIFS(Table1[Optioneel genre],'Legacy Berekeningen'!$A7,Table1[Meister],$A$7,Table1[Rnd],"&lt;="&amp;D$8)</f>
        <v>2</v>
      </c>
      <c r="E13">
        <f>COUNTIFS(Table1[Genre],'Legacy Berekeningen'!$A7,Table1[Meister],$A$7,Table1[Rnd],"&lt;="&amp;E$8)+COUNTIFS(Table1[Optioneel genre],'Legacy Berekeningen'!$A7,Table1[Meister],$A$7,Table1[Rnd],"&lt;="&amp;E$8)</f>
        <v>2</v>
      </c>
      <c r="F13">
        <f>COUNTIFS(Table1[Genre],'Legacy Berekeningen'!$A7,Table1[Meister],$A$7,Table1[Rnd],"&lt;="&amp;F$8)+COUNTIFS(Table1[Optioneel genre],'Legacy Berekeningen'!$A7,Table1[Meister],$A$7,Table1[Rnd],"&lt;="&amp;F$8)</f>
        <v>2</v>
      </c>
      <c r="G13">
        <f>COUNTIFS(Table1[Genre],'Legacy Berekeningen'!$A7,Table1[Meister],$A$7,Table1[Rnd],"&lt;="&amp;G$8)+COUNTIFS(Table1[Optioneel genre],'Legacy Berekeningen'!$A7,Table1[Meister],$A$7,Table1[Rnd],"&lt;="&amp;G$8)</f>
        <v>2</v>
      </c>
      <c r="H13">
        <f>COUNTIFS(Table1[Genre],'Legacy Berekeningen'!$A7,Table1[Meister],$A$7,Table1[Rnd],"&lt;="&amp;H$8)+COUNTIFS(Table1[Optioneel genre],'Legacy Berekeningen'!$A7,Table1[Meister],$A$7,Table1[Rnd],"&lt;="&amp;H$8)</f>
        <v>2</v>
      </c>
      <c r="I13">
        <f>COUNTIFS(Table1[Genre],'Legacy Berekeningen'!$A7,Table1[Meister],$A$7,Table1[Rnd],"&lt;="&amp;I$8)+COUNTIFS(Table1[Optioneel genre],'Legacy Berekeningen'!$A7,Table1[Meister],$A$7,Table1[Rnd],"&lt;="&amp;I$8)</f>
        <v>2</v>
      </c>
      <c r="J13">
        <f>COUNTIFS(Table1[Genre],'Legacy Berekeningen'!$A7,Table1[Meister],$A$7,Table1[Rnd],"&lt;="&amp;J$8)+COUNTIFS(Table1[Optioneel genre],'Legacy Berekeningen'!$A7,Table1[Meister],$A$7,Table1[Rnd],"&lt;="&amp;J$8)</f>
        <v>2</v>
      </c>
      <c r="K13">
        <f>COUNTIFS(Table1[Genre],'Legacy Berekeningen'!$A7,Table1[Meister],$A$7,Table1[Rnd],"&lt;="&amp;K$8)+COUNTIFS(Table1[Optioneel genre],'Legacy Berekeningen'!$A7,Table1[Meister],$A$7,Table1[Rnd],"&lt;="&amp;K$8)</f>
        <v>2</v>
      </c>
      <c r="L13">
        <f>COUNTIFS(Table1[Genre],'Legacy Berekeningen'!$A7,Table1[Meister],$A$7,Table1[Rnd],"&lt;="&amp;L$8)+COUNTIFS(Table1[Optioneel genre],'Legacy Berekeningen'!$A7,Table1[Meister],$A$7,Table1[Rnd],"&lt;="&amp;L$8)</f>
        <v>2</v>
      </c>
      <c r="M13">
        <f>COUNTIFS(Table1[Genre],'Legacy Berekeningen'!$A7,Table1[Meister],$A$7,Table1[Rnd],"&lt;="&amp;M$8)+COUNTIFS(Table1[Optioneel genre],'Legacy Berekeningen'!$A7,Table1[Meister],$A$7,Table1[Rnd],"&lt;="&amp;M$8)</f>
        <v>2</v>
      </c>
      <c r="N13">
        <f>COUNTIFS(Table1[Genre],'Legacy Berekeningen'!$A7,Table1[Meister],$A$7,Table1[Rnd],"&lt;="&amp;N$8)+COUNTIFS(Table1[Optioneel genre],'Legacy Berekeningen'!$A7,Table1[Meister],$A$7,Table1[Rnd],"&lt;="&amp;N$8)</f>
        <v>2</v>
      </c>
    </row>
    <row r="14" spans="1:14">
      <c r="A14" s="2" t="s">
        <v>25</v>
      </c>
      <c r="B14">
        <f>COUNTIFS(Table1[Genre],'Legacy Berekeningen'!$A8,Table1[Meister],$A$7,Table1[Rnd],"&lt;="&amp;B$8)+COUNTIFS(Table1[Optioneel genre],'Legacy Berekeningen'!$A8,Table1[Meister],$A$7,Table1[Rnd],"&lt;="&amp;B$8)</f>
        <v>0</v>
      </c>
      <c r="C14">
        <f>COUNTIFS(Table1[Genre],'Legacy Berekeningen'!$A8,Table1[Meister],$A$7,Table1[Rnd],"&lt;="&amp;C$8)+COUNTIFS(Table1[Optioneel genre],'Legacy Berekeningen'!$A8,Table1[Meister],$A$7,Table1[Rnd],"&lt;="&amp;C$8)</f>
        <v>0</v>
      </c>
      <c r="D14">
        <f>COUNTIFS(Table1[Genre],'Legacy Berekeningen'!$A8,Table1[Meister],$A$7,Table1[Rnd],"&lt;="&amp;D$8)+COUNTIFS(Table1[Optioneel genre],'Legacy Berekeningen'!$A8,Table1[Meister],$A$7,Table1[Rnd],"&lt;="&amp;D$8)</f>
        <v>0</v>
      </c>
      <c r="E14">
        <f>COUNTIFS(Table1[Genre],'Legacy Berekeningen'!$A8,Table1[Meister],$A$7,Table1[Rnd],"&lt;="&amp;E$8)+COUNTIFS(Table1[Optioneel genre],'Legacy Berekeningen'!$A8,Table1[Meister],$A$7,Table1[Rnd],"&lt;="&amp;E$8)</f>
        <v>0</v>
      </c>
      <c r="F14">
        <f>COUNTIFS(Table1[Genre],'Legacy Berekeningen'!$A8,Table1[Meister],$A$7,Table1[Rnd],"&lt;="&amp;F$8)+COUNTIFS(Table1[Optioneel genre],'Legacy Berekeningen'!$A8,Table1[Meister],$A$7,Table1[Rnd],"&lt;="&amp;F$8)</f>
        <v>0</v>
      </c>
      <c r="G14">
        <f>COUNTIFS(Table1[Genre],'Legacy Berekeningen'!$A8,Table1[Meister],$A$7,Table1[Rnd],"&lt;="&amp;G$8)+COUNTIFS(Table1[Optioneel genre],'Legacy Berekeningen'!$A8,Table1[Meister],$A$7,Table1[Rnd],"&lt;="&amp;G$8)</f>
        <v>0</v>
      </c>
      <c r="H14">
        <f>COUNTIFS(Table1[Genre],'Legacy Berekeningen'!$A8,Table1[Meister],$A$7,Table1[Rnd],"&lt;="&amp;H$8)+COUNTIFS(Table1[Optioneel genre],'Legacy Berekeningen'!$A8,Table1[Meister],$A$7,Table1[Rnd],"&lt;="&amp;H$8)</f>
        <v>1</v>
      </c>
      <c r="I14">
        <f>COUNTIFS(Table1[Genre],'Legacy Berekeningen'!$A8,Table1[Meister],$A$7,Table1[Rnd],"&lt;="&amp;I$8)+COUNTIFS(Table1[Optioneel genre],'Legacy Berekeningen'!$A8,Table1[Meister],$A$7,Table1[Rnd],"&lt;="&amp;I$8)</f>
        <v>1</v>
      </c>
      <c r="J14">
        <f>COUNTIFS(Table1[Genre],'Legacy Berekeningen'!$A8,Table1[Meister],$A$7,Table1[Rnd],"&lt;="&amp;J$8)+COUNTIFS(Table1[Optioneel genre],'Legacy Berekeningen'!$A8,Table1[Meister],$A$7,Table1[Rnd],"&lt;="&amp;J$8)</f>
        <v>2</v>
      </c>
      <c r="K14">
        <f>COUNTIFS(Table1[Genre],'Legacy Berekeningen'!$A8,Table1[Meister],$A$7,Table1[Rnd],"&lt;="&amp;K$8)+COUNTIFS(Table1[Optioneel genre],'Legacy Berekeningen'!$A8,Table1[Meister],$A$7,Table1[Rnd],"&lt;="&amp;K$8)</f>
        <v>2</v>
      </c>
      <c r="L14">
        <f>COUNTIFS(Table1[Genre],'Legacy Berekeningen'!$A8,Table1[Meister],$A$7,Table1[Rnd],"&lt;="&amp;L$8)+COUNTIFS(Table1[Optioneel genre],'Legacy Berekeningen'!$A8,Table1[Meister],$A$7,Table1[Rnd],"&lt;="&amp;L$8)</f>
        <v>2</v>
      </c>
      <c r="M14">
        <f>COUNTIFS(Table1[Genre],'Legacy Berekeningen'!$A8,Table1[Meister],$A$7,Table1[Rnd],"&lt;="&amp;M$8)+COUNTIFS(Table1[Optioneel genre],'Legacy Berekeningen'!$A8,Table1[Meister],$A$7,Table1[Rnd],"&lt;="&amp;M$8)</f>
        <v>2</v>
      </c>
      <c r="N14">
        <f>COUNTIFS(Table1[Genre],'Legacy Berekeningen'!$A8,Table1[Meister],$A$7,Table1[Rnd],"&lt;="&amp;N$8)+COUNTIFS(Table1[Optioneel genre],'Legacy Berekeningen'!$A8,Table1[Meister],$A$7,Table1[Rnd],"&lt;="&amp;N$8)</f>
        <v>2</v>
      </c>
    </row>
    <row r="15" spans="1:14">
      <c r="A15" s="2" t="s">
        <v>81</v>
      </c>
      <c r="B15">
        <f>COUNTIFS(Table1[Genre],'Legacy Berekeningen'!$A9,Table1[Meister],$A$7,Table1[Rnd],"&lt;="&amp;B$8)+COUNTIFS(Table1[Optioneel genre],'Legacy Berekeningen'!$A9,Table1[Meister],$A$7,Table1[Rnd],"&lt;="&amp;B$8)</f>
        <v>0</v>
      </c>
      <c r="C15">
        <f>COUNTIFS(Table1[Genre],'Legacy Berekeningen'!$A9,Table1[Meister],$A$7,Table1[Rnd],"&lt;="&amp;C$8)+COUNTIFS(Table1[Optioneel genre],'Legacy Berekeningen'!$A9,Table1[Meister],$A$7,Table1[Rnd],"&lt;="&amp;C$8)</f>
        <v>0</v>
      </c>
      <c r="D15">
        <f>COUNTIFS(Table1[Genre],'Legacy Berekeningen'!$A9,Table1[Meister],$A$7,Table1[Rnd],"&lt;="&amp;D$8)+COUNTIFS(Table1[Optioneel genre],'Legacy Berekeningen'!$A9,Table1[Meister],$A$7,Table1[Rnd],"&lt;="&amp;D$8)</f>
        <v>0</v>
      </c>
      <c r="E15">
        <f>COUNTIFS(Table1[Genre],'Legacy Berekeningen'!$A9,Table1[Meister],$A$7,Table1[Rnd],"&lt;="&amp;E$8)+COUNTIFS(Table1[Optioneel genre],'Legacy Berekeningen'!$A9,Table1[Meister],$A$7,Table1[Rnd],"&lt;="&amp;E$8)</f>
        <v>0</v>
      </c>
      <c r="F15">
        <f>COUNTIFS(Table1[Genre],'Legacy Berekeningen'!$A9,Table1[Meister],$A$7,Table1[Rnd],"&lt;="&amp;F$8)+COUNTIFS(Table1[Optioneel genre],'Legacy Berekeningen'!$A9,Table1[Meister],$A$7,Table1[Rnd],"&lt;="&amp;F$8)</f>
        <v>0</v>
      </c>
      <c r="G15">
        <f>COUNTIFS(Table1[Genre],'Legacy Berekeningen'!$A9,Table1[Meister],$A$7,Table1[Rnd],"&lt;="&amp;G$8)+COUNTIFS(Table1[Optioneel genre],'Legacy Berekeningen'!$A9,Table1[Meister],$A$7,Table1[Rnd],"&lt;="&amp;G$8)</f>
        <v>0</v>
      </c>
      <c r="H15">
        <f>COUNTIFS(Table1[Genre],'Legacy Berekeningen'!$A9,Table1[Meister],$A$7,Table1[Rnd],"&lt;="&amp;H$8)+COUNTIFS(Table1[Optioneel genre],'Legacy Berekeningen'!$A9,Table1[Meister],$A$7,Table1[Rnd],"&lt;="&amp;H$8)</f>
        <v>0</v>
      </c>
      <c r="I15">
        <f>COUNTIFS(Table1[Genre],'Legacy Berekeningen'!$A9,Table1[Meister],$A$7,Table1[Rnd],"&lt;="&amp;I$8)+COUNTIFS(Table1[Optioneel genre],'Legacy Berekeningen'!$A9,Table1[Meister],$A$7,Table1[Rnd],"&lt;="&amp;I$8)</f>
        <v>0</v>
      </c>
      <c r="J15">
        <f>COUNTIFS(Table1[Genre],'Legacy Berekeningen'!$A9,Table1[Meister],$A$7,Table1[Rnd],"&lt;="&amp;J$8)+COUNTIFS(Table1[Optioneel genre],'Legacy Berekeningen'!$A9,Table1[Meister],$A$7,Table1[Rnd],"&lt;="&amp;J$8)</f>
        <v>0</v>
      </c>
      <c r="K15">
        <f>COUNTIFS(Table1[Genre],'Legacy Berekeningen'!$A9,Table1[Meister],$A$7,Table1[Rnd],"&lt;="&amp;K$8)+COUNTIFS(Table1[Optioneel genre],'Legacy Berekeningen'!$A9,Table1[Meister],$A$7,Table1[Rnd],"&lt;="&amp;K$8)</f>
        <v>0</v>
      </c>
      <c r="L15">
        <f>COUNTIFS(Table1[Genre],'Legacy Berekeningen'!$A9,Table1[Meister],$A$7,Table1[Rnd],"&lt;="&amp;L$8)+COUNTIFS(Table1[Optioneel genre],'Legacy Berekeningen'!$A9,Table1[Meister],$A$7,Table1[Rnd],"&lt;="&amp;L$8)</f>
        <v>0</v>
      </c>
      <c r="M15">
        <f>COUNTIFS(Table1[Genre],'Legacy Berekeningen'!$A9,Table1[Meister],$A$7,Table1[Rnd],"&lt;="&amp;M$8)+COUNTIFS(Table1[Optioneel genre],'Legacy Berekeningen'!$A9,Table1[Meister],$A$7,Table1[Rnd],"&lt;="&amp;M$8)</f>
        <v>0</v>
      </c>
      <c r="N15">
        <f>COUNTIFS(Table1[Genre],'Legacy Berekeningen'!$A9,Table1[Meister],$A$7,Table1[Rnd],"&lt;="&amp;N$8)+COUNTIFS(Table1[Optioneel genre],'Legacy Berekeningen'!$A9,Table1[Meister],$A$7,Table1[Rnd],"&lt;="&amp;N$8)</f>
        <v>0</v>
      </c>
    </row>
    <row r="16" spans="1:14">
      <c r="A16" s="2" t="s">
        <v>26</v>
      </c>
      <c r="B16">
        <f>COUNTIFS(Table1[Genre],'Legacy Berekeningen'!$A10,Table1[Meister],$A$7,Table1[Rnd],"&lt;="&amp;B$8)+COUNTIFS(Table1[Optioneel genre],'Legacy Berekeningen'!$A10,Table1[Meister],$A$7,Table1[Rnd],"&lt;="&amp;B$8)</f>
        <v>0</v>
      </c>
      <c r="C16">
        <f>COUNTIFS(Table1[Genre],'Legacy Berekeningen'!$A10,Table1[Meister],$A$7,Table1[Rnd],"&lt;="&amp;C$8)+COUNTIFS(Table1[Optioneel genre],'Legacy Berekeningen'!$A10,Table1[Meister],$A$7,Table1[Rnd],"&lt;="&amp;C$8)</f>
        <v>0</v>
      </c>
      <c r="D16">
        <f>COUNTIFS(Table1[Genre],'Legacy Berekeningen'!$A10,Table1[Meister],$A$7,Table1[Rnd],"&lt;="&amp;D$8)+COUNTIFS(Table1[Optioneel genre],'Legacy Berekeningen'!$A10,Table1[Meister],$A$7,Table1[Rnd],"&lt;="&amp;D$8)</f>
        <v>1</v>
      </c>
      <c r="E16">
        <f>COUNTIFS(Table1[Genre],'Legacy Berekeningen'!$A10,Table1[Meister],$A$7,Table1[Rnd],"&lt;="&amp;E$8)+COUNTIFS(Table1[Optioneel genre],'Legacy Berekeningen'!$A10,Table1[Meister],$A$7,Table1[Rnd],"&lt;="&amp;E$8)</f>
        <v>2</v>
      </c>
      <c r="F16">
        <f>COUNTIFS(Table1[Genre],'Legacy Berekeningen'!$A10,Table1[Meister],$A$7,Table1[Rnd],"&lt;="&amp;F$8)+COUNTIFS(Table1[Optioneel genre],'Legacy Berekeningen'!$A10,Table1[Meister],$A$7,Table1[Rnd],"&lt;="&amp;F$8)</f>
        <v>2</v>
      </c>
      <c r="G16">
        <f>COUNTIFS(Table1[Genre],'Legacy Berekeningen'!$A10,Table1[Meister],$A$7,Table1[Rnd],"&lt;="&amp;G$8)+COUNTIFS(Table1[Optioneel genre],'Legacy Berekeningen'!$A10,Table1[Meister],$A$7,Table1[Rnd],"&lt;="&amp;G$8)</f>
        <v>2</v>
      </c>
      <c r="H16">
        <f>COUNTIFS(Table1[Genre],'Legacy Berekeningen'!$A10,Table1[Meister],$A$7,Table1[Rnd],"&lt;="&amp;H$8)+COUNTIFS(Table1[Optioneel genre],'Legacy Berekeningen'!$A10,Table1[Meister],$A$7,Table1[Rnd],"&lt;="&amp;H$8)</f>
        <v>3</v>
      </c>
      <c r="I16">
        <f>COUNTIFS(Table1[Genre],'Legacy Berekeningen'!$A10,Table1[Meister],$A$7,Table1[Rnd],"&lt;="&amp;I$8)+COUNTIFS(Table1[Optioneel genre],'Legacy Berekeningen'!$A10,Table1[Meister],$A$7,Table1[Rnd],"&lt;="&amp;I$8)</f>
        <v>3</v>
      </c>
      <c r="J16">
        <f>COUNTIFS(Table1[Genre],'Legacy Berekeningen'!$A10,Table1[Meister],$A$7,Table1[Rnd],"&lt;="&amp;J$8)+COUNTIFS(Table1[Optioneel genre],'Legacy Berekeningen'!$A10,Table1[Meister],$A$7,Table1[Rnd],"&lt;="&amp;J$8)</f>
        <v>4</v>
      </c>
      <c r="K16">
        <f>COUNTIFS(Table1[Genre],'Legacy Berekeningen'!$A10,Table1[Meister],$A$7,Table1[Rnd],"&lt;="&amp;K$8)+COUNTIFS(Table1[Optioneel genre],'Legacy Berekeningen'!$A10,Table1[Meister],$A$7,Table1[Rnd],"&lt;="&amp;K$8)</f>
        <v>5</v>
      </c>
      <c r="L16">
        <f>COUNTIFS(Table1[Genre],'Legacy Berekeningen'!$A10,Table1[Meister],$A$7,Table1[Rnd],"&lt;="&amp;L$8)+COUNTIFS(Table1[Optioneel genre],'Legacy Berekeningen'!$A10,Table1[Meister],$A$7,Table1[Rnd],"&lt;="&amp;L$8)</f>
        <v>5</v>
      </c>
      <c r="M16">
        <f>COUNTIFS(Table1[Genre],'Legacy Berekeningen'!$A10,Table1[Meister],$A$7,Table1[Rnd],"&lt;="&amp;M$8)+COUNTIFS(Table1[Optioneel genre],'Legacy Berekeningen'!$A10,Table1[Meister],$A$7,Table1[Rnd],"&lt;="&amp;M$8)</f>
        <v>6</v>
      </c>
      <c r="N16">
        <f>COUNTIFS(Table1[Genre],'Legacy Berekeningen'!$A10,Table1[Meister],$A$7,Table1[Rnd],"&lt;="&amp;N$8)+COUNTIFS(Table1[Optioneel genre],'Legacy Berekeningen'!$A10,Table1[Meister],$A$7,Table1[Rnd],"&lt;="&amp;N$8)</f>
        <v>7</v>
      </c>
    </row>
    <row r="17" spans="1:14">
      <c r="A17" s="2" t="s">
        <v>74</v>
      </c>
      <c r="B17">
        <f>COUNTIFS(Table1[Genre],'Legacy Berekeningen'!$A11,Table1[Meister],$A$7,Table1[Rnd],"&lt;="&amp;B$8)+COUNTIFS(Table1[Optioneel genre],'Legacy Berekeningen'!$A11,Table1[Meister],$A$7,Table1[Rnd],"&lt;="&amp;B$8)</f>
        <v>0</v>
      </c>
      <c r="C17">
        <f>COUNTIFS(Table1[Genre],'Legacy Berekeningen'!$A11,Table1[Meister],$A$7,Table1[Rnd],"&lt;="&amp;C$8)+COUNTIFS(Table1[Optioneel genre],'Legacy Berekeningen'!$A11,Table1[Meister],$A$7,Table1[Rnd],"&lt;="&amp;C$8)</f>
        <v>0</v>
      </c>
      <c r="D17">
        <f>COUNTIFS(Table1[Genre],'Legacy Berekeningen'!$A11,Table1[Meister],$A$7,Table1[Rnd],"&lt;="&amp;D$8)+COUNTIFS(Table1[Optioneel genre],'Legacy Berekeningen'!$A11,Table1[Meister],$A$7,Table1[Rnd],"&lt;="&amp;D$8)</f>
        <v>0</v>
      </c>
      <c r="E17">
        <f>COUNTIFS(Table1[Genre],'Legacy Berekeningen'!$A11,Table1[Meister],$A$7,Table1[Rnd],"&lt;="&amp;E$8)+COUNTIFS(Table1[Optioneel genre],'Legacy Berekeningen'!$A11,Table1[Meister],$A$7,Table1[Rnd],"&lt;="&amp;E$8)</f>
        <v>0</v>
      </c>
      <c r="F17">
        <f>COUNTIFS(Table1[Genre],'Legacy Berekeningen'!$A11,Table1[Meister],$A$7,Table1[Rnd],"&lt;="&amp;F$8)+COUNTIFS(Table1[Optioneel genre],'Legacy Berekeningen'!$A11,Table1[Meister],$A$7,Table1[Rnd],"&lt;="&amp;F$8)</f>
        <v>0</v>
      </c>
      <c r="G17">
        <f>COUNTIFS(Table1[Genre],'Legacy Berekeningen'!$A11,Table1[Meister],$A$7,Table1[Rnd],"&lt;="&amp;G$8)+COUNTIFS(Table1[Optioneel genre],'Legacy Berekeningen'!$A11,Table1[Meister],$A$7,Table1[Rnd],"&lt;="&amp;G$8)</f>
        <v>0</v>
      </c>
      <c r="H17">
        <f>COUNTIFS(Table1[Genre],'Legacy Berekeningen'!$A11,Table1[Meister],$A$7,Table1[Rnd],"&lt;="&amp;H$8)+COUNTIFS(Table1[Optioneel genre],'Legacy Berekeningen'!$A11,Table1[Meister],$A$7,Table1[Rnd],"&lt;="&amp;H$8)</f>
        <v>0</v>
      </c>
      <c r="I17">
        <f>COUNTIFS(Table1[Genre],'Legacy Berekeningen'!$A11,Table1[Meister],$A$7,Table1[Rnd],"&lt;="&amp;I$8)+COUNTIFS(Table1[Optioneel genre],'Legacy Berekeningen'!$A11,Table1[Meister],$A$7,Table1[Rnd],"&lt;="&amp;I$8)</f>
        <v>0</v>
      </c>
      <c r="J17">
        <f>COUNTIFS(Table1[Genre],'Legacy Berekeningen'!$A11,Table1[Meister],$A$7,Table1[Rnd],"&lt;="&amp;J$8)+COUNTIFS(Table1[Optioneel genre],'Legacy Berekeningen'!$A11,Table1[Meister],$A$7,Table1[Rnd],"&lt;="&amp;J$8)</f>
        <v>0</v>
      </c>
      <c r="K17">
        <f>COUNTIFS(Table1[Genre],'Legacy Berekeningen'!$A11,Table1[Meister],$A$7,Table1[Rnd],"&lt;="&amp;K$8)+COUNTIFS(Table1[Optioneel genre],'Legacy Berekeningen'!$A11,Table1[Meister],$A$7,Table1[Rnd],"&lt;="&amp;K$8)</f>
        <v>0</v>
      </c>
      <c r="L17">
        <f>COUNTIFS(Table1[Genre],'Legacy Berekeningen'!$A11,Table1[Meister],$A$7,Table1[Rnd],"&lt;="&amp;L$8)+COUNTIFS(Table1[Optioneel genre],'Legacy Berekeningen'!$A11,Table1[Meister],$A$7,Table1[Rnd],"&lt;="&amp;L$8)</f>
        <v>0</v>
      </c>
      <c r="M17">
        <f>COUNTIFS(Table1[Genre],'Legacy Berekeningen'!$A11,Table1[Meister],$A$7,Table1[Rnd],"&lt;="&amp;M$8)+COUNTIFS(Table1[Optioneel genre],'Legacy Berekeningen'!$A11,Table1[Meister],$A$7,Table1[Rnd],"&lt;="&amp;M$8)</f>
        <v>0</v>
      </c>
      <c r="N17">
        <f>COUNTIFS(Table1[Genre],'Legacy Berekeningen'!$A11,Table1[Meister],$A$7,Table1[Rnd],"&lt;="&amp;N$8)+COUNTIFS(Table1[Optioneel genre],'Legacy Berekeningen'!$A11,Table1[Meister],$A$7,Table1[Rnd],"&lt;="&amp;N$8)</f>
        <v>0</v>
      </c>
    </row>
    <row r="18" spans="1:14">
      <c r="A18" s="2" t="s">
        <v>62</v>
      </c>
      <c r="B18">
        <f>COUNTIFS(Table1[Genre],'Legacy Berekeningen'!$A12,Table1[Meister],$A$7,Table1[Rnd],"&lt;="&amp;B$8)+COUNTIFS(Table1[Optioneel genre],'Legacy Berekeningen'!$A12,Table1[Meister],$A$7,Table1[Rnd],"&lt;="&amp;B$8)</f>
        <v>0</v>
      </c>
      <c r="C18">
        <f>COUNTIFS(Table1[Genre],'Legacy Berekeningen'!$A12,Table1[Meister],$A$7,Table1[Rnd],"&lt;="&amp;C$8)+COUNTIFS(Table1[Optioneel genre],'Legacy Berekeningen'!$A12,Table1[Meister],$A$7,Table1[Rnd],"&lt;="&amp;C$8)</f>
        <v>0</v>
      </c>
      <c r="D18">
        <f>COUNTIFS(Table1[Genre],'Legacy Berekeningen'!$A12,Table1[Meister],$A$7,Table1[Rnd],"&lt;="&amp;D$8)+COUNTIFS(Table1[Optioneel genre],'Legacy Berekeningen'!$A12,Table1[Meister],$A$7,Table1[Rnd],"&lt;="&amp;D$8)</f>
        <v>0</v>
      </c>
      <c r="E18">
        <f>COUNTIFS(Table1[Genre],'Legacy Berekeningen'!$A12,Table1[Meister],$A$7,Table1[Rnd],"&lt;="&amp;E$8)+COUNTIFS(Table1[Optioneel genre],'Legacy Berekeningen'!$A12,Table1[Meister],$A$7,Table1[Rnd],"&lt;="&amp;E$8)</f>
        <v>0</v>
      </c>
      <c r="F18">
        <f>COUNTIFS(Table1[Genre],'Legacy Berekeningen'!$A12,Table1[Meister],$A$7,Table1[Rnd],"&lt;="&amp;F$8)+COUNTIFS(Table1[Optioneel genre],'Legacy Berekeningen'!$A12,Table1[Meister],$A$7,Table1[Rnd],"&lt;="&amp;F$8)</f>
        <v>0</v>
      </c>
      <c r="G18">
        <f>COUNTIFS(Table1[Genre],'Legacy Berekeningen'!$A12,Table1[Meister],$A$7,Table1[Rnd],"&lt;="&amp;G$8)+COUNTIFS(Table1[Optioneel genre],'Legacy Berekeningen'!$A12,Table1[Meister],$A$7,Table1[Rnd],"&lt;="&amp;G$8)</f>
        <v>0</v>
      </c>
      <c r="H18">
        <f>COUNTIFS(Table1[Genre],'Legacy Berekeningen'!$A12,Table1[Meister],$A$7,Table1[Rnd],"&lt;="&amp;H$8)+COUNTIFS(Table1[Optioneel genre],'Legacy Berekeningen'!$A12,Table1[Meister],$A$7,Table1[Rnd],"&lt;="&amp;H$8)</f>
        <v>0</v>
      </c>
      <c r="I18">
        <f>COUNTIFS(Table1[Genre],'Legacy Berekeningen'!$A12,Table1[Meister],$A$7,Table1[Rnd],"&lt;="&amp;I$8)+COUNTIFS(Table1[Optioneel genre],'Legacy Berekeningen'!$A12,Table1[Meister],$A$7,Table1[Rnd],"&lt;="&amp;I$8)</f>
        <v>0</v>
      </c>
      <c r="J18">
        <f>COUNTIFS(Table1[Genre],'Legacy Berekeningen'!$A12,Table1[Meister],$A$7,Table1[Rnd],"&lt;="&amp;J$8)+COUNTIFS(Table1[Optioneel genre],'Legacy Berekeningen'!$A12,Table1[Meister],$A$7,Table1[Rnd],"&lt;="&amp;J$8)</f>
        <v>0</v>
      </c>
      <c r="K18">
        <f>COUNTIFS(Table1[Genre],'Legacy Berekeningen'!$A12,Table1[Meister],$A$7,Table1[Rnd],"&lt;="&amp;K$8)+COUNTIFS(Table1[Optioneel genre],'Legacy Berekeningen'!$A12,Table1[Meister],$A$7,Table1[Rnd],"&lt;="&amp;K$8)</f>
        <v>0</v>
      </c>
      <c r="L18">
        <f>COUNTIFS(Table1[Genre],'Legacy Berekeningen'!$A12,Table1[Meister],$A$7,Table1[Rnd],"&lt;="&amp;L$8)+COUNTIFS(Table1[Optioneel genre],'Legacy Berekeningen'!$A12,Table1[Meister],$A$7,Table1[Rnd],"&lt;="&amp;L$8)</f>
        <v>0</v>
      </c>
      <c r="M18">
        <f>COUNTIFS(Table1[Genre],'Legacy Berekeningen'!$A12,Table1[Meister],$A$7,Table1[Rnd],"&lt;="&amp;M$8)+COUNTIFS(Table1[Optioneel genre],'Legacy Berekeningen'!$A12,Table1[Meister],$A$7,Table1[Rnd],"&lt;="&amp;M$8)</f>
        <v>0</v>
      </c>
      <c r="N18">
        <f>COUNTIFS(Table1[Genre],'Legacy Berekeningen'!$A12,Table1[Meister],$A$7,Table1[Rnd],"&lt;="&amp;N$8)+COUNTIFS(Table1[Optioneel genre],'Legacy Berekeningen'!$A12,Table1[Meister],$A$7,Table1[Rnd],"&lt;="&amp;N$8)</f>
        <v>0</v>
      </c>
    </row>
    <row r="19" spans="1:14">
      <c r="A19" s="2" t="s">
        <v>63</v>
      </c>
      <c r="B19">
        <f>COUNTIFS(Table1[Genre],'Legacy Berekeningen'!$A13,Table1[Meister],$A$7,Table1[Rnd],"&lt;="&amp;B$8)+COUNTIFS(Table1[Optioneel genre],'Legacy Berekeningen'!$A13,Table1[Meister],$A$7,Table1[Rnd],"&lt;="&amp;B$8)</f>
        <v>0</v>
      </c>
      <c r="C19">
        <f>COUNTIFS(Table1[Genre],'Legacy Berekeningen'!$A13,Table1[Meister],$A$7,Table1[Rnd],"&lt;="&amp;C$8)+COUNTIFS(Table1[Optioneel genre],'Legacy Berekeningen'!$A13,Table1[Meister],$A$7,Table1[Rnd],"&lt;="&amp;C$8)</f>
        <v>0</v>
      </c>
      <c r="D19">
        <f>COUNTIFS(Table1[Genre],'Legacy Berekeningen'!$A13,Table1[Meister],$A$7,Table1[Rnd],"&lt;="&amp;D$8)+COUNTIFS(Table1[Optioneel genre],'Legacy Berekeningen'!$A13,Table1[Meister],$A$7,Table1[Rnd],"&lt;="&amp;D$8)</f>
        <v>0</v>
      </c>
      <c r="E19">
        <f>COUNTIFS(Table1[Genre],'Legacy Berekeningen'!$A13,Table1[Meister],$A$7,Table1[Rnd],"&lt;="&amp;E$8)+COUNTIFS(Table1[Optioneel genre],'Legacy Berekeningen'!$A13,Table1[Meister],$A$7,Table1[Rnd],"&lt;="&amp;E$8)</f>
        <v>0</v>
      </c>
      <c r="F19">
        <f>COUNTIFS(Table1[Genre],'Legacy Berekeningen'!$A13,Table1[Meister],$A$7,Table1[Rnd],"&lt;="&amp;F$8)+COUNTIFS(Table1[Optioneel genre],'Legacy Berekeningen'!$A13,Table1[Meister],$A$7,Table1[Rnd],"&lt;="&amp;F$8)</f>
        <v>0</v>
      </c>
      <c r="G19">
        <f>COUNTIFS(Table1[Genre],'Legacy Berekeningen'!$A13,Table1[Meister],$A$7,Table1[Rnd],"&lt;="&amp;G$8)+COUNTIFS(Table1[Optioneel genre],'Legacy Berekeningen'!$A13,Table1[Meister],$A$7,Table1[Rnd],"&lt;="&amp;G$8)</f>
        <v>0</v>
      </c>
      <c r="H19">
        <f>COUNTIFS(Table1[Genre],'Legacy Berekeningen'!$A13,Table1[Meister],$A$7,Table1[Rnd],"&lt;="&amp;H$8)+COUNTIFS(Table1[Optioneel genre],'Legacy Berekeningen'!$A13,Table1[Meister],$A$7,Table1[Rnd],"&lt;="&amp;H$8)</f>
        <v>0</v>
      </c>
      <c r="I19">
        <f>COUNTIFS(Table1[Genre],'Legacy Berekeningen'!$A13,Table1[Meister],$A$7,Table1[Rnd],"&lt;="&amp;I$8)+COUNTIFS(Table1[Optioneel genre],'Legacy Berekeningen'!$A13,Table1[Meister],$A$7,Table1[Rnd],"&lt;="&amp;I$8)</f>
        <v>0</v>
      </c>
      <c r="J19">
        <f>COUNTIFS(Table1[Genre],'Legacy Berekeningen'!$A13,Table1[Meister],$A$7,Table1[Rnd],"&lt;="&amp;J$8)+COUNTIFS(Table1[Optioneel genre],'Legacy Berekeningen'!$A13,Table1[Meister],$A$7,Table1[Rnd],"&lt;="&amp;J$8)</f>
        <v>0</v>
      </c>
      <c r="K19">
        <f>COUNTIFS(Table1[Genre],'Legacy Berekeningen'!$A13,Table1[Meister],$A$7,Table1[Rnd],"&lt;="&amp;K$8)+COUNTIFS(Table1[Optioneel genre],'Legacy Berekeningen'!$A13,Table1[Meister],$A$7,Table1[Rnd],"&lt;="&amp;K$8)</f>
        <v>1</v>
      </c>
      <c r="L19">
        <f>COUNTIFS(Table1[Genre],'Legacy Berekeningen'!$A13,Table1[Meister],$A$7,Table1[Rnd],"&lt;="&amp;L$8)+COUNTIFS(Table1[Optioneel genre],'Legacy Berekeningen'!$A13,Table1[Meister],$A$7,Table1[Rnd],"&lt;="&amp;L$8)</f>
        <v>1</v>
      </c>
      <c r="M19">
        <f>COUNTIFS(Table1[Genre],'Legacy Berekeningen'!$A13,Table1[Meister],$A$7,Table1[Rnd],"&lt;="&amp;M$8)+COUNTIFS(Table1[Optioneel genre],'Legacy Berekeningen'!$A13,Table1[Meister],$A$7,Table1[Rnd],"&lt;="&amp;M$8)</f>
        <v>1</v>
      </c>
      <c r="N19">
        <f>COUNTIFS(Table1[Genre],'Legacy Berekeningen'!$A13,Table1[Meister],$A$7,Table1[Rnd],"&lt;="&amp;N$8)+COUNTIFS(Table1[Optioneel genre],'Legacy Berekeningen'!$A13,Table1[Meister],$A$7,Table1[Rnd],"&lt;="&amp;N$8)</f>
        <v>1</v>
      </c>
    </row>
    <row r="20" spans="1:14">
      <c r="A20" s="2" t="s">
        <v>46</v>
      </c>
      <c r="B20">
        <f>COUNTIFS(Table1[Genre],'Legacy Berekeningen'!$A14,Table1[Meister],$A$7,Table1[Rnd],"&lt;="&amp;B$8)+COUNTIFS(Table1[Optioneel genre],'Legacy Berekeningen'!$A14,Table1[Meister],$A$7,Table1[Rnd],"&lt;="&amp;B$8)</f>
        <v>0</v>
      </c>
      <c r="C20">
        <f>COUNTIFS(Table1[Genre],'Legacy Berekeningen'!$A14,Table1[Meister],$A$7,Table1[Rnd],"&lt;="&amp;C$8)+COUNTIFS(Table1[Optioneel genre],'Legacy Berekeningen'!$A14,Table1[Meister],$A$7,Table1[Rnd],"&lt;="&amp;C$8)</f>
        <v>0</v>
      </c>
      <c r="D20">
        <f>COUNTIFS(Table1[Genre],'Legacy Berekeningen'!$A14,Table1[Meister],$A$7,Table1[Rnd],"&lt;="&amp;D$8)+COUNTIFS(Table1[Optioneel genre],'Legacy Berekeningen'!$A14,Table1[Meister],$A$7,Table1[Rnd],"&lt;="&amp;D$8)</f>
        <v>0</v>
      </c>
      <c r="E20">
        <f>COUNTIFS(Table1[Genre],'Legacy Berekeningen'!$A14,Table1[Meister],$A$7,Table1[Rnd],"&lt;="&amp;E$8)+COUNTIFS(Table1[Optioneel genre],'Legacy Berekeningen'!$A14,Table1[Meister],$A$7,Table1[Rnd],"&lt;="&amp;E$8)</f>
        <v>0</v>
      </c>
      <c r="F20">
        <f>COUNTIFS(Table1[Genre],'Legacy Berekeningen'!$A14,Table1[Meister],$A$7,Table1[Rnd],"&lt;="&amp;F$8)+COUNTIFS(Table1[Optioneel genre],'Legacy Berekeningen'!$A14,Table1[Meister],$A$7,Table1[Rnd],"&lt;="&amp;F$8)</f>
        <v>0</v>
      </c>
      <c r="G20">
        <f>COUNTIFS(Table1[Genre],'Legacy Berekeningen'!$A14,Table1[Meister],$A$7,Table1[Rnd],"&lt;="&amp;G$8)+COUNTIFS(Table1[Optioneel genre],'Legacy Berekeningen'!$A14,Table1[Meister],$A$7,Table1[Rnd],"&lt;="&amp;G$8)</f>
        <v>0</v>
      </c>
      <c r="H20">
        <f>COUNTIFS(Table1[Genre],'Legacy Berekeningen'!$A14,Table1[Meister],$A$7,Table1[Rnd],"&lt;="&amp;H$8)+COUNTIFS(Table1[Optioneel genre],'Legacy Berekeningen'!$A14,Table1[Meister],$A$7,Table1[Rnd],"&lt;="&amp;H$8)</f>
        <v>0</v>
      </c>
      <c r="I20">
        <f>COUNTIFS(Table1[Genre],'Legacy Berekeningen'!$A14,Table1[Meister],$A$7,Table1[Rnd],"&lt;="&amp;I$8)+COUNTIFS(Table1[Optioneel genre],'Legacy Berekeningen'!$A14,Table1[Meister],$A$7,Table1[Rnd],"&lt;="&amp;I$8)</f>
        <v>0</v>
      </c>
      <c r="J20">
        <f>COUNTIFS(Table1[Genre],'Legacy Berekeningen'!$A14,Table1[Meister],$A$7,Table1[Rnd],"&lt;="&amp;J$8)+COUNTIFS(Table1[Optioneel genre],'Legacy Berekeningen'!$A14,Table1[Meister],$A$7,Table1[Rnd],"&lt;="&amp;J$8)</f>
        <v>0</v>
      </c>
      <c r="K20">
        <f>COUNTIFS(Table1[Genre],'Legacy Berekeningen'!$A14,Table1[Meister],$A$7,Table1[Rnd],"&lt;="&amp;K$8)+COUNTIFS(Table1[Optioneel genre],'Legacy Berekeningen'!$A14,Table1[Meister],$A$7,Table1[Rnd],"&lt;="&amp;K$8)</f>
        <v>0</v>
      </c>
      <c r="L20">
        <f>COUNTIFS(Table1[Genre],'Legacy Berekeningen'!$A14,Table1[Meister],$A$7,Table1[Rnd],"&lt;="&amp;L$8)+COUNTIFS(Table1[Optioneel genre],'Legacy Berekeningen'!$A14,Table1[Meister],$A$7,Table1[Rnd],"&lt;="&amp;L$8)</f>
        <v>0</v>
      </c>
      <c r="M20">
        <f>COUNTIFS(Table1[Genre],'Legacy Berekeningen'!$A14,Table1[Meister],$A$7,Table1[Rnd],"&lt;="&amp;M$8)+COUNTIFS(Table1[Optioneel genre],'Legacy Berekeningen'!$A14,Table1[Meister],$A$7,Table1[Rnd],"&lt;="&amp;M$8)</f>
        <v>0</v>
      </c>
      <c r="N20">
        <f>COUNTIFS(Table1[Genre],'Legacy Berekeningen'!$A14,Table1[Meister],$A$7,Table1[Rnd],"&lt;="&amp;N$8)+COUNTIFS(Table1[Optioneel genre],'Legacy Berekeningen'!$A14,Table1[Meister],$A$7,Table1[Rnd],"&lt;="&amp;N$8)</f>
        <v>0</v>
      </c>
    </row>
    <row r="21" spans="1:14">
      <c r="A21" s="2" t="s">
        <v>20</v>
      </c>
      <c r="B21">
        <f>COUNTIFS(Table1[Genre],'Legacy Berekeningen'!$A15,Table1[Meister],$A$7,Table1[Rnd],"&lt;="&amp;B$8)+COUNTIFS(Table1[Optioneel genre],'Legacy Berekeningen'!$A15,Table1[Meister],$A$7,Table1[Rnd],"&lt;="&amp;B$8)</f>
        <v>1</v>
      </c>
      <c r="C21">
        <f>COUNTIFS(Table1[Genre],'Legacy Berekeningen'!$A15,Table1[Meister],$A$7,Table1[Rnd],"&lt;="&amp;C$8)+COUNTIFS(Table1[Optioneel genre],'Legacy Berekeningen'!$A15,Table1[Meister],$A$7,Table1[Rnd],"&lt;="&amp;C$8)</f>
        <v>1</v>
      </c>
      <c r="D21">
        <f>COUNTIFS(Table1[Genre],'Legacy Berekeningen'!$A15,Table1[Meister],$A$7,Table1[Rnd],"&lt;="&amp;D$8)+COUNTIFS(Table1[Optioneel genre],'Legacy Berekeningen'!$A15,Table1[Meister],$A$7,Table1[Rnd],"&lt;="&amp;D$8)</f>
        <v>1</v>
      </c>
      <c r="E21">
        <f>COUNTIFS(Table1[Genre],'Legacy Berekeningen'!$A15,Table1[Meister],$A$7,Table1[Rnd],"&lt;="&amp;E$8)+COUNTIFS(Table1[Optioneel genre],'Legacy Berekeningen'!$A15,Table1[Meister],$A$7,Table1[Rnd],"&lt;="&amp;E$8)</f>
        <v>1</v>
      </c>
      <c r="F21">
        <f>COUNTIFS(Table1[Genre],'Legacy Berekeningen'!$A15,Table1[Meister],$A$7,Table1[Rnd],"&lt;="&amp;F$8)+COUNTIFS(Table1[Optioneel genre],'Legacy Berekeningen'!$A15,Table1[Meister],$A$7,Table1[Rnd],"&lt;="&amp;F$8)</f>
        <v>1</v>
      </c>
      <c r="G21">
        <f>COUNTIFS(Table1[Genre],'Legacy Berekeningen'!$A15,Table1[Meister],$A$7,Table1[Rnd],"&lt;="&amp;G$8)+COUNTIFS(Table1[Optioneel genre],'Legacy Berekeningen'!$A15,Table1[Meister],$A$7,Table1[Rnd],"&lt;="&amp;G$8)</f>
        <v>1</v>
      </c>
      <c r="H21">
        <f>COUNTIFS(Table1[Genre],'Legacy Berekeningen'!$A15,Table1[Meister],$A$7,Table1[Rnd],"&lt;="&amp;H$8)+COUNTIFS(Table1[Optioneel genre],'Legacy Berekeningen'!$A15,Table1[Meister],$A$7,Table1[Rnd],"&lt;="&amp;H$8)</f>
        <v>1</v>
      </c>
      <c r="I21">
        <f>COUNTIFS(Table1[Genre],'Legacy Berekeningen'!$A15,Table1[Meister],$A$7,Table1[Rnd],"&lt;="&amp;I$8)+COUNTIFS(Table1[Optioneel genre],'Legacy Berekeningen'!$A15,Table1[Meister],$A$7,Table1[Rnd],"&lt;="&amp;I$8)</f>
        <v>1</v>
      </c>
      <c r="J21">
        <f>COUNTIFS(Table1[Genre],'Legacy Berekeningen'!$A15,Table1[Meister],$A$7,Table1[Rnd],"&lt;="&amp;J$8)+COUNTIFS(Table1[Optioneel genre],'Legacy Berekeningen'!$A15,Table1[Meister],$A$7,Table1[Rnd],"&lt;="&amp;J$8)</f>
        <v>1</v>
      </c>
      <c r="K21">
        <f>COUNTIFS(Table1[Genre],'Legacy Berekeningen'!$A15,Table1[Meister],$A$7,Table1[Rnd],"&lt;="&amp;K$8)+COUNTIFS(Table1[Optioneel genre],'Legacy Berekeningen'!$A15,Table1[Meister],$A$7,Table1[Rnd],"&lt;="&amp;K$8)</f>
        <v>1</v>
      </c>
      <c r="L21">
        <f>COUNTIFS(Table1[Genre],'Legacy Berekeningen'!$A15,Table1[Meister],$A$7,Table1[Rnd],"&lt;="&amp;L$8)+COUNTIFS(Table1[Optioneel genre],'Legacy Berekeningen'!$A15,Table1[Meister],$A$7,Table1[Rnd],"&lt;="&amp;L$8)</f>
        <v>1</v>
      </c>
      <c r="M21">
        <f>COUNTIFS(Table1[Genre],'Legacy Berekeningen'!$A15,Table1[Meister],$A$7,Table1[Rnd],"&lt;="&amp;M$8)+COUNTIFS(Table1[Optioneel genre],'Legacy Berekeningen'!$A15,Table1[Meister],$A$7,Table1[Rnd],"&lt;="&amp;M$8)</f>
        <v>1</v>
      </c>
      <c r="N21">
        <f>COUNTIFS(Table1[Genre],'Legacy Berekeningen'!$A15,Table1[Meister],$A$7,Table1[Rnd],"&lt;="&amp;N$8)+COUNTIFS(Table1[Optioneel genre],'Legacy Berekeningen'!$A15,Table1[Meister],$A$7,Table1[Rnd],"&lt;="&amp;N$8)</f>
        <v>1</v>
      </c>
    </row>
    <row r="22" spans="1:14">
      <c r="A22" s="2" t="s">
        <v>68</v>
      </c>
      <c r="B22">
        <f>COUNTIFS(Table1[Genre],'Legacy Berekeningen'!$A16,Table1[Meister],$A$7,Table1[Rnd],"&lt;="&amp;B$8)+COUNTIFS(Table1[Optioneel genre],'Legacy Berekeningen'!$A16,Table1[Meister],$A$7,Table1[Rnd],"&lt;="&amp;B$8)</f>
        <v>0</v>
      </c>
      <c r="C22">
        <f>COUNTIFS(Table1[Genre],'Legacy Berekeningen'!$A16,Table1[Meister],$A$7,Table1[Rnd],"&lt;="&amp;C$8)+COUNTIFS(Table1[Optioneel genre],'Legacy Berekeningen'!$A16,Table1[Meister],$A$7,Table1[Rnd],"&lt;="&amp;C$8)</f>
        <v>0</v>
      </c>
      <c r="D22">
        <f>COUNTIFS(Table1[Genre],'Legacy Berekeningen'!$A16,Table1[Meister],$A$7,Table1[Rnd],"&lt;="&amp;D$8)+COUNTIFS(Table1[Optioneel genre],'Legacy Berekeningen'!$A16,Table1[Meister],$A$7,Table1[Rnd],"&lt;="&amp;D$8)</f>
        <v>0</v>
      </c>
      <c r="E22">
        <f>COUNTIFS(Table1[Genre],'Legacy Berekeningen'!$A16,Table1[Meister],$A$7,Table1[Rnd],"&lt;="&amp;E$8)+COUNTIFS(Table1[Optioneel genre],'Legacy Berekeningen'!$A16,Table1[Meister],$A$7,Table1[Rnd],"&lt;="&amp;E$8)</f>
        <v>0</v>
      </c>
      <c r="F22">
        <f>COUNTIFS(Table1[Genre],'Legacy Berekeningen'!$A16,Table1[Meister],$A$7,Table1[Rnd],"&lt;="&amp;F$8)+COUNTIFS(Table1[Optioneel genre],'Legacy Berekeningen'!$A16,Table1[Meister],$A$7,Table1[Rnd],"&lt;="&amp;F$8)</f>
        <v>0</v>
      </c>
      <c r="G22">
        <f>COUNTIFS(Table1[Genre],'Legacy Berekeningen'!$A16,Table1[Meister],$A$7,Table1[Rnd],"&lt;="&amp;G$8)+COUNTIFS(Table1[Optioneel genre],'Legacy Berekeningen'!$A16,Table1[Meister],$A$7,Table1[Rnd],"&lt;="&amp;G$8)</f>
        <v>0</v>
      </c>
      <c r="H22">
        <f>COUNTIFS(Table1[Genre],'Legacy Berekeningen'!$A16,Table1[Meister],$A$7,Table1[Rnd],"&lt;="&amp;H$8)+COUNTIFS(Table1[Optioneel genre],'Legacy Berekeningen'!$A16,Table1[Meister],$A$7,Table1[Rnd],"&lt;="&amp;H$8)</f>
        <v>0</v>
      </c>
      <c r="I22">
        <f>COUNTIFS(Table1[Genre],'Legacy Berekeningen'!$A16,Table1[Meister],$A$7,Table1[Rnd],"&lt;="&amp;I$8)+COUNTIFS(Table1[Optioneel genre],'Legacy Berekeningen'!$A16,Table1[Meister],$A$7,Table1[Rnd],"&lt;="&amp;I$8)</f>
        <v>0</v>
      </c>
      <c r="J22">
        <f>COUNTIFS(Table1[Genre],'Legacy Berekeningen'!$A16,Table1[Meister],$A$7,Table1[Rnd],"&lt;="&amp;J$8)+COUNTIFS(Table1[Optioneel genre],'Legacy Berekeningen'!$A16,Table1[Meister],$A$7,Table1[Rnd],"&lt;="&amp;J$8)</f>
        <v>0</v>
      </c>
      <c r="K22">
        <f>COUNTIFS(Table1[Genre],'Legacy Berekeningen'!$A16,Table1[Meister],$A$7,Table1[Rnd],"&lt;="&amp;K$8)+COUNTIFS(Table1[Optioneel genre],'Legacy Berekeningen'!$A16,Table1[Meister],$A$7,Table1[Rnd],"&lt;="&amp;K$8)</f>
        <v>0</v>
      </c>
      <c r="L22">
        <f>COUNTIFS(Table1[Genre],'Legacy Berekeningen'!$A16,Table1[Meister],$A$7,Table1[Rnd],"&lt;="&amp;L$8)+COUNTIFS(Table1[Optioneel genre],'Legacy Berekeningen'!$A16,Table1[Meister],$A$7,Table1[Rnd],"&lt;="&amp;L$8)</f>
        <v>0</v>
      </c>
      <c r="M22">
        <f>COUNTIFS(Table1[Genre],'Legacy Berekeningen'!$A16,Table1[Meister],$A$7,Table1[Rnd],"&lt;="&amp;M$8)+COUNTIFS(Table1[Optioneel genre],'Legacy Berekeningen'!$A16,Table1[Meister],$A$7,Table1[Rnd],"&lt;="&amp;M$8)</f>
        <v>0</v>
      </c>
      <c r="N22">
        <f>COUNTIFS(Table1[Genre],'Legacy Berekeningen'!$A16,Table1[Meister],$A$7,Table1[Rnd],"&lt;="&amp;N$8)+COUNTIFS(Table1[Optioneel genre],'Legacy Berekeningen'!$A16,Table1[Meister],$A$7,Table1[Rnd],"&lt;="&amp;N$8)</f>
        <v>0</v>
      </c>
    </row>
    <row r="23" spans="1:14">
      <c r="A23" s="2" t="s">
        <v>21</v>
      </c>
      <c r="B23">
        <f>COUNTIFS(Table1[Genre],'Legacy Berekeningen'!$A17,Table1[Meister],$A$7,Table1[Rnd],"&lt;="&amp;B$8)+COUNTIFS(Table1[Optioneel genre],'Legacy Berekeningen'!$A17,Table1[Meister],$A$7,Table1[Rnd],"&lt;="&amp;B$8)</f>
        <v>1</v>
      </c>
      <c r="C23">
        <f>COUNTIFS(Table1[Genre],'Legacy Berekeningen'!$A17,Table1[Meister],$A$7,Table1[Rnd],"&lt;="&amp;C$8)+COUNTIFS(Table1[Optioneel genre],'Legacy Berekeningen'!$A17,Table1[Meister],$A$7,Table1[Rnd],"&lt;="&amp;C$8)</f>
        <v>1</v>
      </c>
      <c r="D23">
        <f>COUNTIFS(Table1[Genre],'Legacy Berekeningen'!$A17,Table1[Meister],$A$7,Table1[Rnd],"&lt;="&amp;D$8)+COUNTIFS(Table1[Optioneel genre],'Legacy Berekeningen'!$A17,Table1[Meister],$A$7,Table1[Rnd],"&lt;="&amp;D$8)</f>
        <v>1</v>
      </c>
      <c r="E23">
        <f>COUNTIFS(Table1[Genre],'Legacy Berekeningen'!$A17,Table1[Meister],$A$7,Table1[Rnd],"&lt;="&amp;E$8)+COUNTIFS(Table1[Optioneel genre],'Legacy Berekeningen'!$A17,Table1[Meister],$A$7,Table1[Rnd],"&lt;="&amp;E$8)</f>
        <v>1</v>
      </c>
      <c r="F23">
        <f>COUNTIFS(Table1[Genre],'Legacy Berekeningen'!$A17,Table1[Meister],$A$7,Table1[Rnd],"&lt;="&amp;F$8)+COUNTIFS(Table1[Optioneel genre],'Legacy Berekeningen'!$A17,Table1[Meister],$A$7,Table1[Rnd],"&lt;="&amp;F$8)</f>
        <v>1</v>
      </c>
      <c r="G23">
        <f>COUNTIFS(Table1[Genre],'Legacy Berekeningen'!$A17,Table1[Meister],$A$7,Table1[Rnd],"&lt;="&amp;G$8)+COUNTIFS(Table1[Optioneel genre],'Legacy Berekeningen'!$A17,Table1[Meister],$A$7,Table1[Rnd],"&lt;="&amp;G$8)</f>
        <v>1</v>
      </c>
      <c r="H23">
        <f>COUNTIFS(Table1[Genre],'Legacy Berekeningen'!$A17,Table1[Meister],$A$7,Table1[Rnd],"&lt;="&amp;H$8)+COUNTIFS(Table1[Optioneel genre],'Legacy Berekeningen'!$A17,Table1[Meister],$A$7,Table1[Rnd],"&lt;="&amp;H$8)</f>
        <v>1</v>
      </c>
      <c r="I23">
        <f>COUNTIFS(Table1[Genre],'Legacy Berekeningen'!$A17,Table1[Meister],$A$7,Table1[Rnd],"&lt;="&amp;I$8)+COUNTIFS(Table1[Optioneel genre],'Legacy Berekeningen'!$A17,Table1[Meister],$A$7,Table1[Rnd],"&lt;="&amp;I$8)</f>
        <v>1</v>
      </c>
      <c r="J23">
        <f>COUNTIFS(Table1[Genre],'Legacy Berekeningen'!$A17,Table1[Meister],$A$7,Table1[Rnd],"&lt;="&amp;J$8)+COUNTIFS(Table1[Optioneel genre],'Legacy Berekeningen'!$A17,Table1[Meister],$A$7,Table1[Rnd],"&lt;="&amp;J$8)</f>
        <v>1</v>
      </c>
      <c r="K23">
        <f>COUNTIFS(Table1[Genre],'Legacy Berekeningen'!$A17,Table1[Meister],$A$7,Table1[Rnd],"&lt;="&amp;K$8)+COUNTIFS(Table1[Optioneel genre],'Legacy Berekeningen'!$A17,Table1[Meister],$A$7,Table1[Rnd],"&lt;="&amp;K$8)</f>
        <v>1</v>
      </c>
      <c r="L23">
        <f>COUNTIFS(Table1[Genre],'Legacy Berekeningen'!$A17,Table1[Meister],$A$7,Table1[Rnd],"&lt;="&amp;L$8)+COUNTIFS(Table1[Optioneel genre],'Legacy Berekeningen'!$A17,Table1[Meister],$A$7,Table1[Rnd],"&lt;="&amp;L$8)</f>
        <v>1</v>
      </c>
      <c r="M23">
        <f>COUNTIFS(Table1[Genre],'Legacy Berekeningen'!$A17,Table1[Meister],$A$7,Table1[Rnd],"&lt;="&amp;M$8)+COUNTIFS(Table1[Optioneel genre],'Legacy Berekeningen'!$A17,Table1[Meister],$A$7,Table1[Rnd],"&lt;="&amp;M$8)</f>
        <v>1</v>
      </c>
      <c r="N23">
        <f>COUNTIFS(Table1[Genre],'Legacy Berekeningen'!$A17,Table1[Meister],$A$7,Table1[Rnd],"&lt;="&amp;N$8)+COUNTIFS(Table1[Optioneel genre],'Legacy Berekeningen'!$A17,Table1[Meister],$A$7,Table1[Rnd],"&lt;="&amp;N$8)</f>
        <v>1</v>
      </c>
    </row>
    <row r="24" spans="1:14">
      <c r="A24" s="2" t="s">
        <v>579</v>
      </c>
      <c r="B24">
        <f>COUNTIFS(Table1[Genre],'Legacy Berekeningen'!$A18,Table1[Meister],$A$7,Table1[Rnd],"&lt;="&amp;B$8)+COUNTIFS(Table1[Optioneel genre],'Legacy Berekeningen'!$A18,Table1[Meister],$A$7,Table1[Rnd],"&lt;="&amp;B$8)</f>
        <v>0</v>
      </c>
      <c r="C24">
        <f>COUNTIFS(Table1[Genre],'Legacy Berekeningen'!$A18,Table1[Meister],$A$7,Table1[Rnd],"&lt;="&amp;C$8)+COUNTIFS(Table1[Optioneel genre],'Legacy Berekeningen'!$A18,Table1[Meister],$A$7,Table1[Rnd],"&lt;="&amp;C$8)</f>
        <v>0</v>
      </c>
      <c r="D24">
        <f>COUNTIFS(Table1[Genre],'Legacy Berekeningen'!$A18,Table1[Meister],$A$7,Table1[Rnd],"&lt;="&amp;D$8)+COUNTIFS(Table1[Optioneel genre],'Legacy Berekeningen'!$A18,Table1[Meister],$A$7,Table1[Rnd],"&lt;="&amp;D$8)</f>
        <v>0</v>
      </c>
      <c r="E24">
        <f>COUNTIFS(Table1[Genre],'Legacy Berekeningen'!$A18,Table1[Meister],$A$7,Table1[Rnd],"&lt;="&amp;E$8)+COUNTIFS(Table1[Optioneel genre],'Legacy Berekeningen'!$A18,Table1[Meister],$A$7,Table1[Rnd],"&lt;="&amp;E$8)</f>
        <v>0</v>
      </c>
      <c r="F24">
        <f>COUNTIFS(Table1[Genre],'Legacy Berekeningen'!$A18,Table1[Meister],$A$7,Table1[Rnd],"&lt;="&amp;F$8)+COUNTIFS(Table1[Optioneel genre],'Legacy Berekeningen'!$A18,Table1[Meister],$A$7,Table1[Rnd],"&lt;="&amp;F$8)</f>
        <v>0</v>
      </c>
      <c r="G24">
        <f>COUNTIFS(Table1[Genre],'Legacy Berekeningen'!$A18,Table1[Meister],$A$7,Table1[Rnd],"&lt;="&amp;G$8)+COUNTIFS(Table1[Optioneel genre],'Legacy Berekeningen'!$A18,Table1[Meister],$A$7,Table1[Rnd],"&lt;="&amp;G$8)</f>
        <v>0</v>
      </c>
      <c r="H24">
        <f>COUNTIFS(Table1[Genre],'Legacy Berekeningen'!$A18,Table1[Meister],$A$7,Table1[Rnd],"&lt;="&amp;H$8)+COUNTIFS(Table1[Optioneel genre],'Legacy Berekeningen'!$A18,Table1[Meister],$A$7,Table1[Rnd],"&lt;="&amp;H$8)</f>
        <v>0</v>
      </c>
      <c r="I24">
        <f>COUNTIFS(Table1[Genre],'Legacy Berekeningen'!$A18,Table1[Meister],$A$7,Table1[Rnd],"&lt;="&amp;I$8)+COUNTIFS(Table1[Optioneel genre],'Legacy Berekeningen'!$A18,Table1[Meister],$A$7,Table1[Rnd],"&lt;="&amp;I$8)</f>
        <v>0</v>
      </c>
      <c r="J24">
        <f>COUNTIFS(Table1[Genre],'Legacy Berekeningen'!$A18,Table1[Meister],$A$7,Table1[Rnd],"&lt;="&amp;J$8)+COUNTIFS(Table1[Optioneel genre],'Legacy Berekeningen'!$A18,Table1[Meister],$A$7,Table1[Rnd],"&lt;="&amp;J$8)</f>
        <v>0</v>
      </c>
      <c r="K24">
        <f>COUNTIFS(Table1[Genre],'Legacy Berekeningen'!$A18,Table1[Meister],$A$7,Table1[Rnd],"&lt;="&amp;K$8)+COUNTIFS(Table1[Optioneel genre],'Legacy Berekeningen'!$A18,Table1[Meister],$A$7,Table1[Rnd],"&lt;="&amp;K$8)</f>
        <v>0</v>
      </c>
      <c r="L24">
        <f>COUNTIFS(Table1[Genre],'Legacy Berekeningen'!$A18,Table1[Meister],$A$7,Table1[Rnd],"&lt;="&amp;L$8)+COUNTIFS(Table1[Optioneel genre],'Legacy Berekeningen'!$A18,Table1[Meister],$A$7,Table1[Rnd],"&lt;="&amp;L$8)</f>
        <v>0</v>
      </c>
      <c r="M24">
        <f>COUNTIFS(Table1[Genre],'Legacy Berekeningen'!$A18,Table1[Meister],$A$7,Table1[Rnd],"&lt;="&amp;M$8)+COUNTIFS(Table1[Optioneel genre],'Legacy Berekeningen'!$A18,Table1[Meister],$A$7,Table1[Rnd],"&lt;="&amp;M$8)</f>
        <v>0</v>
      </c>
      <c r="N24">
        <f>COUNTIFS(Table1[Genre],'Legacy Berekeningen'!$A18,Table1[Meister],$A$7,Table1[Rnd],"&lt;="&amp;N$8)+COUNTIFS(Table1[Optioneel genre],'Legacy Berekeningen'!$A18,Table1[Meister],$A$7,Table1[Rnd],"&lt;="&amp;N$8)</f>
        <v>0</v>
      </c>
    </row>
    <row r="25" spans="1:14">
      <c r="A25" s="2" t="s">
        <v>13</v>
      </c>
      <c r="B25">
        <f>COUNTIFS(Table1[Genre],'Legacy Berekeningen'!$A19,Table1[Meister],$A$7,Table1[Rnd],"&lt;="&amp;B$8)+COUNTIFS(Table1[Optioneel genre],'Legacy Berekeningen'!$A19,Table1[Meister],$A$7,Table1[Rnd],"&lt;="&amp;B$8)</f>
        <v>0</v>
      </c>
      <c r="C25">
        <f>COUNTIFS(Table1[Genre],'Legacy Berekeningen'!$A19,Table1[Meister],$A$7,Table1[Rnd],"&lt;="&amp;C$8)+COUNTIFS(Table1[Optioneel genre],'Legacy Berekeningen'!$A19,Table1[Meister],$A$7,Table1[Rnd],"&lt;="&amp;C$8)</f>
        <v>1</v>
      </c>
      <c r="D25">
        <f>COUNTIFS(Table1[Genre],'Legacy Berekeningen'!$A19,Table1[Meister],$A$7,Table1[Rnd],"&lt;="&amp;D$8)+COUNTIFS(Table1[Optioneel genre],'Legacy Berekeningen'!$A19,Table1[Meister],$A$7,Table1[Rnd],"&lt;="&amp;D$8)</f>
        <v>1</v>
      </c>
      <c r="E25">
        <f>COUNTIFS(Table1[Genre],'Legacy Berekeningen'!$A19,Table1[Meister],$A$7,Table1[Rnd],"&lt;="&amp;E$8)+COUNTIFS(Table1[Optioneel genre],'Legacy Berekeningen'!$A19,Table1[Meister],$A$7,Table1[Rnd],"&lt;="&amp;E$8)</f>
        <v>1</v>
      </c>
      <c r="F25">
        <f>COUNTIFS(Table1[Genre],'Legacy Berekeningen'!$A19,Table1[Meister],$A$7,Table1[Rnd],"&lt;="&amp;F$8)+COUNTIFS(Table1[Optioneel genre],'Legacy Berekeningen'!$A19,Table1[Meister],$A$7,Table1[Rnd],"&lt;="&amp;F$8)</f>
        <v>2</v>
      </c>
      <c r="G25">
        <f>COUNTIFS(Table1[Genre],'Legacy Berekeningen'!$A19,Table1[Meister],$A$7,Table1[Rnd],"&lt;="&amp;G$8)+COUNTIFS(Table1[Optioneel genre],'Legacy Berekeningen'!$A19,Table1[Meister],$A$7,Table1[Rnd],"&lt;="&amp;G$8)</f>
        <v>2</v>
      </c>
      <c r="H25">
        <f>COUNTIFS(Table1[Genre],'Legacy Berekeningen'!$A19,Table1[Meister],$A$7,Table1[Rnd],"&lt;="&amp;H$8)+COUNTIFS(Table1[Optioneel genre],'Legacy Berekeningen'!$A19,Table1[Meister],$A$7,Table1[Rnd],"&lt;="&amp;H$8)</f>
        <v>2</v>
      </c>
      <c r="I25">
        <f>COUNTIFS(Table1[Genre],'Legacy Berekeningen'!$A19,Table1[Meister],$A$7,Table1[Rnd],"&lt;="&amp;I$8)+COUNTIFS(Table1[Optioneel genre],'Legacy Berekeningen'!$A19,Table1[Meister],$A$7,Table1[Rnd],"&lt;="&amp;I$8)</f>
        <v>2</v>
      </c>
      <c r="J25">
        <f>COUNTIFS(Table1[Genre],'Legacy Berekeningen'!$A19,Table1[Meister],$A$7,Table1[Rnd],"&lt;="&amp;J$8)+COUNTIFS(Table1[Optioneel genre],'Legacy Berekeningen'!$A19,Table1[Meister],$A$7,Table1[Rnd],"&lt;="&amp;J$8)</f>
        <v>2</v>
      </c>
      <c r="K25">
        <f>COUNTIFS(Table1[Genre],'Legacy Berekeningen'!$A19,Table1[Meister],$A$7,Table1[Rnd],"&lt;="&amp;K$8)+COUNTIFS(Table1[Optioneel genre],'Legacy Berekeningen'!$A19,Table1[Meister],$A$7,Table1[Rnd],"&lt;="&amp;K$8)</f>
        <v>2</v>
      </c>
      <c r="L25">
        <f>COUNTIFS(Table1[Genre],'Legacy Berekeningen'!$A19,Table1[Meister],$A$7,Table1[Rnd],"&lt;="&amp;L$8)+COUNTIFS(Table1[Optioneel genre],'Legacy Berekeningen'!$A19,Table1[Meister],$A$7,Table1[Rnd],"&lt;="&amp;L$8)</f>
        <v>2</v>
      </c>
      <c r="M25">
        <f>COUNTIFS(Table1[Genre],'Legacy Berekeningen'!$A19,Table1[Meister],$A$7,Table1[Rnd],"&lt;="&amp;M$8)+COUNTIFS(Table1[Optioneel genre],'Legacy Berekeningen'!$A19,Table1[Meister],$A$7,Table1[Rnd],"&lt;="&amp;M$8)</f>
        <v>2</v>
      </c>
      <c r="N25">
        <f>COUNTIFS(Table1[Genre],'Legacy Berekeningen'!$A19,Table1[Meister],$A$7,Table1[Rnd],"&lt;="&amp;N$8)+COUNTIFS(Table1[Optioneel genre],'Legacy Berekeningen'!$A19,Table1[Meister],$A$7,Table1[Rnd],"&lt;="&amp;N$8)</f>
        <v>2</v>
      </c>
    </row>
    <row r="26" spans="1:14">
      <c r="A26" s="2" t="s">
        <v>44</v>
      </c>
      <c r="B26">
        <f>COUNTIFS(Table1[Genre],'Legacy Berekeningen'!$A20,Table1[Meister],$A$7,Table1[Rnd],"&lt;="&amp;B$8)+COUNTIFS(Table1[Optioneel genre],'Legacy Berekeningen'!$A20,Table1[Meister],$A$7,Table1[Rnd],"&lt;="&amp;B$8)</f>
        <v>0</v>
      </c>
      <c r="C26">
        <f>COUNTIFS(Table1[Genre],'Legacy Berekeningen'!$A20,Table1[Meister],$A$7,Table1[Rnd],"&lt;="&amp;C$8)+COUNTIFS(Table1[Optioneel genre],'Legacy Berekeningen'!$A20,Table1[Meister],$A$7,Table1[Rnd],"&lt;="&amp;C$8)</f>
        <v>0</v>
      </c>
      <c r="D26">
        <f>COUNTIFS(Table1[Genre],'Legacy Berekeningen'!$A20,Table1[Meister],$A$7,Table1[Rnd],"&lt;="&amp;D$8)+COUNTIFS(Table1[Optioneel genre],'Legacy Berekeningen'!$A20,Table1[Meister],$A$7,Table1[Rnd],"&lt;="&amp;D$8)</f>
        <v>0</v>
      </c>
      <c r="E26">
        <f>COUNTIFS(Table1[Genre],'Legacy Berekeningen'!$A20,Table1[Meister],$A$7,Table1[Rnd],"&lt;="&amp;E$8)+COUNTIFS(Table1[Optioneel genre],'Legacy Berekeningen'!$A20,Table1[Meister],$A$7,Table1[Rnd],"&lt;="&amp;E$8)</f>
        <v>0</v>
      </c>
      <c r="F26">
        <f>COUNTIFS(Table1[Genre],'Legacy Berekeningen'!$A20,Table1[Meister],$A$7,Table1[Rnd],"&lt;="&amp;F$8)+COUNTIFS(Table1[Optioneel genre],'Legacy Berekeningen'!$A20,Table1[Meister],$A$7,Table1[Rnd],"&lt;="&amp;F$8)</f>
        <v>1</v>
      </c>
      <c r="G26">
        <f>COUNTIFS(Table1[Genre],'Legacy Berekeningen'!$A20,Table1[Meister],$A$7,Table1[Rnd],"&lt;="&amp;G$8)+COUNTIFS(Table1[Optioneel genre],'Legacy Berekeningen'!$A20,Table1[Meister],$A$7,Table1[Rnd],"&lt;="&amp;G$8)</f>
        <v>1</v>
      </c>
      <c r="H26">
        <f>COUNTIFS(Table1[Genre],'Legacy Berekeningen'!$A20,Table1[Meister],$A$7,Table1[Rnd],"&lt;="&amp;H$8)+COUNTIFS(Table1[Optioneel genre],'Legacy Berekeningen'!$A20,Table1[Meister],$A$7,Table1[Rnd],"&lt;="&amp;H$8)</f>
        <v>1</v>
      </c>
      <c r="I26">
        <f>COUNTIFS(Table1[Genre],'Legacy Berekeningen'!$A20,Table1[Meister],$A$7,Table1[Rnd],"&lt;="&amp;I$8)+COUNTIFS(Table1[Optioneel genre],'Legacy Berekeningen'!$A20,Table1[Meister],$A$7,Table1[Rnd],"&lt;="&amp;I$8)</f>
        <v>1</v>
      </c>
      <c r="J26">
        <f>COUNTIFS(Table1[Genre],'Legacy Berekeningen'!$A20,Table1[Meister],$A$7,Table1[Rnd],"&lt;="&amp;J$8)+COUNTIFS(Table1[Optioneel genre],'Legacy Berekeningen'!$A20,Table1[Meister],$A$7,Table1[Rnd],"&lt;="&amp;J$8)</f>
        <v>1</v>
      </c>
      <c r="K26">
        <f>COUNTIFS(Table1[Genre],'Legacy Berekeningen'!$A20,Table1[Meister],$A$7,Table1[Rnd],"&lt;="&amp;K$8)+COUNTIFS(Table1[Optioneel genre],'Legacy Berekeningen'!$A20,Table1[Meister],$A$7,Table1[Rnd],"&lt;="&amp;K$8)</f>
        <v>1</v>
      </c>
      <c r="L26">
        <f>COUNTIFS(Table1[Genre],'Legacy Berekeningen'!$A20,Table1[Meister],$A$7,Table1[Rnd],"&lt;="&amp;L$8)+COUNTIFS(Table1[Optioneel genre],'Legacy Berekeningen'!$A20,Table1[Meister],$A$7,Table1[Rnd],"&lt;="&amp;L$8)</f>
        <v>1</v>
      </c>
      <c r="M26">
        <f>COUNTIFS(Table1[Genre],'Legacy Berekeningen'!$A20,Table1[Meister],$A$7,Table1[Rnd],"&lt;="&amp;M$8)+COUNTIFS(Table1[Optioneel genre],'Legacy Berekeningen'!$A20,Table1[Meister],$A$7,Table1[Rnd],"&lt;="&amp;M$8)</f>
        <v>1</v>
      </c>
      <c r="N26">
        <f>COUNTIFS(Table1[Genre],'Legacy Berekeningen'!$A20,Table1[Meister],$A$7,Table1[Rnd],"&lt;="&amp;N$8)+COUNTIFS(Table1[Optioneel genre],'Legacy Berekeningen'!$A20,Table1[Meister],$A$7,Table1[Rnd],"&lt;="&amp;N$8)</f>
        <v>1</v>
      </c>
    </row>
    <row r="27" spans="1:14">
      <c r="A27" s="2" t="s">
        <v>58</v>
      </c>
      <c r="B27">
        <f>COUNTIFS(Table1[Genre],'Legacy Berekeningen'!$A21,Table1[Meister],$A$7,Table1[Rnd],"&lt;="&amp;B$8)+COUNTIFS(Table1[Optioneel genre],'Legacy Berekeningen'!$A21,Table1[Meister],$A$7,Table1[Rnd],"&lt;="&amp;B$8)</f>
        <v>0</v>
      </c>
      <c r="C27">
        <f>COUNTIFS(Table1[Genre],'Legacy Berekeningen'!$A21,Table1[Meister],$A$7,Table1[Rnd],"&lt;="&amp;C$8)+COUNTIFS(Table1[Optioneel genre],'Legacy Berekeningen'!$A21,Table1[Meister],$A$7,Table1[Rnd],"&lt;="&amp;C$8)</f>
        <v>0</v>
      </c>
      <c r="D27">
        <f>COUNTIFS(Table1[Genre],'Legacy Berekeningen'!$A21,Table1[Meister],$A$7,Table1[Rnd],"&lt;="&amp;D$8)+COUNTIFS(Table1[Optioneel genre],'Legacy Berekeningen'!$A21,Table1[Meister],$A$7,Table1[Rnd],"&lt;="&amp;D$8)</f>
        <v>0</v>
      </c>
      <c r="E27">
        <f>COUNTIFS(Table1[Genre],'Legacy Berekeningen'!$A21,Table1[Meister],$A$7,Table1[Rnd],"&lt;="&amp;E$8)+COUNTIFS(Table1[Optioneel genre],'Legacy Berekeningen'!$A21,Table1[Meister],$A$7,Table1[Rnd],"&lt;="&amp;E$8)</f>
        <v>0</v>
      </c>
      <c r="F27">
        <f>COUNTIFS(Table1[Genre],'Legacy Berekeningen'!$A21,Table1[Meister],$A$7,Table1[Rnd],"&lt;="&amp;F$8)+COUNTIFS(Table1[Optioneel genre],'Legacy Berekeningen'!$A21,Table1[Meister],$A$7,Table1[Rnd],"&lt;="&amp;F$8)</f>
        <v>0</v>
      </c>
      <c r="G27">
        <f>COUNTIFS(Table1[Genre],'Legacy Berekeningen'!$A21,Table1[Meister],$A$7,Table1[Rnd],"&lt;="&amp;G$8)+COUNTIFS(Table1[Optioneel genre],'Legacy Berekeningen'!$A21,Table1[Meister],$A$7,Table1[Rnd],"&lt;="&amp;G$8)</f>
        <v>0</v>
      </c>
      <c r="H27">
        <f>COUNTIFS(Table1[Genre],'Legacy Berekeningen'!$A21,Table1[Meister],$A$7,Table1[Rnd],"&lt;="&amp;H$8)+COUNTIFS(Table1[Optioneel genre],'Legacy Berekeningen'!$A21,Table1[Meister],$A$7,Table1[Rnd],"&lt;="&amp;H$8)</f>
        <v>0</v>
      </c>
      <c r="I27">
        <f>COUNTIFS(Table1[Genre],'Legacy Berekeningen'!$A21,Table1[Meister],$A$7,Table1[Rnd],"&lt;="&amp;I$8)+COUNTIFS(Table1[Optioneel genre],'Legacy Berekeningen'!$A21,Table1[Meister],$A$7,Table1[Rnd],"&lt;="&amp;I$8)</f>
        <v>0</v>
      </c>
      <c r="J27">
        <f>COUNTIFS(Table1[Genre],'Legacy Berekeningen'!$A21,Table1[Meister],$A$7,Table1[Rnd],"&lt;="&amp;J$8)+COUNTIFS(Table1[Optioneel genre],'Legacy Berekeningen'!$A21,Table1[Meister],$A$7,Table1[Rnd],"&lt;="&amp;J$8)</f>
        <v>0</v>
      </c>
      <c r="K27">
        <f>COUNTIFS(Table1[Genre],'Legacy Berekeningen'!$A21,Table1[Meister],$A$7,Table1[Rnd],"&lt;="&amp;K$8)+COUNTIFS(Table1[Optioneel genre],'Legacy Berekeningen'!$A21,Table1[Meister],$A$7,Table1[Rnd],"&lt;="&amp;K$8)</f>
        <v>0</v>
      </c>
      <c r="L27">
        <f>COUNTIFS(Table1[Genre],'Legacy Berekeningen'!$A21,Table1[Meister],$A$7,Table1[Rnd],"&lt;="&amp;L$8)+COUNTIFS(Table1[Optioneel genre],'Legacy Berekeningen'!$A21,Table1[Meister],$A$7,Table1[Rnd],"&lt;="&amp;L$8)</f>
        <v>0</v>
      </c>
      <c r="M27">
        <f>COUNTIFS(Table1[Genre],'Legacy Berekeningen'!$A21,Table1[Meister],$A$7,Table1[Rnd],"&lt;="&amp;M$8)+COUNTIFS(Table1[Optioneel genre],'Legacy Berekeningen'!$A21,Table1[Meister],$A$7,Table1[Rnd],"&lt;="&amp;M$8)</f>
        <v>0</v>
      </c>
      <c r="N27">
        <f>COUNTIFS(Table1[Genre],'Legacy Berekeningen'!$A21,Table1[Meister],$A$7,Table1[Rnd],"&lt;="&amp;N$8)+COUNTIFS(Table1[Optioneel genre],'Legacy Berekeningen'!$A21,Table1[Meister],$A$7,Table1[Rnd],"&lt;="&amp;N$8)</f>
        <v>0</v>
      </c>
    </row>
    <row r="28" spans="1:14">
      <c r="A28" s="1" t="s">
        <v>23</v>
      </c>
    </row>
    <row r="29" spans="1:14">
      <c r="A29" s="2" t="s">
        <v>12</v>
      </c>
      <c r="B29">
        <f>COUNTIFS(Table1[Genre],'Legacy Berekeningen'!$A3,Table1[Meister],$A$28,Table1[Rnd],"&lt;="&amp;B$8)+COUNTIFS(Table1[Optioneel genre],'Legacy Berekeningen'!$A3,Table1[Meister],$A$28,Table1[Rnd],"&lt;="&amp;B$8)</f>
        <v>0</v>
      </c>
      <c r="C29">
        <f>COUNTIFS(Table1[Genre],'Legacy Berekeningen'!$A3,Table1[Meister],$A$28,Table1[Rnd],"&lt;="&amp;C$8)+COUNTIFS(Table1[Optioneel genre],'Legacy Berekeningen'!$A3,Table1[Meister],$A$28,Table1[Rnd],"&lt;="&amp;C$8)</f>
        <v>0</v>
      </c>
      <c r="D29">
        <f>COUNTIFS(Table1[Genre],'Legacy Berekeningen'!$A3,Table1[Meister],$A$28,Table1[Rnd],"&lt;="&amp;D$8)+COUNTIFS(Table1[Optioneel genre],'Legacy Berekeningen'!$A3,Table1[Meister],$A$28,Table1[Rnd],"&lt;="&amp;D$8)</f>
        <v>1</v>
      </c>
      <c r="E29">
        <f>COUNTIFS(Table1[Genre],'Legacy Berekeningen'!$A3,Table1[Meister],$A$28,Table1[Rnd],"&lt;="&amp;E$8)+COUNTIFS(Table1[Optioneel genre],'Legacy Berekeningen'!$A3,Table1[Meister],$A$28,Table1[Rnd],"&lt;="&amp;E$8)</f>
        <v>1</v>
      </c>
      <c r="F29">
        <f>COUNTIFS(Table1[Genre],'Legacy Berekeningen'!$A3,Table1[Meister],$A$28,Table1[Rnd],"&lt;="&amp;F$8)+COUNTIFS(Table1[Optioneel genre],'Legacy Berekeningen'!$A3,Table1[Meister],$A$28,Table1[Rnd],"&lt;="&amp;F$8)</f>
        <v>1</v>
      </c>
      <c r="G29">
        <f>COUNTIFS(Table1[Genre],'Legacy Berekeningen'!$A3,Table1[Meister],$A$28,Table1[Rnd],"&lt;="&amp;G$8)+COUNTIFS(Table1[Optioneel genre],'Legacy Berekeningen'!$A3,Table1[Meister],$A$28,Table1[Rnd],"&lt;="&amp;G$8)</f>
        <v>1</v>
      </c>
      <c r="H29">
        <f>COUNTIFS(Table1[Genre],'Legacy Berekeningen'!$A3,Table1[Meister],$A$28,Table1[Rnd],"&lt;="&amp;H$8)+COUNTIFS(Table1[Optioneel genre],'Legacy Berekeningen'!$A3,Table1[Meister],$A$28,Table1[Rnd],"&lt;="&amp;H$8)</f>
        <v>2</v>
      </c>
      <c r="I29">
        <f>COUNTIFS(Table1[Genre],'Legacy Berekeningen'!$A3,Table1[Meister],$A$28,Table1[Rnd],"&lt;="&amp;I$8)+COUNTIFS(Table1[Optioneel genre],'Legacy Berekeningen'!$A3,Table1[Meister],$A$28,Table1[Rnd],"&lt;="&amp;I$8)</f>
        <v>3</v>
      </c>
      <c r="J29">
        <f>COUNTIFS(Table1[Genre],'Legacy Berekeningen'!$A3,Table1[Meister],$A$28,Table1[Rnd],"&lt;="&amp;J$8)+COUNTIFS(Table1[Optioneel genre],'Legacy Berekeningen'!$A3,Table1[Meister],$A$28,Table1[Rnd],"&lt;="&amp;J$8)</f>
        <v>3</v>
      </c>
      <c r="K29">
        <f>COUNTIFS(Table1[Genre],'Legacy Berekeningen'!$A3,Table1[Meister],$A$28,Table1[Rnd],"&lt;="&amp;K$8)+COUNTIFS(Table1[Optioneel genre],'Legacy Berekeningen'!$A3,Table1[Meister],$A$28,Table1[Rnd],"&lt;="&amp;K$8)</f>
        <v>3</v>
      </c>
      <c r="L29">
        <f>COUNTIFS(Table1[Genre],'Legacy Berekeningen'!$A3,Table1[Meister],$A$28,Table1[Rnd],"&lt;="&amp;L$8)+COUNTIFS(Table1[Optioneel genre],'Legacy Berekeningen'!$A3,Table1[Meister],$A$28,Table1[Rnd],"&lt;="&amp;L$8)</f>
        <v>3</v>
      </c>
      <c r="M29">
        <f>COUNTIFS(Table1[Genre],'Legacy Berekeningen'!$A3,Table1[Meister],$A$28,Table1[Rnd],"&lt;="&amp;M$8)+COUNTIFS(Table1[Optioneel genre],'Legacy Berekeningen'!$A3,Table1[Meister],$A$28,Table1[Rnd],"&lt;="&amp;M$8)</f>
        <v>3</v>
      </c>
      <c r="N29">
        <f>COUNTIFS(Table1[Genre],'Legacy Berekeningen'!$A3,Table1[Meister],$A$28,Table1[Rnd],"&lt;="&amp;N$8)+COUNTIFS(Table1[Optioneel genre],'Legacy Berekeningen'!$A3,Table1[Meister],$A$28,Table1[Rnd],"&lt;="&amp;N$8)</f>
        <v>3</v>
      </c>
    </row>
    <row r="30" spans="1:14">
      <c r="A30" s="2" t="s">
        <v>34</v>
      </c>
      <c r="B30">
        <f>COUNTIFS(Table1[Genre],'Legacy Berekeningen'!$A4,Table1[Meister],$A$28,Table1[Rnd],"&lt;="&amp;B$8)+COUNTIFS(Table1[Optioneel genre],'Legacy Berekeningen'!$A4,Table1[Meister],$A$28,Table1[Rnd],"&lt;="&amp;B$8)</f>
        <v>0</v>
      </c>
      <c r="C30">
        <f>COUNTIFS(Table1[Genre],'Legacy Berekeningen'!$A4,Table1[Meister],$A$28,Table1[Rnd],"&lt;="&amp;C$8)+COUNTIFS(Table1[Optioneel genre],'Legacy Berekeningen'!$A4,Table1[Meister],$A$28,Table1[Rnd],"&lt;="&amp;C$8)</f>
        <v>0</v>
      </c>
      <c r="D30">
        <f>COUNTIFS(Table1[Genre],'Legacy Berekeningen'!$A4,Table1[Meister],$A$28,Table1[Rnd],"&lt;="&amp;D$8)+COUNTIFS(Table1[Optioneel genre],'Legacy Berekeningen'!$A4,Table1[Meister],$A$28,Table1[Rnd],"&lt;="&amp;D$8)</f>
        <v>0</v>
      </c>
      <c r="E30">
        <f>COUNTIFS(Table1[Genre],'Legacy Berekeningen'!$A4,Table1[Meister],$A$28,Table1[Rnd],"&lt;="&amp;E$8)+COUNTIFS(Table1[Optioneel genre],'Legacy Berekeningen'!$A4,Table1[Meister],$A$28,Table1[Rnd],"&lt;="&amp;E$8)</f>
        <v>0</v>
      </c>
      <c r="F30">
        <f>COUNTIFS(Table1[Genre],'Legacy Berekeningen'!$A4,Table1[Meister],$A$28,Table1[Rnd],"&lt;="&amp;F$8)+COUNTIFS(Table1[Optioneel genre],'Legacy Berekeningen'!$A4,Table1[Meister],$A$28,Table1[Rnd],"&lt;="&amp;F$8)</f>
        <v>1</v>
      </c>
      <c r="G30">
        <f>COUNTIFS(Table1[Genre],'Legacy Berekeningen'!$A4,Table1[Meister],$A$28,Table1[Rnd],"&lt;="&amp;G$8)+COUNTIFS(Table1[Optioneel genre],'Legacy Berekeningen'!$A4,Table1[Meister],$A$28,Table1[Rnd],"&lt;="&amp;G$8)</f>
        <v>1</v>
      </c>
      <c r="H30">
        <f>COUNTIFS(Table1[Genre],'Legacy Berekeningen'!$A4,Table1[Meister],$A$28,Table1[Rnd],"&lt;="&amp;H$8)+COUNTIFS(Table1[Optioneel genre],'Legacy Berekeningen'!$A4,Table1[Meister],$A$28,Table1[Rnd],"&lt;="&amp;H$8)</f>
        <v>1</v>
      </c>
      <c r="I30">
        <f>COUNTIFS(Table1[Genre],'Legacy Berekeningen'!$A4,Table1[Meister],$A$28,Table1[Rnd],"&lt;="&amp;I$8)+COUNTIFS(Table1[Optioneel genre],'Legacy Berekeningen'!$A4,Table1[Meister],$A$28,Table1[Rnd],"&lt;="&amp;I$8)</f>
        <v>1</v>
      </c>
      <c r="J30">
        <f>COUNTIFS(Table1[Genre],'Legacy Berekeningen'!$A4,Table1[Meister],$A$28,Table1[Rnd],"&lt;="&amp;J$8)+COUNTIFS(Table1[Optioneel genre],'Legacy Berekeningen'!$A4,Table1[Meister],$A$28,Table1[Rnd],"&lt;="&amp;J$8)</f>
        <v>1</v>
      </c>
      <c r="K30">
        <f>COUNTIFS(Table1[Genre],'Legacy Berekeningen'!$A4,Table1[Meister],$A$28,Table1[Rnd],"&lt;="&amp;K$8)+COUNTIFS(Table1[Optioneel genre],'Legacy Berekeningen'!$A4,Table1[Meister],$A$28,Table1[Rnd],"&lt;="&amp;K$8)</f>
        <v>1</v>
      </c>
      <c r="L30">
        <f>COUNTIFS(Table1[Genre],'Legacy Berekeningen'!$A4,Table1[Meister],$A$28,Table1[Rnd],"&lt;="&amp;L$8)+COUNTIFS(Table1[Optioneel genre],'Legacy Berekeningen'!$A4,Table1[Meister],$A$28,Table1[Rnd],"&lt;="&amp;L$8)</f>
        <v>1</v>
      </c>
      <c r="M30">
        <f>COUNTIFS(Table1[Genre],'Legacy Berekeningen'!$A4,Table1[Meister],$A$28,Table1[Rnd],"&lt;="&amp;M$8)+COUNTIFS(Table1[Optioneel genre],'Legacy Berekeningen'!$A4,Table1[Meister],$A$28,Table1[Rnd],"&lt;="&amp;M$8)</f>
        <v>1</v>
      </c>
      <c r="N30">
        <f>COUNTIFS(Table1[Genre],'Legacy Berekeningen'!$A4,Table1[Meister],$A$28,Table1[Rnd],"&lt;="&amp;N$8)+COUNTIFS(Table1[Optioneel genre],'Legacy Berekeningen'!$A4,Table1[Meister],$A$28,Table1[Rnd],"&lt;="&amp;N$8)</f>
        <v>1</v>
      </c>
    </row>
    <row r="31" spans="1:14">
      <c r="A31" s="2" t="s">
        <v>16</v>
      </c>
      <c r="B31">
        <f>COUNTIFS(Table1[Genre],'Legacy Berekeningen'!$A5,Table1[Meister],$A$28,Table1[Rnd],"&lt;="&amp;B$8)+COUNTIFS(Table1[Optioneel genre],'Legacy Berekeningen'!$A5,Table1[Meister],$A$28,Table1[Rnd],"&lt;="&amp;B$8)</f>
        <v>0</v>
      </c>
      <c r="C31">
        <f>COUNTIFS(Table1[Genre],'Legacy Berekeningen'!$A5,Table1[Meister],$A$28,Table1[Rnd],"&lt;="&amp;C$8)+COUNTIFS(Table1[Optioneel genre],'Legacy Berekeningen'!$A5,Table1[Meister],$A$28,Table1[Rnd],"&lt;="&amp;C$8)</f>
        <v>0</v>
      </c>
      <c r="D31">
        <f>COUNTIFS(Table1[Genre],'Legacy Berekeningen'!$A5,Table1[Meister],$A$28,Table1[Rnd],"&lt;="&amp;D$8)+COUNTIFS(Table1[Optioneel genre],'Legacy Berekeningen'!$A5,Table1[Meister],$A$28,Table1[Rnd],"&lt;="&amp;D$8)</f>
        <v>0</v>
      </c>
      <c r="E31">
        <f>COUNTIFS(Table1[Genre],'Legacy Berekeningen'!$A5,Table1[Meister],$A$28,Table1[Rnd],"&lt;="&amp;E$8)+COUNTIFS(Table1[Optioneel genre],'Legacy Berekeningen'!$A5,Table1[Meister],$A$28,Table1[Rnd],"&lt;="&amp;E$8)</f>
        <v>0</v>
      </c>
      <c r="F31">
        <f>COUNTIFS(Table1[Genre],'Legacy Berekeningen'!$A5,Table1[Meister],$A$28,Table1[Rnd],"&lt;="&amp;F$8)+COUNTIFS(Table1[Optioneel genre],'Legacy Berekeningen'!$A5,Table1[Meister],$A$28,Table1[Rnd],"&lt;="&amp;F$8)</f>
        <v>1</v>
      </c>
      <c r="G31">
        <f>COUNTIFS(Table1[Genre],'Legacy Berekeningen'!$A5,Table1[Meister],$A$28,Table1[Rnd],"&lt;="&amp;G$8)+COUNTIFS(Table1[Optioneel genre],'Legacy Berekeningen'!$A5,Table1[Meister],$A$28,Table1[Rnd],"&lt;="&amp;G$8)</f>
        <v>1</v>
      </c>
      <c r="H31">
        <f>COUNTIFS(Table1[Genre],'Legacy Berekeningen'!$A5,Table1[Meister],$A$28,Table1[Rnd],"&lt;="&amp;H$8)+COUNTIFS(Table1[Optioneel genre],'Legacy Berekeningen'!$A5,Table1[Meister],$A$28,Table1[Rnd],"&lt;="&amp;H$8)</f>
        <v>1</v>
      </c>
      <c r="I31">
        <f>COUNTIFS(Table1[Genre],'Legacy Berekeningen'!$A5,Table1[Meister],$A$28,Table1[Rnd],"&lt;="&amp;I$8)+COUNTIFS(Table1[Optioneel genre],'Legacy Berekeningen'!$A5,Table1[Meister],$A$28,Table1[Rnd],"&lt;="&amp;I$8)</f>
        <v>1</v>
      </c>
      <c r="J31">
        <f>COUNTIFS(Table1[Genre],'Legacy Berekeningen'!$A5,Table1[Meister],$A$28,Table1[Rnd],"&lt;="&amp;J$8)+COUNTIFS(Table1[Optioneel genre],'Legacy Berekeningen'!$A5,Table1[Meister],$A$28,Table1[Rnd],"&lt;="&amp;J$8)</f>
        <v>1</v>
      </c>
      <c r="K31">
        <f>COUNTIFS(Table1[Genre],'Legacy Berekeningen'!$A5,Table1[Meister],$A$28,Table1[Rnd],"&lt;="&amp;K$8)+COUNTIFS(Table1[Optioneel genre],'Legacy Berekeningen'!$A5,Table1[Meister],$A$28,Table1[Rnd],"&lt;="&amp;K$8)</f>
        <v>1</v>
      </c>
      <c r="L31">
        <f>COUNTIFS(Table1[Genre],'Legacy Berekeningen'!$A5,Table1[Meister],$A$28,Table1[Rnd],"&lt;="&amp;L$8)+COUNTIFS(Table1[Optioneel genre],'Legacy Berekeningen'!$A5,Table1[Meister],$A$28,Table1[Rnd],"&lt;="&amp;L$8)</f>
        <v>1</v>
      </c>
      <c r="M31">
        <f>COUNTIFS(Table1[Genre],'Legacy Berekeningen'!$A5,Table1[Meister],$A$28,Table1[Rnd],"&lt;="&amp;M$8)+COUNTIFS(Table1[Optioneel genre],'Legacy Berekeningen'!$A5,Table1[Meister],$A$28,Table1[Rnd],"&lt;="&amp;M$8)</f>
        <v>1</v>
      </c>
      <c r="N31">
        <f>COUNTIFS(Table1[Genre],'Legacy Berekeningen'!$A5,Table1[Meister],$A$28,Table1[Rnd],"&lt;="&amp;N$8)+COUNTIFS(Table1[Optioneel genre],'Legacy Berekeningen'!$A5,Table1[Meister],$A$28,Table1[Rnd],"&lt;="&amp;N$8)</f>
        <v>1</v>
      </c>
    </row>
    <row r="32" spans="1:14">
      <c r="A32" s="2" t="s">
        <v>41</v>
      </c>
      <c r="B32">
        <f>COUNTIFS(Table1[Genre],'Legacy Berekeningen'!$A6,Table1[Meister],$A$28,Table1[Rnd],"&lt;="&amp;B$8)+COUNTIFS(Table1[Optioneel genre],'Legacy Berekeningen'!$A6,Table1[Meister],$A$28,Table1[Rnd],"&lt;="&amp;B$8)</f>
        <v>0</v>
      </c>
      <c r="C32">
        <f>COUNTIFS(Table1[Genre],'Legacy Berekeningen'!$A6,Table1[Meister],$A$28,Table1[Rnd],"&lt;="&amp;C$8)+COUNTIFS(Table1[Optioneel genre],'Legacy Berekeningen'!$A6,Table1[Meister],$A$28,Table1[Rnd],"&lt;="&amp;C$8)</f>
        <v>0</v>
      </c>
      <c r="D32">
        <f>COUNTIFS(Table1[Genre],'Legacy Berekeningen'!$A6,Table1[Meister],$A$28,Table1[Rnd],"&lt;="&amp;D$8)+COUNTIFS(Table1[Optioneel genre],'Legacy Berekeningen'!$A6,Table1[Meister],$A$28,Table1[Rnd],"&lt;="&amp;D$8)</f>
        <v>0</v>
      </c>
      <c r="E32">
        <f>COUNTIFS(Table1[Genre],'Legacy Berekeningen'!$A6,Table1[Meister],$A$28,Table1[Rnd],"&lt;="&amp;E$8)+COUNTIFS(Table1[Optioneel genre],'Legacy Berekeningen'!$A6,Table1[Meister],$A$28,Table1[Rnd],"&lt;="&amp;E$8)</f>
        <v>0</v>
      </c>
      <c r="F32">
        <f>COUNTIFS(Table1[Genre],'Legacy Berekeningen'!$A6,Table1[Meister],$A$28,Table1[Rnd],"&lt;="&amp;F$8)+COUNTIFS(Table1[Optioneel genre],'Legacy Berekeningen'!$A6,Table1[Meister],$A$28,Table1[Rnd],"&lt;="&amp;F$8)</f>
        <v>0</v>
      </c>
      <c r="G32">
        <f>COUNTIFS(Table1[Genre],'Legacy Berekeningen'!$A6,Table1[Meister],$A$28,Table1[Rnd],"&lt;="&amp;G$8)+COUNTIFS(Table1[Optioneel genre],'Legacy Berekeningen'!$A6,Table1[Meister],$A$28,Table1[Rnd],"&lt;="&amp;G$8)</f>
        <v>0</v>
      </c>
      <c r="H32">
        <f>COUNTIFS(Table1[Genre],'Legacy Berekeningen'!$A6,Table1[Meister],$A$28,Table1[Rnd],"&lt;="&amp;H$8)+COUNTIFS(Table1[Optioneel genre],'Legacy Berekeningen'!$A6,Table1[Meister],$A$28,Table1[Rnd],"&lt;="&amp;H$8)</f>
        <v>0</v>
      </c>
      <c r="I32">
        <f>COUNTIFS(Table1[Genre],'Legacy Berekeningen'!$A6,Table1[Meister],$A$28,Table1[Rnd],"&lt;="&amp;I$8)+COUNTIFS(Table1[Optioneel genre],'Legacy Berekeningen'!$A6,Table1[Meister],$A$28,Table1[Rnd],"&lt;="&amp;I$8)</f>
        <v>0</v>
      </c>
      <c r="J32">
        <f>COUNTIFS(Table1[Genre],'Legacy Berekeningen'!$A6,Table1[Meister],$A$28,Table1[Rnd],"&lt;="&amp;J$8)+COUNTIFS(Table1[Optioneel genre],'Legacy Berekeningen'!$A6,Table1[Meister],$A$28,Table1[Rnd],"&lt;="&amp;J$8)</f>
        <v>0</v>
      </c>
      <c r="K32">
        <f>COUNTIFS(Table1[Genre],'Legacy Berekeningen'!$A6,Table1[Meister],$A$28,Table1[Rnd],"&lt;="&amp;K$8)+COUNTIFS(Table1[Optioneel genre],'Legacy Berekeningen'!$A6,Table1[Meister],$A$28,Table1[Rnd],"&lt;="&amp;K$8)</f>
        <v>0</v>
      </c>
      <c r="L32">
        <f>COUNTIFS(Table1[Genre],'Legacy Berekeningen'!$A6,Table1[Meister],$A$28,Table1[Rnd],"&lt;="&amp;L$8)+COUNTIFS(Table1[Optioneel genre],'Legacy Berekeningen'!$A6,Table1[Meister],$A$28,Table1[Rnd],"&lt;="&amp;L$8)</f>
        <v>0</v>
      </c>
      <c r="M32">
        <f>COUNTIFS(Table1[Genre],'Legacy Berekeningen'!$A6,Table1[Meister],$A$28,Table1[Rnd],"&lt;="&amp;M$8)+COUNTIFS(Table1[Optioneel genre],'Legacy Berekeningen'!$A6,Table1[Meister],$A$28,Table1[Rnd],"&lt;="&amp;M$8)</f>
        <v>1</v>
      </c>
      <c r="N32">
        <f>COUNTIFS(Table1[Genre],'Legacy Berekeningen'!$A6,Table1[Meister],$A$28,Table1[Rnd],"&lt;="&amp;N$8)+COUNTIFS(Table1[Optioneel genre],'Legacy Berekeningen'!$A6,Table1[Meister],$A$28,Table1[Rnd],"&lt;="&amp;N$8)</f>
        <v>1</v>
      </c>
    </row>
    <row r="33" spans="1:14">
      <c r="A33" s="2" t="s">
        <v>17</v>
      </c>
      <c r="B33">
        <f>COUNTIFS(Table1[Genre],'Legacy Berekeningen'!$A7,Table1[Meister],$A$28,Table1[Rnd],"&lt;="&amp;B$8)+COUNTIFS(Table1[Optioneel genre],'Legacy Berekeningen'!$A7,Table1[Meister],$A$28,Table1[Rnd],"&lt;="&amp;B$8)</f>
        <v>0</v>
      </c>
      <c r="C33">
        <f>COUNTIFS(Table1[Genre],'Legacy Berekeningen'!$A7,Table1[Meister],$A$28,Table1[Rnd],"&lt;="&amp;C$8)+COUNTIFS(Table1[Optioneel genre],'Legacy Berekeningen'!$A7,Table1[Meister],$A$28,Table1[Rnd],"&lt;="&amp;C$8)</f>
        <v>0</v>
      </c>
      <c r="D33">
        <f>COUNTIFS(Table1[Genre],'Legacy Berekeningen'!$A7,Table1[Meister],$A$28,Table1[Rnd],"&lt;="&amp;D$8)+COUNTIFS(Table1[Optioneel genre],'Legacy Berekeningen'!$A7,Table1[Meister],$A$28,Table1[Rnd],"&lt;="&amp;D$8)</f>
        <v>1</v>
      </c>
      <c r="E33">
        <f>COUNTIFS(Table1[Genre],'Legacy Berekeningen'!$A7,Table1[Meister],$A$28,Table1[Rnd],"&lt;="&amp;E$8)+COUNTIFS(Table1[Optioneel genre],'Legacy Berekeningen'!$A7,Table1[Meister],$A$28,Table1[Rnd],"&lt;="&amp;E$8)</f>
        <v>2</v>
      </c>
      <c r="F33">
        <f>COUNTIFS(Table1[Genre],'Legacy Berekeningen'!$A7,Table1[Meister],$A$28,Table1[Rnd],"&lt;="&amp;F$8)+COUNTIFS(Table1[Optioneel genre],'Legacy Berekeningen'!$A7,Table1[Meister],$A$28,Table1[Rnd],"&lt;="&amp;F$8)</f>
        <v>2</v>
      </c>
      <c r="G33">
        <f>COUNTIFS(Table1[Genre],'Legacy Berekeningen'!$A7,Table1[Meister],$A$28,Table1[Rnd],"&lt;="&amp;G$8)+COUNTIFS(Table1[Optioneel genre],'Legacy Berekeningen'!$A7,Table1[Meister],$A$28,Table1[Rnd],"&lt;="&amp;G$8)</f>
        <v>2</v>
      </c>
      <c r="H33">
        <f>COUNTIFS(Table1[Genre],'Legacy Berekeningen'!$A7,Table1[Meister],$A$28,Table1[Rnd],"&lt;="&amp;H$8)+COUNTIFS(Table1[Optioneel genre],'Legacy Berekeningen'!$A7,Table1[Meister],$A$28,Table1[Rnd],"&lt;="&amp;H$8)</f>
        <v>2</v>
      </c>
      <c r="I33">
        <f>COUNTIFS(Table1[Genre],'Legacy Berekeningen'!$A7,Table1[Meister],$A$28,Table1[Rnd],"&lt;="&amp;I$8)+COUNTIFS(Table1[Optioneel genre],'Legacy Berekeningen'!$A7,Table1[Meister],$A$28,Table1[Rnd],"&lt;="&amp;I$8)</f>
        <v>2</v>
      </c>
      <c r="J33">
        <f>COUNTIFS(Table1[Genre],'Legacy Berekeningen'!$A7,Table1[Meister],$A$28,Table1[Rnd],"&lt;="&amp;J$8)+COUNTIFS(Table1[Optioneel genre],'Legacy Berekeningen'!$A7,Table1[Meister],$A$28,Table1[Rnd],"&lt;="&amp;J$8)</f>
        <v>2</v>
      </c>
      <c r="K33">
        <f>COUNTIFS(Table1[Genre],'Legacy Berekeningen'!$A7,Table1[Meister],$A$28,Table1[Rnd],"&lt;="&amp;K$8)+COUNTIFS(Table1[Optioneel genre],'Legacy Berekeningen'!$A7,Table1[Meister],$A$28,Table1[Rnd],"&lt;="&amp;K$8)</f>
        <v>2</v>
      </c>
      <c r="L33">
        <f>COUNTIFS(Table1[Genre],'Legacy Berekeningen'!$A7,Table1[Meister],$A$28,Table1[Rnd],"&lt;="&amp;L$8)+COUNTIFS(Table1[Optioneel genre],'Legacy Berekeningen'!$A7,Table1[Meister],$A$28,Table1[Rnd],"&lt;="&amp;L$8)</f>
        <v>3</v>
      </c>
      <c r="M33">
        <f>COUNTIFS(Table1[Genre],'Legacy Berekeningen'!$A7,Table1[Meister],$A$28,Table1[Rnd],"&lt;="&amp;M$8)+COUNTIFS(Table1[Optioneel genre],'Legacy Berekeningen'!$A7,Table1[Meister],$A$28,Table1[Rnd],"&lt;="&amp;M$8)</f>
        <v>3</v>
      </c>
      <c r="N33">
        <f>COUNTIFS(Table1[Genre],'Legacy Berekeningen'!$A7,Table1[Meister],$A$28,Table1[Rnd],"&lt;="&amp;N$8)+COUNTIFS(Table1[Optioneel genre],'Legacy Berekeningen'!$A7,Table1[Meister],$A$28,Table1[Rnd],"&lt;="&amp;N$8)</f>
        <v>3</v>
      </c>
    </row>
    <row r="34" spans="1:14">
      <c r="A34" s="2" t="s">
        <v>25</v>
      </c>
      <c r="B34">
        <f>COUNTIFS(Table1[Genre],'Legacy Berekeningen'!$A8,Table1[Meister],$A$28,Table1[Rnd],"&lt;="&amp;B$8)+COUNTIFS(Table1[Optioneel genre],'Legacy Berekeningen'!$A8,Table1[Meister],$A$28,Table1[Rnd],"&lt;="&amp;B$8)</f>
        <v>1</v>
      </c>
      <c r="C34">
        <f>COUNTIFS(Table1[Genre],'Legacy Berekeningen'!$A8,Table1[Meister],$A$28,Table1[Rnd],"&lt;="&amp;C$8)+COUNTIFS(Table1[Optioneel genre],'Legacy Berekeningen'!$A8,Table1[Meister],$A$28,Table1[Rnd],"&lt;="&amp;C$8)</f>
        <v>2</v>
      </c>
      <c r="D34">
        <f>COUNTIFS(Table1[Genre],'Legacy Berekeningen'!$A8,Table1[Meister],$A$28,Table1[Rnd],"&lt;="&amp;D$8)+COUNTIFS(Table1[Optioneel genre],'Legacy Berekeningen'!$A8,Table1[Meister],$A$28,Table1[Rnd],"&lt;="&amp;D$8)</f>
        <v>2</v>
      </c>
      <c r="E34">
        <f>COUNTIFS(Table1[Genre],'Legacy Berekeningen'!$A8,Table1[Meister],$A$28,Table1[Rnd],"&lt;="&amp;E$8)+COUNTIFS(Table1[Optioneel genre],'Legacy Berekeningen'!$A8,Table1[Meister],$A$28,Table1[Rnd],"&lt;="&amp;E$8)</f>
        <v>2</v>
      </c>
      <c r="F34">
        <f>COUNTIFS(Table1[Genre],'Legacy Berekeningen'!$A8,Table1[Meister],$A$28,Table1[Rnd],"&lt;="&amp;F$8)+COUNTIFS(Table1[Optioneel genre],'Legacy Berekeningen'!$A8,Table1[Meister],$A$28,Table1[Rnd],"&lt;="&amp;F$8)</f>
        <v>2</v>
      </c>
      <c r="G34">
        <f>COUNTIFS(Table1[Genre],'Legacy Berekeningen'!$A8,Table1[Meister],$A$28,Table1[Rnd],"&lt;="&amp;G$8)+COUNTIFS(Table1[Optioneel genre],'Legacy Berekeningen'!$A8,Table1[Meister],$A$28,Table1[Rnd],"&lt;="&amp;G$8)</f>
        <v>3</v>
      </c>
      <c r="H34">
        <f>COUNTIFS(Table1[Genre],'Legacy Berekeningen'!$A8,Table1[Meister],$A$28,Table1[Rnd],"&lt;="&amp;H$8)+COUNTIFS(Table1[Optioneel genre],'Legacy Berekeningen'!$A8,Table1[Meister],$A$28,Table1[Rnd],"&lt;="&amp;H$8)</f>
        <v>3</v>
      </c>
      <c r="I34">
        <f>COUNTIFS(Table1[Genre],'Legacy Berekeningen'!$A8,Table1[Meister],$A$28,Table1[Rnd],"&lt;="&amp;I$8)+COUNTIFS(Table1[Optioneel genre],'Legacy Berekeningen'!$A8,Table1[Meister],$A$28,Table1[Rnd],"&lt;="&amp;I$8)</f>
        <v>4</v>
      </c>
      <c r="J34">
        <f>COUNTIFS(Table1[Genre],'Legacy Berekeningen'!$A8,Table1[Meister],$A$28,Table1[Rnd],"&lt;="&amp;J$8)+COUNTIFS(Table1[Optioneel genre],'Legacy Berekeningen'!$A8,Table1[Meister],$A$28,Table1[Rnd],"&lt;="&amp;J$8)</f>
        <v>5</v>
      </c>
      <c r="K34">
        <f>COUNTIFS(Table1[Genre],'Legacy Berekeningen'!$A8,Table1[Meister],$A$28,Table1[Rnd],"&lt;="&amp;K$8)+COUNTIFS(Table1[Optioneel genre],'Legacy Berekeningen'!$A8,Table1[Meister],$A$28,Table1[Rnd],"&lt;="&amp;K$8)</f>
        <v>5</v>
      </c>
      <c r="L34">
        <f>COUNTIFS(Table1[Genre],'Legacy Berekeningen'!$A8,Table1[Meister],$A$28,Table1[Rnd],"&lt;="&amp;L$8)+COUNTIFS(Table1[Optioneel genre],'Legacy Berekeningen'!$A8,Table1[Meister],$A$28,Table1[Rnd],"&lt;="&amp;L$8)</f>
        <v>5</v>
      </c>
      <c r="M34">
        <f>COUNTIFS(Table1[Genre],'Legacy Berekeningen'!$A8,Table1[Meister],$A$28,Table1[Rnd],"&lt;="&amp;M$8)+COUNTIFS(Table1[Optioneel genre],'Legacy Berekeningen'!$A8,Table1[Meister],$A$28,Table1[Rnd],"&lt;="&amp;M$8)</f>
        <v>5</v>
      </c>
      <c r="N34">
        <f>COUNTIFS(Table1[Genre],'Legacy Berekeningen'!$A8,Table1[Meister],$A$28,Table1[Rnd],"&lt;="&amp;N$8)+COUNTIFS(Table1[Optioneel genre],'Legacy Berekeningen'!$A8,Table1[Meister],$A$28,Table1[Rnd],"&lt;="&amp;N$8)</f>
        <v>5</v>
      </c>
    </row>
    <row r="35" spans="1:14">
      <c r="A35" s="2" t="s">
        <v>81</v>
      </c>
      <c r="B35">
        <f>COUNTIFS(Table1[Genre],'Legacy Berekeningen'!$A9,Table1[Meister],$A$28,Table1[Rnd],"&lt;="&amp;B$8)+COUNTIFS(Table1[Optioneel genre],'Legacy Berekeningen'!$A9,Table1[Meister],$A$28,Table1[Rnd],"&lt;="&amp;B$8)</f>
        <v>0</v>
      </c>
      <c r="C35">
        <f>COUNTIFS(Table1[Genre],'Legacy Berekeningen'!$A9,Table1[Meister],$A$28,Table1[Rnd],"&lt;="&amp;C$8)+COUNTIFS(Table1[Optioneel genre],'Legacy Berekeningen'!$A9,Table1[Meister],$A$28,Table1[Rnd],"&lt;="&amp;C$8)</f>
        <v>0</v>
      </c>
      <c r="D35">
        <f>COUNTIFS(Table1[Genre],'Legacy Berekeningen'!$A9,Table1[Meister],$A$28,Table1[Rnd],"&lt;="&amp;D$8)+COUNTIFS(Table1[Optioneel genre],'Legacy Berekeningen'!$A9,Table1[Meister],$A$28,Table1[Rnd],"&lt;="&amp;D$8)</f>
        <v>0</v>
      </c>
      <c r="E35">
        <f>COUNTIFS(Table1[Genre],'Legacy Berekeningen'!$A9,Table1[Meister],$A$28,Table1[Rnd],"&lt;="&amp;E$8)+COUNTIFS(Table1[Optioneel genre],'Legacy Berekeningen'!$A9,Table1[Meister],$A$28,Table1[Rnd],"&lt;="&amp;E$8)</f>
        <v>0</v>
      </c>
      <c r="F35">
        <f>COUNTIFS(Table1[Genre],'Legacy Berekeningen'!$A9,Table1[Meister],$A$28,Table1[Rnd],"&lt;="&amp;F$8)+COUNTIFS(Table1[Optioneel genre],'Legacy Berekeningen'!$A9,Table1[Meister],$A$28,Table1[Rnd],"&lt;="&amp;F$8)</f>
        <v>0</v>
      </c>
      <c r="G35">
        <f>COUNTIFS(Table1[Genre],'Legacy Berekeningen'!$A9,Table1[Meister],$A$28,Table1[Rnd],"&lt;="&amp;G$8)+COUNTIFS(Table1[Optioneel genre],'Legacy Berekeningen'!$A9,Table1[Meister],$A$28,Table1[Rnd],"&lt;="&amp;G$8)</f>
        <v>0</v>
      </c>
      <c r="H35">
        <f>COUNTIFS(Table1[Genre],'Legacy Berekeningen'!$A9,Table1[Meister],$A$28,Table1[Rnd],"&lt;="&amp;H$8)+COUNTIFS(Table1[Optioneel genre],'Legacy Berekeningen'!$A9,Table1[Meister],$A$28,Table1[Rnd],"&lt;="&amp;H$8)</f>
        <v>0</v>
      </c>
      <c r="I35">
        <f>COUNTIFS(Table1[Genre],'Legacy Berekeningen'!$A9,Table1[Meister],$A$28,Table1[Rnd],"&lt;="&amp;I$8)+COUNTIFS(Table1[Optioneel genre],'Legacy Berekeningen'!$A9,Table1[Meister],$A$28,Table1[Rnd],"&lt;="&amp;I$8)</f>
        <v>0</v>
      </c>
      <c r="J35">
        <f>COUNTIFS(Table1[Genre],'Legacy Berekeningen'!$A9,Table1[Meister],$A$28,Table1[Rnd],"&lt;="&amp;J$8)+COUNTIFS(Table1[Optioneel genre],'Legacy Berekeningen'!$A9,Table1[Meister],$A$28,Table1[Rnd],"&lt;="&amp;J$8)</f>
        <v>0</v>
      </c>
      <c r="K35">
        <f>COUNTIFS(Table1[Genre],'Legacy Berekeningen'!$A9,Table1[Meister],$A$28,Table1[Rnd],"&lt;="&amp;K$8)+COUNTIFS(Table1[Optioneel genre],'Legacy Berekeningen'!$A9,Table1[Meister],$A$28,Table1[Rnd],"&lt;="&amp;K$8)</f>
        <v>0</v>
      </c>
      <c r="L35">
        <f>COUNTIFS(Table1[Genre],'Legacy Berekeningen'!$A9,Table1[Meister],$A$28,Table1[Rnd],"&lt;="&amp;L$8)+COUNTIFS(Table1[Optioneel genre],'Legacy Berekeningen'!$A9,Table1[Meister],$A$28,Table1[Rnd],"&lt;="&amp;L$8)</f>
        <v>0</v>
      </c>
      <c r="M35">
        <f>COUNTIFS(Table1[Genre],'Legacy Berekeningen'!$A9,Table1[Meister],$A$28,Table1[Rnd],"&lt;="&amp;M$8)+COUNTIFS(Table1[Optioneel genre],'Legacy Berekeningen'!$A9,Table1[Meister],$A$28,Table1[Rnd],"&lt;="&amp;M$8)</f>
        <v>1</v>
      </c>
      <c r="N35">
        <f>COUNTIFS(Table1[Genre],'Legacy Berekeningen'!$A9,Table1[Meister],$A$28,Table1[Rnd],"&lt;="&amp;N$8)+COUNTIFS(Table1[Optioneel genre],'Legacy Berekeningen'!$A9,Table1[Meister],$A$28,Table1[Rnd],"&lt;="&amp;N$8)</f>
        <v>1</v>
      </c>
    </row>
    <row r="36" spans="1:14">
      <c r="A36" s="2" t="s">
        <v>26</v>
      </c>
      <c r="B36">
        <f>COUNTIFS(Table1[Genre],'Legacy Berekeningen'!$A10,Table1[Meister],$A$28,Table1[Rnd],"&lt;="&amp;B$8)+COUNTIFS(Table1[Optioneel genre],'Legacy Berekeningen'!$A10,Table1[Meister],$A$28,Table1[Rnd],"&lt;="&amp;B$8)</f>
        <v>1</v>
      </c>
      <c r="C36">
        <f>COUNTIFS(Table1[Genre],'Legacy Berekeningen'!$A10,Table1[Meister],$A$28,Table1[Rnd],"&lt;="&amp;C$8)+COUNTIFS(Table1[Optioneel genre],'Legacy Berekeningen'!$A10,Table1[Meister],$A$28,Table1[Rnd],"&lt;="&amp;C$8)</f>
        <v>2</v>
      </c>
      <c r="D36">
        <f>COUNTIFS(Table1[Genre],'Legacy Berekeningen'!$A10,Table1[Meister],$A$28,Table1[Rnd],"&lt;="&amp;D$8)+COUNTIFS(Table1[Optioneel genre],'Legacy Berekeningen'!$A10,Table1[Meister],$A$28,Table1[Rnd],"&lt;="&amp;D$8)</f>
        <v>2</v>
      </c>
      <c r="E36">
        <f>COUNTIFS(Table1[Genre],'Legacy Berekeningen'!$A10,Table1[Meister],$A$28,Table1[Rnd],"&lt;="&amp;E$8)+COUNTIFS(Table1[Optioneel genre],'Legacy Berekeningen'!$A10,Table1[Meister],$A$28,Table1[Rnd],"&lt;="&amp;E$8)</f>
        <v>3</v>
      </c>
      <c r="F36">
        <f>COUNTIFS(Table1[Genre],'Legacy Berekeningen'!$A10,Table1[Meister],$A$28,Table1[Rnd],"&lt;="&amp;F$8)+COUNTIFS(Table1[Optioneel genre],'Legacy Berekeningen'!$A10,Table1[Meister],$A$28,Table1[Rnd],"&lt;="&amp;F$8)</f>
        <v>3</v>
      </c>
      <c r="G36">
        <f>COUNTIFS(Table1[Genre],'Legacy Berekeningen'!$A10,Table1[Meister],$A$28,Table1[Rnd],"&lt;="&amp;G$8)+COUNTIFS(Table1[Optioneel genre],'Legacy Berekeningen'!$A10,Table1[Meister],$A$28,Table1[Rnd],"&lt;="&amp;G$8)</f>
        <v>4</v>
      </c>
      <c r="H36">
        <f>COUNTIFS(Table1[Genre],'Legacy Berekeningen'!$A10,Table1[Meister],$A$28,Table1[Rnd],"&lt;="&amp;H$8)+COUNTIFS(Table1[Optioneel genre],'Legacy Berekeningen'!$A10,Table1[Meister],$A$28,Table1[Rnd],"&lt;="&amp;H$8)</f>
        <v>4</v>
      </c>
      <c r="I36">
        <f>COUNTIFS(Table1[Genre],'Legacy Berekeningen'!$A10,Table1[Meister],$A$28,Table1[Rnd],"&lt;="&amp;I$8)+COUNTIFS(Table1[Optioneel genre],'Legacy Berekeningen'!$A10,Table1[Meister],$A$28,Table1[Rnd],"&lt;="&amp;I$8)</f>
        <v>4</v>
      </c>
      <c r="J36">
        <f>COUNTIFS(Table1[Genre],'Legacy Berekeningen'!$A10,Table1[Meister],$A$28,Table1[Rnd],"&lt;="&amp;J$8)+COUNTIFS(Table1[Optioneel genre],'Legacy Berekeningen'!$A10,Table1[Meister],$A$28,Table1[Rnd],"&lt;="&amp;J$8)</f>
        <v>5</v>
      </c>
      <c r="K36">
        <f>COUNTIFS(Table1[Genre],'Legacy Berekeningen'!$A10,Table1[Meister],$A$28,Table1[Rnd],"&lt;="&amp;K$8)+COUNTIFS(Table1[Optioneel genre],'Legacy Berekeningen'!$A10,Table1[Meister],$A$28,Table1[Rnd],"&lt;="&amp;K$8)</f>
        <v>6</v>
      </c>
      <c r="L36">
        <f>COUNTIFS(Table1[Genre],'Legacy Berekeningen'!$A10,Table1[Meister],$A$28,Table1[Rnd],"&lt;="&amp;L$8)+COUNTIFS(Table1[Optioneel genre],'Legacy Berekeningen'!$A10,Table1[Meister],$A$28,Table1[Rnd],"&lt;="&amp;L$8)</f>
        <v>7</v>
      </c>
      <c r="M36">
        <f>COUNTIFS(Table1[Genre],'Legacy Berekeningen'!$A10,Table1[Meister],$A$28,Table1[Rnd],"&lt;="&amp;M$8)+COUNTIFS(Table1[Optioneel genre],'Legacy Berekeningen'!$A10,Table1[Meister],$A$28,Table1[Rnd],"&lt;="&amp;M$8)</f>
        <v>7</v>
      </c>
      <c r="N36">
        <f>COUNTIFS(Table1[Genre],'Legacy Berekeningen'!$A10,Table1[Meister],$A$28,Table1[Rnd],"&lt;="&amp;N$8)+COUNTIFS(Table1[Optioneel genre],'Legacy Berekeningen'!$A10,Table1[Meister],$A$28,Table1[Rnd],"&lt;="&amp;N$8)</f>
        <v>7</v>
      </c>
    </row>
    <row r="37" spans="1:14">
      <c r="A37" s="2" t="s">
        <v>74</v>
      </c>
      <c r="B37">
        <f>COUNTIFS(Table1[Genre],'Legacy Berekeningen'!$A11,Table1[Meister],$A$28,Table1[Rnd],"&lt;="&amp;B$8)+COUNTIFS(Table1[Optioneel genre],'Legacy Berekeningen'!$A11,Table1[Meister],$A$28,Table1[Rnd],"&lt;="&amp;B$8)</f>
        <v>0</v>
      </c>
      <c r="C37">
        <f>COUNTIFS(Table1[Genre],'Legacy Berekeningen'!$A11,Table1[Meister],$A$28,Table1[Rnd],"&lt;="&amp;C$8)+COUNTIFS(Table1[Optioneel genre],'Legacy Berekeningen'!$A11,Table1[Meister],$A$28,Table1[Rnd],"&lt;="&amp;C$8)</f>
        <v>0</v>
      </c>
      <c r="D37">
        <f>COUNTIFS(Table1[Genre],'Legacy Berekeningen'!$A11,Table1[Meister],$A$28,Table1[Rnd],"&lt;="&amp;D$8)+COUNTIFS(Table1[Optioneel genre],'Legacy Berekeningen'!$A11,Table1[Meister],$A$28,Table1[Rnd],"&lt;="&amp;D$8)</f>
        <v>0</v>
      </c>
      <c r="E37">
        <f>COUNTIFS(Table1[Genre],'Legacy Berekeningen'!$A11,Table1[Meister],$A$28,Table1[Rnd],"&lt;="&amp;E$8)+COUNTIFS(Table1[Optioneel genre],'Legacy Berekeningen'!$A11,Table1[Meister],$A$28,Table1[Rnd],"&lt;="&amp;E$8)</f>
        <v>0</v>
      </c>
      <c r="F37">
        <f>COUNTIFS(Table1[Genre],'Legacy Berekeningen'!$A11,Table1[Meister],$A$28,Table1[Rnd],"&lt;="&amp;F$8)+COUNTIFS(Table1[Optioneel genre],'Legacy Berekeningen'!$A11,Table1[Meister],$A$28,Table1[Rnd],"&lt;="&amp;F$8)</f>
        <v>0</v>
      </c>
      <c r="G37">
        <f>COUNTIFS(Table1[Genre],'Legacy Berekeningen'!$A11,Table1[Meister],$A$28,Table1[Rnd],"&lt;="&amp;G$8)+COUNTIFS(Table1[Optioneel genre],'Legacy Berekeningen'!$A11,Table1[Meister],$A$28,Table1[Rnd],"&lt;="&amp;G$8)</f>
        <v>0</v>
      </c>
      <c r="H37">
        <f>COUNTIFS(Table1[Genre],'Legacy Berekeningen'!$A11,Table1[Meister],$A$28,Table1[Rnd],"&lt;="&amp;H$8)+COUNTIFS(Table1[Optioneel genre],'Legacy Berekeningen'!$A11,Table1[Meister],$A$28,Table1[Rnd],"&lt;="&amp;H$8)</f>
        <v>0</v>
      </c>
      <c r="I37">
        <f>COUNTIFS(Table1[Genre],'Legacy Berekeningen'!$A11,Table1[Meister],$A$28,Table1[Rnd],"&lt;="&amp;I$8)+COUNTIFS(Table1[Optioneel genre],'Legacy Berekeningen'!$A11,Table1[Meister],$A$28,Table1[Rnd],"&lt;="&amp;I$8)</f>
        <v>0</v>
      </c>
      <c r="J37">
        <f>COUNTIFS(Table1[Genre],'Legacy Berekeningen'!$A11,Table1[Meister],$A$28,Table1[Rnd],"&lt;="&amp;J$8)+COUNTIFS(Table1[Optioneel genre],'Legacy Berekeningen'!$A11,Table1[Meister],$A$28,Table1[Rnd],"&lt;="&amp;J$8)</f>
        <v>0</v>
      </c>
      <c r="K37">
        <f>COUNTIFS(Table1[Genre],'Legacy Berekeningen'!$A11,Table1[Meister],$A$28,Table1[Rnd],"&lt;="&amp;K$8)+COUNTIFS(Table1[Optioneel genre],'Legacy Berekeningen'!$A11,Table1[Meister],$A$28,Table1[Rnd],"&lt;="&amp;K$8)</f>
        <v>0</v>
      </c>
      <c r="L37">
        <f>COUNTIFS(Table1[Genre],'Legacy Berekeningen'!$A11,Table1[Meister],$A$28,Table1[Rnd],"&lt;="&amp;L$8)+COUNTIFS(Table1[Optioneel genre],'Legacy Berekeningen'!$A11,Table1[Meister],$A$28,Table1[Rnd],"&lt;="&amp;L$8)</f>
        <v>0</v>
      </c>
      <c r="M37">
        <f>COUNTIFS(Table1[Genre],'Legacy Berekeningen'!$A11,Table1[Meister],$A$28,Table1[Rnd],"&lt;="&amp;M$8)+COUNTIFS(Table1[Optioneel genre],'Legacy Berekeningen'!$A11,Table1[Meister],$A$28,Table1[Rnd],"&lt;="&amp;M$8)</f>
        <v>0</v>
      </c>
      <c r="N37">
        <f>COUNTIFS(Table1[Genre],'Legacy Berekeningen'!$A11,Table1[Meister],$A$28,Table1[Rnd],"&lt;="&amp;N$8)+COUNTIFS(Table1[Optioneel genre],'Legacy Berekeningen'!$A11,Table1[Meister],$A$28,Table1[Rnd],"&lt;="&amp;N$8)</f>
        <v>0</v>
      </c>
    </row>
    <row r="38" spans="1:14">
      <c r="A38" s="2" t="s">
        <v>62</v>
      </c>
      <c r="B38">
        <f>COUNTIFS(Table1[Genre],'Legacy Berekeningen'!$A12,Table1[Meister],$A$28,Table1[Rnd],"&lt;="&amp;B$8)+COUNTIFS(Table1[Optioneel genre],'Legacy Berekeningen'!$A12,Table1[Meister],$A$28,Table1[Rnd],"&lt;="&amp;B$8)</f>
        <v>0</v>
      </c>
      <c r="C38">
        <f>COUNTIFS(Table1[Genre],'Legacy Berekeningen'!$A12,Table1[Meister],$A$28,Table1[Rnd],"&lt;="&amp;C$8)+COUNTIFS(Table1[Optioneel genre],'Legacy Berekeningen'!$A12,Table1[Meister],$A$28,Table1[Rnd],"&lt;="&amp;C$8)</f>
        <v>0</v>
      </c>
      <c r="D38">
        <f>COUNTIFS(Table1[Genre],'Legacy Berekeningen'!$A12,Table1[Meister],$A$28,Table1[Rnd],"&lt;="&amp;D$8)+COUNTIFS(Table1[Optioneel genre],'Legacy Berekeningen'!$A12,Table1[Meister],$A$28,Table1[Rnd],"&lt;="&amp;D$8)</f>
        <v>0</v>
      </c>
      <c r="E38">
        <f>COUNTIFS(Table1[Genre],'Legacy Berekeningen'!$A12,Table1[Meister],$A$28,Table1[Rnd],"&lt;="&amp;E$8)+COUNTIFS(Table1[Optioneel genre],'Legacy Berekeningen'!$A12,Table1[Meister],$A$28,Table1[Rnd],"&lt;="&amp;E$8)</f>
        <v>0</v>
      </c>
      <c r="F38">
        <f>COUNTIFS(Table1[Genre],'Legacy Berekeningen'!$A12,Table1[Meister],$A$28,Table1[Rnd],"&lt;="&amp;F$8)+COUNTIFS(Table1[Optioneel genre],'Legacy Berekeningen'!$A12,Table1[Meister],$A$28,Table1[Rnd],"&lt;="&amp;F$8)</f>
        <v>0</v>
      </c>
      <c r="G38">
        <f>COUNTIFS(Table1[Genre],'Legacy Berekeningen'!$A12,Table1[Meister],$A$28,Table1[Rnd],"&lt;="&amp;G$8)+COUNTIFS(Table1[Optioneel genre],'Legacy Berekeningen'!$A12,Table1[Meister],$A$28,Table1[Rnd],"&lt;="&amp;G$8)</f>
        <v>0</v>
      </c>
      <c r="H38">
        <f>COUNTIFS(Table1[Genre],'Legacy Berekeningen'!$A12,Table1[Meister],$A$28,Table1[Rnd],"&lt;="&amp;H$8)+COUNTIFS(Table1[Optioneel genre],'Legacy Berekeningen'!$A12,Table1[Meister],$A$28,Table1[Rnd],"&lt;="&amp;H$8)</f>
        <v>0</v>
      </c>
      <c r="I38">
        <f>COUNTIFS(Table1[Genre],'Legacy Berekeningen'!$A12,Table1[Meister],$A$28,Table1[Rnd],"&lt;="&amp;I$8)+COUNTIFS(Table1[Optioneel genre],'Legacy Berekeningen'!$A12,Table1[Meister],$A$28,Table1[Rnd],"&lt;="&amp;I$8)</f>
        <v>0</v>
      </c>
      <c r="J38">
        <f>COUNTIFS(Table1[Genre],'Legacy Berekeningen'!$A12,Table1[Meister],$A$28,Table1[Rnd],"&lt;="&amp;J$8)+COUNTIFS(Table1[Optioneel genre],'Legacy Berekeningen'!$A12,Table1[Meister],$A$28,Table1[Rnd],"&lt;="&amp;J$8)</f>
        <v>0</v>
      </c>
      <c r="K38">
        <f>COUNTIFS(Table1[Genre],'Legacy Berekeningen'!$A12,Table1[Meister],$A$28,Table1[Rnd],"&lt;="&amp;K$8)+COUNTIFS(Table1[Optioneel genre],'Legacy Berekeningen'!$A12,Table1[Meister],$A$28,Table1[Rnd],"&lt;="&amp;K$8)</f>
        <v>0</v>
      </c>
      <c r="L38">
        <f>COUNTIFS(Table1[Genre],'Legacy Berekeningen'!$A12,Table1[Meister],$A$28,Table1[Rnd],"&lt;="&amp;L$8)+COUNTIFS(Table1[Optioneel genre],'Legacy Berekeningen'!$A12,Table1[Meister],$A$28,Table1[Rnd],"&lt;="&amp;L$8)</f>
        <v>0</v>
      </c>
      <c r="M38">
        <f>COUNTIFS(Table1[Genre],'Legacy Berekeningen'!$A12,Table1[Meister],$A$28,Table1[Rnd],"&lt;="&amp;M$8)+COUNTIFS(Table1[Optioneel genre],'Legacy Berekeningen'!$A12,Table1[Meister],$A$28,Table1[Rnd],"&lt;="&amp;M$8)</f>
        <v>0</v>
      </c>
      <c r="N38">
        <f>COUNTIFS(Table1[Genre],'Legacy Berekeningen'!$A12,Table1[Meister],$A$28,Table1[Rnd],"&lt;="&amp;N$8)+COUNTIFS(Table1[Optioneel genre],'Legacy Berekeningen'!$A12,Table1[Meister],$A$28,Table1[Rnd],"&lt;="&amp;N$8)</f>
        <v>0</v>
      </c>
    </row>
    <row r="39" spans="1:14">
      <c r="A39" s="2" t="s">
        <v>63</v>
      </c>
      <c r="B39">
        <f>COUNTIFS(Table1[Genre],'Legacy Berekeningen'!$A13,Table1[Meister],$A$28,Table1[Rnd],"&lt;="&amp;B$8)+COUNTIFS(Table1[Optioneel genre],'Legacy Berekeningen'!$A13,Table1[Meister],$A$28,Table1[Rnd],"&lt;="&amp;B$8)</f>
        <v>0</v>
      </c>
      <c r="C39">
        <f>COUNTIFS(Table1[Genre],'Legacy Berekeningen'!$A13,Table1[Meister],$A$28,Table1[Rnd],"&lt;="&amp;C$8)+COUNTIFS(Table1[Optioneel genre],'Legacy Berekeningen'!$A13,Table1[Meister],$A$28,Table1[Rnd],"&lt;="&amp;C$8)</f>
        <v>0</v>
      </c>
      <c r="D39">
        <f>COUNTIFS(Table1[Genre],'Legacy Berekeningen'!$A13,Table1[Meister],$A$28,Table1[Rnd],"&lt;="&amp;D$8)+COUNTIFS(Table1[Optioneel genre],'Legacy Berekeningen'!$A13,Table1[Meister],$A$28,Table1[Rnd],"&lt;="&amp;D$8)</f>
        <v>0</v>
      </c>
      <c r="E39">
        <f>COUNTIFS(Table1[Genre],'Legacy Berekeningen'!$A13,Table1[Meister],$A$28,Table1[Rnd],"&lt;="&amp;E$8)+COUNTIFS(Table1[Optioneel genre],'Legacy Berekeningen'!$A13,Table1[Meister],$A$28,Table1[Rnd],"&lt;="&amp;E$8)</f>
        <v>0</v>
      </c>
      <c r="F39">
        <f>COUNTIFS(Table1[Genre],'Legacy Berekeningen'!$A13,Table1[Meister],$A$28,Table1[Rnd],"&lt;="&amp;F$8)+COUNTIFS(Table1[Optioneel genre],'Legacy Berekeningen'!$A13,Table1[Meister],$A$28,Table1[Rnd],"&lt;="&amp;F$8)</f>
        <v>0</v>
      </c>
      <c r="G39">
        <f>COUNTIFS(Table1[Genre],'Legacy Berekeningen'!$A13,Table1[Meister],$A$28,Table1[Rnd],"&lt;="&amp;G$8)+COUNTIFS(Table1[Optioneel genre],'Legacy Berekeningen'!$A13,Table1[Meister],$A$28,Table1[Rnd],"&lt;="&amp;G$8)</f>
        <v>0</v>
      </c>
      <c r="H39">
        <f>COUNTIFS(Table1[Genre],'Legacy Berekeningen'!$A13,Table1[Meister],$A$28,Table1[Rnd],"&lt;="&amp;H$8)+COUNTIFS(Table1[Optioneel genre],'Legacy Berekeningen'!$A13,Table1[Meister],$A$28,Table1[Rnd],"&lt;="&amp;H$8)</f>
        <v>0</v>
      </c>
      <c r="I39">
        <f>COUNTIFS(Table1[Genre],'Legacy Berekeningen'!$A13,Table1[Meister],$A$28,Table1[Rnd],"&lt;="&amp;I$8)+COUNTIFS(Table1[Optioneel genre],'Legacy Berekeningen'!$A13,Table1[Meister],$A$28,Table1[Rnd],"&lt;="&amp;I$8)</f>
        <v>0</v>
      </c>
      <c r="J39">
        <f>COUNTIFS(Table1[Genre],'Legacy Berekeningen'!$A13,Table1[Meister],$A$28,Table1[Rnd],"&lt;="&amp;J$8)+COUNTIFS(Table1[Optioneel genre],'Legacy Berekeningen'!$A13,Table1[Meister],$A$28,Table1[Rnd],"&lt;="&amp;J$8)</f>
        <v>0</v>
      </c>
      <c r="K39">
        <f>COUNTIFS(Table1[Genre],'Legacy Berekeningen'!$A13,Table1[Meister],$A$28,Table1[Rnd],"&lt;="&amp;K$8)+COUNTIFS(Table1[Optioneel genre],'Legacy Berekeningen'!$A13,Table1[Meister],$A$28,Table1[Rnd],"&lt;="&amp;K$8)</f>
        <v>0</v>
      </c>
      <c r="L39">
        <f>COUNTIFS(Table1[Genre],'Legacy Berekeningen'!$A13,Table1[Meister],$A$28,Table1[Rnd],"&lt;="&amp;L$8)+COUNTIFS(Table1[Optioneel genre],'Legacy Berekeningen'!$A13,Table1[Meister],$A$28,Table1[Rnd],"&lt;="&amp;L$8)</f>
        <v>0</v>
      </c>
      <c r="M39">
        <f>COUNTIFS(Table1[Genre],'Legacy Berekeningen'!$A13,Table1[Meister],$A$28,Table1[Rnd],"&lt;="&amp;M$8)+COUNTIFS(Table1[Optioneel genre],'Legacy Berekeningen'!$A13,Table1[Meister],$A$28,Table1[Rnd],"&lt;="&amp;M$8)</f>
        <v>0</v>
      </c>
      <c r="N39">
        <f>COUNTIFS(Table1[Genre],'Legacy Berekeningen'!$A13,Table1[Meister],$A$28,Table1[Rnd],"&lt;="&amp;N$8)+COUNTIFS(Table1[Optioneel genre],'Legacy Berekeningen'!$A13,Table1[Meister],$A$28,Table1[Rnd],"&lt;="&amp;N$8)</f>
        <v>0</v>
      </c>
    </row>
    <row r="40" spans="1:14">
      <c r="A40" s="2" t="s">
        <v>46</v>
      </c>
      <c r="B40">
        <f>COUNTIFS(Table1[Genre],'Legacy Berekeningen'!$A14,Table1[Meister],$A$28,Table1[Rnd],"&lt;="&amp;B$8)+COUNTIFS(Table1[Optioneel genre],'Legacy Berekeningen'!$A14,Table1[Meister],$A$28,Table1[Rnd],"&lt;="&amp;B$8)</f>
        <v>0</v>
      </c>
      <c r="C40">
        <f>COUNTIFS(Table1[Genre],'Legacy Berekeningen'!$A14,Table1[Meister],$A$28,Table1[Rnd],"&lt;="&amp;C$8)+COUNTIFS(Table1[Optioneel genre],'Legacy Berekeningen'!$A14,Table1[Meister],$A$28,Table1[Rnd],"&lt;="&amp;C$8)</f>
        <v>0</v>
      </c>
      <c r="D40">
        <f>COUNTIFS(Table1[Genre],'Legacy Berekeningen'!$A14,Table1[Meister],$A$28,Table1[Rnd],"&lt;="&amp;D$8)+COUNTIFS(Table1[Optioneel genre],'Legacy Berekeningen'!$A14,Table1[Meister],$A$28,Table1[Rnd],"&lt;="&amp;D$8)</f>
        <v>0</v>
      </c>
      <c r="E40">
        <f>COUNTIFS(Table1[Genre],'Legacy Berekeningen'!$A14,Table1[Meister],$A$28,Table1[Rnd],"&lt;="&amp;E$8)+COUNTIFS(Table1[Optioneel genre],'Legacy Berekeningen'!$A14,Table1[Meister],$A$28,Table1[Rnd],"&lt;="&amp;E$8)</f>
        <v>0</v>
      </c>
      <c r="F40">
        <f>COUNTIFS(Table1[Genre],'Legacy Berekeningen'!$A14,Table1[Meister],$A$28,Table1[Rnd],"&lt;="&amp;F$8)+COUNTIFS(Table1[Optioneel genre],'Legacy Berekeningen'!$A14,Table1[Meister],$A$28,Table1[Rnd],"&lt;="&amp;F$8)</f>
        <v>0</v>
      </c>
      <c r="G40">
        <f>COUNTIFS(Table1[Genre],'Legacy Berekeningen'!$A14,Table1[Meister],$A$28,Table1[Rnd],"&lt;="&amp;G$8)+COUNTIFS(Table1[Optioneel genre],'Legacy Berekeningen'!$A14,Table1[Meister],$A$28,Table1[Rnd],"&lt;="&amp;G$8)</f>
        <v>0</v>
      </c>
      <c r="H40">
        <f>COUNTIFS(Table1[Genre],'Legacy Berekeningen'!$A14,Table1[Meister],$A$28,Table1[Rnd],"&lt;="&amp;H$8)+COUNTIFS(Table1[Optioneel genre],'Legacy Berekeningen'!$A14,Table1[Meister],$A$28,Table1[Rnd],"&lt;="&amp;H$8)</f>
        <v>0</v>
      </c>
      <c r="I40">
        <f>COUNTIFS(Table1[Genre],'Legacy Berekeningen'!$A14,Table1[Meister],$A$28,Table1[Rnd],"&lt;="&amp;I$8)+COUNTIFS(Table1[Optioneel genre],'Legacy Berekeningen'!$A14,Table1[Meister],$A$28,Table1[Rnd],"&lt;="&amp;I$8)</f>
        <v>0</v>
      </c>
      <c r="J40">
        <f>COUNTIFS(Table1[Genre],'Legacy Berekeningen'!$A14,Table1[Meister],$A$28,Table1[Rnd],"&lt;="&amp;J$8)+COUNTIFS(Table1[Optioneel genre],'Legacy Berekeningen'!$A14,Table1[Meister],$A$28,Table1[Rnd],"&lt;="&amp;J$8)</f>
        <v>0</v>
      </c>
      <c r="K40">
        <f>COUNTIFS(Table1[Genre],'Legacy Berekeningen'!$A14,Table1[Meister],$A$28,Table1[Rnd],"&lt;="&amp;K$8)+COUNTIFS(Table1[Optioneel genre],'Legacy Berekeningen'!$A14,Table1[Meister],$A$28,Table1[Rnd],"&lt;="&amp;K$8)</f>
        <v>0</v>
      </c>
      <c r="L40">
        <f>COUNTIFS(Table1[Genre],'Legacy Berekeningen'!$A14,Table1[Meister],$A$28,Table1[Rnd],"&lt;="&amp;L$8)+COUNTIFS(Table1[Optioneel genre],'Legacy Berekeningen'!$A14,Table1[Meister],$A$28,Table1[Rnd],"&lt;="&amp;L$8)</f>
        <v>0</v>
      </c>
      <c r="M40">
        <f>COUNTIFS(Table1[Genre],'Legacy Berekeningen'!$A14,Table1[Meister],$A$28,Table1[Rnd],"&lt;="&amp;M$8)+COUNTIFS(Table1[Optioneel genre],'Legacy Berekeningen'!$A14,Table1[Meister],$A$28,Table1[Rnd],"&lt;="&amp;M$8)</f>
        <v>0</v>
      </c>
      <c r="N40">
        <f>COUNTIFS(Table1[Genre],'Legacy Berekeningen'!$A14,Table1[Meister],$A$28,Table1[Rnd],"&lt;="&amp;N$8)+COUNTIFS(Table1[Optioneel genre],'Legacy Berekeningen'!$A14,Table1[Meister],$A$28,Table1[Rnd],"&lt;="&amp;N$8)</f>
        <v>0</v>
      </c>
    </row>
    <row r="41" spans="1:14">
      <c r="A41" s="2" t="s">
        <v>20</v>
      </c>
      <c r="B41">
        <f>COUNTIFS(Table1[Genre],'Legacy Berekeningen'!$A15,Table1[Meister],$A$28,Table1[Rnd],"&lt;="&amp;B$8)+COUNTIFS(Table1[Optioneel genre],'Legacy Berekeningen'!$A15,Table1[Meister],$A$28,Table1[Rnd],"&lt;="&amp;B$8)</f>
        <v>0</v>
      </c>
      <c r="C41">
        <f>COUNTIFS(Table1[Genre],'Legacy Berekeningen'!$A15,Table1[Meister],$A$28,Table1[Rnd],"&lt;="&amp;C$8)+COUNTIFS(Table1[Optioneel genre],'Legacy Berekeningen'!$A15,Table1[Meister],$A$28,Table1[Rnd],"&lt;="&amp;C$8)</f>
        <v>0</v>
      </c>
      <c r="D41">
        <f>COUNTIFS(Table1[Genre],'Legacy Berekeningen'!$A15,Table1[Meister],$A$28,Table1[Rnd],"&lt;="&amp;D$8)+COUNTIFS(Table1[Optioneel genre],'Legacy Berekeningen'!$A15,Table1[Meister],$A$28,Table1[Rnd],"&lt;="&amp;D$8)</f>
        <v>0</v>
      </c>
      <c r="E41">
        <f>COUNTIFS(Table1[Genre],'Legacy Berekeningen'!$A15,Table1[Meister],$A$28,Table1[Rnd],"&lt;="&amp;E$8)+COUNTIFS(Table1[Optioneel genre],'Legacy Berekeningen'!$A15,Table1[Meister],$A$28,Table1[Rnd],"&lt;="&amp;E$8)</f>
        <v>0</v>
      </c>
      <c r="F41">
        <f>COUNTIFS(Table1[Genre],'Legacy Berekeningen'!$A15,Table1[Meister],$A$28,Table1[Rnd],"&lt;="&amp;F$8)+COUNTIFS(Table1[Optioneel genre],'Legacy Berekeningen'!$A15,Table1[Meister],$A$28,Table1[Rnd],"&lt;="&amp;F$8)</f>
        <v>0</v>
      </c>
      <c r="G41">
        <f>COUNTIFS(Table1[Genre],'Legacy Berekeningen'!$A15,Table1[Meister],$A$28,Table1[Rnd],"&lt;="&amp;G$8)+COUNTIFS(Table1[Optioneel genre],'Legacy Berekeningen'!$A15,Table1[Meister],$A$28,Table1[Rnd],"&lt;="&amp;G$8)</f>
        <v>0</v>
      </c>
      <c r="H41">
        <f>COUNTIFS(Table1[Genre],'Legacy Berekeningen'!$A15,Table1[Meister],$A$28,Table1[Rnd],"&lt;="&amp;H$8)+COUNTIFS(Table1[Optioneel genre],'Legacy Berekeningen'!$A15,Table1[Meister],$A$28,Table1[Rnd],"&lt;="&amp;H$8)</f>
        <v>0</v>
      </c>
      <c r="I41">
        <f>COUNTIFS(Table1[Genre],'Legacy Berekeningen'!$A15,Table1[Meister],$A$28,Table1[Rnd],"&lt;="&amp;I$8)+COUNTIFS(Table1[Optioneel genre],'Legacy Berekeningen'!$A15,Table1[Meister],$A$28,Table1[Rnd],"&lt;="&amp;I$8)</f>
        <v>0</v>
      </c>
      <c r="J41">
        <f>COUNTIFS(Table1[Genre],'Legacy Berekeningen'!$A15,Table1[Meister],$A$28,Table1[Rnd],"&lt;="&amp;J$8)+COUNTIFS(Table1[Optioneel genre],'Legacy Berekeningen'!$A15,Table1[Meister],$A$28,Table1[Rnd],"&lt;="&amp;J$8)</f>
        <v>0</v>
      </c>
      <c r="K41">
        <f>COUNTIFS(Table1[Genre],'Legacy Berekeningen'!$A15,Table1[Meister],$A$28,Table1[Rnd],"&lt;="&amp;K$8)+COUNTIFS(Table1[Optioneel genre],'Legacy Berekeningen'!$A15,Table1[Meister],$A$28,Table1[Rnd],"&lt;="&amp;K$8)</f>
        <v>0</v>
      </c>
      <c r="L41">
        <f>COUNTIFS(Table1[Genre],'Legacy Berekeningen'!$A15,Table1[Meister],$A$28,Table1[Rnd],"&lt;="&amp;L$8)+COUNTIFS(Table1[Optioneel genre],'Legacy Berekeningen'!$A15,Table1[Meister],$A$28,Table1[Rnd],"&lt;="&amp;L$8)</f>
        <v>0</v>
      </c>
      <c r="M41">
        <f>COUNTIFS(Table1[Genre],'Legacy Berekeningen'!$A15,Table1[Meister],$A$28,Table1[Rnd],"&lt;="&amp;M$8)+COUNTIFS(Table1[Optioneel genre],'Legacy Berekeningen'!$A15,Table1[Meister],$A$28,Table1[Rnd],"&lt;="&amp;M$8)</f>
        <v>0</v>
      </c>
      <c r="N41">
        <f>COUNTIFS(Table1[Genre],'Legacy Berekeningen'!$A15,Table1[Meister],$A$28,Table1[Rnd],"&lt;="&amp;N$8)+COUNTIFS(Table1[Optioneel genre],'Legacy Berekeningen'!$A15,Table1[Meister],$A$28,Table1[Rnd],"&lt;="&amp;N$8)</f>
        <v>0</v>
      </c>
    </row>
    <row r="42" spans="1:14">
      <c r="A42" s="2" t="s">
        <v>68</v>
      </c>
      <c r="B42">
        <f>COUNTIFS(Table1[Genre],'Legacy Berekeningen'!$A16,Table1[Meister],$A$28,Table1[Rnd],"&lt;="&amp;B$8)+COUNTIFS(Table1[Optioneel genre],'Legacy Berekeningen'!$A16,Table1[Meister],$A$28,Table1[Rnd],"&lt;="&amp;B$8)</f>
        <v>0</v>
      </c>
      <c r="C42">
        <f>COUNTIFS(Table1[Genre],'Legacy Berekeningen'!$A16,Table1[Meister],$A$28,Table1[Rnd],"&lt;="&amp;C$8)+COUNTIFS(Table1[Optioneel genre],'Legacy Berekeningen'!$A16,Table1[Meister],$A$28,Table1[Rnd],"&lt;="&amp;C$8)</f>
        <v>0</v>
      </c>
      <c r="D42">
        <f>COUNTIFS(Table1[Genre],'Legacy Berekeningen'!$A16,Table1[Meister],$A$28,Table1[Rnd],"&lt;="&amp;D$8)+COUNTIFS(Table1[Optioneel genre],'Legacy Berekeningen'!$A16,Table1[Meister],$A$28,Table1[Rnd],"&lt;="&amp;D$8)</f>
        <v>0</v>
      </c>
      <c r="E42">
        <f>COUNTIFS(Table1[Genre],'Legacy Berekeningen'!$A16,Table1[Meister],$A$28,Table1[Rnd],"&lt;="&amp;E$8)+COUNTIFS(Table1[Optioneel genre],'Legacy Berekeningen'!$A16,Table1[Meister],$A$28,Table1[Rnd],"&lt;="&amp;E$8)</f>
        <v>0</v>
      </c>
      <c r="F42">
        <f>COUNTIFS(Table1[Genre],'Legacy Berekeningen'!$A16,Table1[Meister],$A$28,Table1[Rnd],"&lt;="&amp;F$8)+COUNTIFS(Table1[Optioneel genre],'Legacy Berekeningen'!$A16,Table1[Meister],$A$28,Table1[Rnd],"&lt;="&amp;F$8)</f>
        <v>0</v>
      </c>
      <c r="G42">
        <f>COUNTIFS(Table1[Genre],'Legacy Berekeningen'!$A16,Table1[Meister],$A$28,Table1[Rnd],"&lt;="&amp;G$8)+COUNTIFS(Table1[Optioneel genre],'Legacy Berekeningen'!$A16,Table1[Meister],$A$28,Table1[Rnd],"&lt;="&amp;G$8)</f>
        <v>0</v>
      </c>
      <c r="H42">
        <f>COUNTIFS(Table1[Genre],'Legacy Berekeningen'!$A16,Table1[Meister],$A$28,Table1[Rnd],"&lt;="&amp;H$8)+COUNTIFS(Table1[Optioneel genre],'Legacy Berekeningen'!$A16,Table1[Meister],$A$28,Table1[Rnd],"&lt;="&amp;H$8)</f>
        <v>0</v>
      </c>
      <c r="I42">
        <f>COUNTIFS(Table1[Genre],'Legacy Berekeningen'!$A16,Table1[Meister],$A$28,Table1[Rnd],"&lt;="&amp;I$8)+COUNTIFS(Table1[Optioneel genre],'Legacy Berekeningen'!$A16,Table1[Meister],$A$28,Table1[Rnd],"&lt;="&amp;I$8)</f>
        <v>0</v>
      </c>
      <c r="J42">
        <f>COUNTIFS(Table1[Genre],'Legacy Berekeningen'!$A16,Table1[Meister],$A$28,Table1[Rnd],"&lt;="&amp;J$8)+COUNTIFS(Table1[Optioneel genre],'Legacy Berekeningen'!$A16,Table1[Meister],$A$28,Table1[Rnd],"&lt;="&amp;J$8)</f>
        <v>0</v>
      </c>
      <c r="K42">
        <f>COUNTIFS(Table1[Genre],'Legacy Berekeningen'!$A16,Table1[Meister],$A$28,Table1[Rnd],"&lt;="&amp;K$8)+COUNTIFS(Table1[Optioneel genre],'Legacy Berekeningen'!$A16,Table1[Meister],$A$28,Table1[Rnd],"&lt;="&amp;K$8)</f>
        <v>1</v>
      </c>
      <c r="L42">
        <f>COUNTIFS(Table1[Genre],'Legacy Berekeningen'!$A16,Table1[Meister],$A$28,Table1[Rnd],"&lt;="&amp;L$8)+COUNTIFS(Table1[Optioneel genre],'Legacy Berekeningen'!$A16,Table1[Meister],$A$28,Table1[Rnd],"&lt;="&amp;L$8)</f>
        <v>1</v>
      </c>
      <c r="M42">
        <f>COUNTIFS(Table1[Genre],'Legacy Berekeningen'!$A16,Table1[Meister],$A$28,Table1[Rnd],"&lt;="&amp;M$8)+COUNTIFS(Table1[Optioneel genre],'Legacy Berekeningen'!$A16,Table1[Meister],$A$28,Table1[Rnd],"&lt;="&amp;M$8)</f>
        <v>1</v>
      </c>
      <c r="N42">
        <f>COUNTIFS(Table1[Genre],'Legacy Berekeningen'!$A16,Table1[Meister],$A$28,Table1[Rnd],"&lt;="&amp;N$8)+COUNTIFS(Table1[Optioneel genre],'Legacy Berekeningen'!$A16,Table1[Meister],$A$28,Table1[Rnd],"&lt;="&amp;N$8)</f>
        <v>1</v>
      </c>
    </row>
    <row r="43" spans="1:14">
      <c r="A43" s="2" t="s">
        <v>21</v>
      </c>
      <c r="B43">
        <f>COUNTIFS(Table1[Genre],'Legacy Berekeningen'!$A17,Table1[Meister],$A$28,Table1[Rnd],"&lt;="&amp;B$8)+COUNTIFS(Table1[Optioneel genre],'Legacy Berekeningen'!$A17,Table1[Meister],$A$28,Table1[Rnd],"&lt;="&amp;B$8)</f>
        <v>0</v>
      </c>
      <c r="C43">
        <f>COUNTIFS(Table1[Genre],'Legacy Berekeningen'!$A17,Table1[Meister],$A$28,Table1[Rnd],"&lt;="&amp;C$8)+COUNTIFS(Table1[Optioneel genre],'Legacy Berekeningen'!$A17,Table1[Meister],$A$28,Table1[Rnd],"&lt;="&amp;C$8)</f>
        <v>0</v>
      </c>
      <c r="D43">
        <f>COUNTIFS(Table1[Genre],'Legacy Berekeningen'!$A17,Table1[Meister],$A$28,Table1[Rnd],"&lt;="&amp;D$8)+COUNTIFS(Table1[Optioneel genre],'Legacy Berekeningen'!$A17,Table1[Meister],$A$28,Table1[Rnd],"&lt;="&amp;D$8)</f>
        <v>0</v>
      </c>
      <c r="E43">
        <f>COUNTIFS(Table1[Genre],'Legacy Berekeningen'!$A17,Table1[Meister],$A$28,Table1[Rnd],"&lt;="&amp;E$8)+COUNTIFS(Table1[Optioneel genre],'Legacy Berekeningen'!$A17,Table1[Meister],$A$28,Table1[Rnd],"&lt;="&amp;E$8)</f>
        <v>0</v>
      </c>
      <c r="F43">
        <f>COUNTIFS(Table1[Genre],'Legacy Berekeningen'!$A17,Table1[Meister],$A$28,Table1[Rnd],"&lt;="&amp;F$8)+COUNTIFS(Table1[Optioneel genre],'Legacy Berekeningen'!$A17,Table1[Meister],$A$28,Table1[Rnd],"&lt;="&amp;F$8)</f>
        <v>0</v>
      </c>
      <c r="G43">
        <f>COUNTIFS(Table1[Genre],'Legacy Berekeningen'!$A17,Table1[Meister],$A$28,Table1[Rnd],"&lt;="&amp;G$8)+COUNTIFS(Table1[Optioneel genre],'Legacy Berekeningen'!$A17,Table1[Meister],$A$28,Table1[Rnd],"&lt;="&amp;G$8)</f>
        <v>0</v>
      </c>
      <c r="H43">
        <f>COUNTIFS(Table1[Genre],'Legacy Berekeningen'!$A17,Table1[Meister],$A$28,Table1[Rnd],"&lt;="&amp;H$8)+COUNTIFS(Table1[Optioneel genre],'Legacy Berekeningen'!$A17,Table1[Meister],$A$28,Table1[Rnd],"&lt;="&amp;H$8)</f>
        <v>1</v>
      </c>
      <c r="I43">
        <f>COUNTIFS(Table1[Genre],'Legacy Berekeningen'!$A17,Table1[Meister],$A$28,Table1[Rnd],"&lt;="&amp;I$8)+COUNTIFS(Table1[Optioneel genre],'Legacy Berekeningen'!$A17,Table1[Meister],$A$28,Table1[Rnd],"&lt;="&amp;I$8)</f>
        <v>1</v>
      </c>
      <c r="J43">
        <f>COUNTIFS(Table1[Genre],'Legacy Berekeningen'!$A17,Table1[Meister],$A$28,Table1[Rnd],"&lt;="&amp;J$8)+COUNTIFS(Table1[Optioneel genre],'Legacy Berekeningen'!$A17,Table1[Meister],$A$28,Table1[Rnd],"&lt;="&amp;J$8)</f>
        <v>1</v>
      </c>
      <c r="K43">
        <f>COUNTIFS(Table1[Genre],'Legacy Berekeningen'!$A17,Table1[Meister],$A$28,Table1[Rnd],"&lt;="&amp;K$8)+COUNTIFS(Table1[Optioneel genre],'Legacy Berekeningen'!$A17,Table1[Meister],$A$28,Table1[Rnd],"&lt;="&amp;K$8)</f>
        <v>1</v>
      </c>
      <c r="L43">
        <f>COUNTIFS(Table1[Genre],'Legacy Berekeningen'!$A17,Table1[Meister],$A$28,Table1[Rnd],"&lt;="&amp;L$8)+COUNTIFS(Table1[Optioneel genre],'Legacy Berekeningen'!$A17,Table1[Meister],$A$28,Table1[Rnd],"&lt;="&amp;L$8)</f>
        <v>1</v>
      </c>
      <c r="M43">
        <f>COUNTIFS(Table1[Genre],'Legacy Berekeningen'!$A17,Table1[Meister],$A$28,Table1[Rnd],"&lt;="&amp;M$8)+COUNTIFS(Table1[Optioneel genre],'Legacy Berekeningen'!$A17,Table1[Meister],$A$28,Table1[Rnd],"&lt;="&amp;M$8)</f>
        <v>1</v>
      </c>
      <c r="N43">
        <f>COUNTIFS(Table1[Genre],'Legacy Berekeningen'!$A17,Table1[Meister],$A$28,Table1[Rnd],"&lt;="&amp;N$8)+COUNTIFS(Table1[Optioneel genre],'Legacy Berekeningen'!$A17,Table1[Meister],$A$28,Table1[Rnd],"&lt;="&amp;N$8)</f>
        <v>1</v>
      </c>
    </row>
    <row r="44" spans="1:14">
      <c r="A44" s="2" t="s">
        <v>579</v>
      </c>
      <c r="B44">
        <f>COUNTIFS(Table1[Genre],'Legacy Berekeningen'!$A18,Table1[Meister],$A$28,Table1[Rnd],"&lt;="&amp;B$8)+COUNTIFS(Table1[Optioneel genre],'Legacy Berekeningen'!$A18,Table1[Meister],$A$28,Table1[Rnd],"&lt;="&amp;B$8)</f>
        <v>0</v>
      </c>
      <c r="C44">
        <f>COUNTIFS(Table1[Genre],'Legacy Berekeningen'!$A18,Table1[Meister],$A$28,Table1[Rnd],"&lt;="&amp;C$8)+COUNTIFS(Table1[Optioneel genre],'Legacy Berekeningen'!$A18,Table1[Meister],$A$28,Table1[Rnd],"&lt;="&amp;C$8)</f>
        <v>0</v>
      </c>
      <c r="D44">
        <f>COUNTIFS(Table1[Genre],'Legacy Berekeningen'!$A18,Table1[Meister],$A$28,Table1[Rnd],"&lt;="&amp;D$8)+COUNTIFS(Table1[Optioneel genre],'Legacy Berekeningen'!$A18,Table1[Meister],$A$28,Table1[Rnd],"&lt;="&amp;D$8)</f>
        <v>0</v>
      </c>
      <c r="E44">
        <f>COUNTIFS(Table1[Genre],'Legacy Berekeningen'!$A18,Table1[Meister],$A$28,Table1[Rnd],"&lt;="&amp;E$8)+COUNTIFS(Table1[Optioneel genre],'Legacy Berekeningen'!$A18,Table1[Meister],$A$28,Table1[Rnd],"&lt;="&amp;E$8)</f>
        <v>0</v>
      </c>
      <c r="F44">
        <f>COUNTIFS(Table1[Genre],'Legacy Berekeningen'!$A18,Table1[Meister],$A$28,Table1[Rnd],"&lt;="&amp;F$8)+COUNTIFS(Table1[Optioneel genre],'Legacy Berekeningen'!$A18,Table1[Meister],$A$28,Table1[Rnd],"&lt;="&amp;F$8)</f>
        <v>0</v>
      </c>
      <c r="G44">
        <f>COUNTIFS(Table1[Genre],'Legacy Berekeningen'!$A18,Table1[Meister],$A$28,Table1[Rnd],"&lt;="&amp;G$8)+COUNTIFS(Table1[Optioneel genre],'Legacy Berekeningen'!$A18,Table1[Meister],$A$28,Table1[Rnd],"&lt;="&amp;G$8)</f>
        <v>0</v>
      </c>
      <c r="H44">
        <f>COUNTIFS(Table1[Genre],'Legacy Berekeningen'!$A18,Table1[Meister],$A$28,Table1[Rnd],"&lt;="&amp;H$8)+COUNTIFS(Table1[Optioneel genre],'Legacy Berekeningen'!$A18,Table1[Meister],$A$28,Table1[Rnd],"&lt;="&amp;H$8)</f>
        <v>0</v>
      </c>
      <c r="I44">
        <f>COUNTIFS(Table1[Genre],'Legacy Berekeningen'!$A18,Table1[Meister],$A$28,Table1[Rnd],"&lt;="&amp;I$8)+COUNTIFS(Table1[Optioneel genre],'Legacy Berekeningen'!$A18,Table1[Meister],$A$28,Table1[Rnd],"&lt;="&amp;I$8)</f>
        <v>0</v>
      </c>
      <c r="J44">
        <f>COUNTIFS(Table1[Genre],'Legacy Berekeningen'!$A18,Table1[Meister],$A$28,Table1[Rnd],"&lt;="&amp;J$8)+COUNTIFS(Table1[Optioneel genre],'Legacy Berekeningen'!$A18,Table1[Meister],$A$28,Table1[Rnd],"&lt;="&amp;J$8)</f>
        <v>0</v>
      </c>
      <c r="K44">
        <f>COUNTIFS(Table1[Genre],'Legacy Berekeningen'!$A18,Table1[Meister],$A$28,Table1[Rnd],"&lt;="&amp;K$8)+COUNTIFS(Table1[Optioneel genre],'Legacy Berekeningen'!$A18,Table1[Meister],$A$28,Table1[Rnd],"&lt;="&amp;K$8)</f>
        <v>0</v>
      </c>
      <c r="L44">
        <f>COUNTIFS(Table1[Genre],'Legacy Berekeningen'!$A18,Table1[Meister],$A$28,Table1[Rnd],"&lt;="&amp;L$8)+COUNTIFS(Table1[Optioneel genre],'Legacy Berekeningen'!$A18,Table1[Meister],$A$28,Table1[Rnd],"&lt;="&amp;L$8)</f>
        <v>0</v>
      </c>
      <c r="M44">
        <f>COUNTIFS(Table1[Genre],'Legacy Berekeningen'!$A18,Table1[Meister],$A$28,Table1[Rnd],"&lt;="&amp;M$8)+COUNTIFS(Table1[Optioneel genre],'Legacy Berekeningen'!$A18,Table1[Meister],$A$28,Table1[Rnd],"&lt;="&amp;M$8)</f>
        <v>0</v>
      </c>
      <c r="N44">
        <f>COUNTIFS(Table1[Genre],'Legacy Berekeningen'!$A18,Table1[Meister],$A$28,Table1[Rnd],"&lt;="&amp;N$8)+COUNTIFS(Table1[Optioneel genre],'Legacy Berekeningen'!$A18,Table1[Meister],$A$28,Table1[Rnd],"&lt;="&amp;N$8)</f>
        <v>0</v>
      </c>
    </row>
    <row r="45" spans="1:14">
      <c r="A45" s="2" t="s">
        <v>13</v>
      </c>
      <c r="B45">
        <f>COUNTIFS(Table1[Genre],'Legacy Berekeningen'!$A19,Table1[Meister],$A$28,Table1[Rnd],"&lt;="&amp;B$8)+COUNTIFS(Table1[Optioneel genre],'Legacy Berekeningen'!$A19,Table1[Meister],$A$28,Table1[Rnd],"&lt;="&amp;B$8)</f>
        <v>0</v>
      </c>
      <c r="C45">
        <f>COUNTIFS(Table1[Genre],'Legacy Berekeningen'!$A19,Table1[Meister],$A$28,Table1[Rnd],"&lt;="&amp;C$8)+COUNTIFS(Table1[Optioneel genre],'Legacy Berekeningen'!$A19,Table1[Meister],$A$28,Table1[Rnd],"&lt;="&amp;C$8)</f>
        <v>0</v>
      </c>
      <c r="D45">
        <f>COUNTIFS(Table1[Genre],'Legacy Berekeningen'!$A19,Table1[Meister],$A$28,Table1[Rnd],"&lt;="&amp;D$8)+COUNTIFS(Table1[Optioneel genre],'Legacy Berekeningen'!$A19,Table1[Meister],$A$28,Table1[Rnd],"&lt;="&amp;D$8)</f>
        <v>0</v>
      </c>
      <c r="E45">
        <f>COUNTIFS(Table1[Genre],'Legacy Berekeningen'!$A19,Table1[Meister],$A$28,Table1[Rnd],"&lt;="&amp;E$8)+COUNTIFS(Table1[Optioneel genre],'Legacy Berekeningen'!$A19,Table1[Meister],$A$28,Table1[Rnd],"&lt;="&amp;E$8)</f>
        <v>0</v>
      </c>
      <c r="F45">
        <f>COUNTIFS(Table1[Genre],'Legacy Berekeningen'!$A19,Table1[Meister],$A$28,Table1[Rnd],"&lt;="&amp;F$8)+COUNTIFS(Table1[Optioneel genre],'Legacy Berekeningen'!$A19,Table1[Meister],$A$28,Table1[Rnd],"&lt;="&amp;F$8)</f>
        <v>0</v>
      </c>
      <c r="G45">
        <f>COUNTIFS(Table1[Genre],'Legacy Berekeningen'!$A19,Table1[Meister],$A$28,Table1[Rnd],"&lt;="&amp;G$8)+COUNTIFS(Table1[Optioneel genre],'Legacy Berekeningen'!$A19,Table1[Meister],$A$28,Table1[Rnd],"&lt;="&amp;G$8)</f>
        <v>0</v>
      </c>
      <c r="H45">
        <f>COUNTIFS(Table1[Genre],'Legacy Berekeningen'!$A19,Table1[Meister],$A$28,Table1[Rnd],"&lt;="&amp;H$8)+COUNTIFS(Table1[Optioneel genre],'Legacy Berekeningen'!$A19,Table1[Meister],$A$28,Table1[Rnd],"&lt;="&amp;H$8)</f>
        <v>0</v>
      </c>
      <c r="I45">
        <f>COUNTIFS(Table1[Genre],'Legacy Berekeningen'!$A19,Table1[Meister],$A$28,Table1[Rnd],"&lt;="&amp;I$8)+COUNTIFS(Table1[Optioneel genre],'Legacy Berekeningen'!$A19,Table1[Meister],$A$28,Table1[Rnd],"&lt;="&amp;I$8)</f>
        <v>0</v>
      </c>
      <c r="J45">
        <f>COUNTIFS(Table1[Genre],'Legacy Berekeningen'!$A19,Table1[Meister],$A$28,Table1[Rnd],"&lt;="&amp;J$8)+COUNTIFS(Table1[Optioneel genre],'Legacy Berekeningen'!$A19,Table1[Meister],$A$28,Table1[Rnd],"&lt;="&amp;J$8)</f>
        <v>0</v>
      </c>
      <c r="K45">
        <f>COUNTIFS(Table1[Genre],'Legacy Berekeningen'!$A19,Table1[Meister],$A$28,Table1[Rnd],"&lt;="&amp;K$8)+COUNTIFS(Table1[Optioneel genre],'Legacy Berekeningen'!$A19,Table1[Meister],$A$28,Table1[Rnd],"&lt;="&amp;K$8)</f>
        <v>0</v>
      </c>
      <c r="L45">
        <f>COUNTIFS(Table1[Genre],'Legacy Berekeningen'!$A19,Table1[Meister],$A$28,Table1[Rnd],"&lt;="&amp;L$8)+COUNTIFS(Table1[Optioneel genre],'Legacy Berekeningen'!$A19,Table1[Meister],$A$28,Table1[Rnd],"&lt;="&amp;L$8)</f>
        <v>0</v>
      </c>
      <c r="M45">
        <f>COUNTIFS(Table1[Genre],'Legacy Berekeningen'!$A19,Table1[Meister],$A$28,Table1[Rnd],"&lt;="&amp;M$8)+COUNTIFS(Table1[Optioneel genre],'Legacy Berekeningen'!$A19,Table1[Meister],$A$28,Table1[Rnd],"&lt;="&amp;M$8)</f>
        <v>0</v>
      </c>
      <c r="N45">
        <f>COUNTIFS(Table1[Genre],'Legacy Berekeningen'!$A19,Table1[Meister],$A$28,Table1[Rnd],"&lt;="&amp;N$8)+COUNTIFS(Table1[Optioneel genre],'Legacy Berekeningen'!$A19,Table1[Meister],$A$28,Table1[Rnd],"&lt;="&amp;N$8)</f>
        <v>0</v>
      </c>
    </row>
    <row r="46" spans="1:14">
      <c r="A46" s="2" t="s">
        <v>44</v>
      </c>
      <c r="B46">
        <f>COUNTIFS(Table1[Genre],'Legacy Berekeningen'!$A20,Table1[Meister],$A$28,Table1[Rnd],"&lt;="&amp;B$8)+COUNTIFS(Table1[Optioneel genre],'Legacy Berekeningen'!$A20,Table1[Meister],$A$28,Table1[Rnd],"&lt;="&amp;B$8)</f>
        <v>0</v>
      </c>
      <c r="C46">
        <f>COUNTIFS(Table1[Genre],'Legacy Berekeningen'!$A20,Table1[Meister],$A$28,Table1[Rnd],"&lt;="&amp;C$8)+COUNTIFS(Table1[Optioneel genre],'Legacy Berekeningen'!$A20,Table1[Meister],$A$28,Table1[Rnd],"&lt;="&amp;C$8)</f>
        <v>0</v>
      </c>
      <c r="D46">
        <f>COUNTIFS(Table1[Genre],'Legacy Berekeningen'!$A20,Table1[Meister],$A$28,Table1[Rnd],"&lt;="&amp;D$8)+COUNTIFS(Table1[Optioneel genre],'Legacy Berekeningen'!$A20,Table1[Meister],$A$28,Table1[Rnd],"&lt;="&amp;D$8)</f>
        <v>0</v>
      </c>
      <c r="E46">
        <f>COUNTIFS(Table1[Genre],'Legacy Berekeningen'!$A20,Table1[Meister],$A$28,Table1[Rnd],"&lt;="&amp;E$8)+COUNTIFS(Table1[Optioneel genre],'Legacy Berekeningen'!$A20,Table1[Meister],$A$28,Table1[Rnd],"&lt;="&amp;E$8)</f>
        <v>0</v>
      </c>
      <c r="F46">
        <f>COUNTIFS(Table1[Genre],'Legacy Berekeningen'!$A20,Table1[Meister],$A$28,Table1[Rnd],"&lt;="&amp;F$8)+COUNTIFS(Table1[Optioneel genre],'Legacy Berekeningen'!$A20,Table1[Meister],$A$28,Table1[Rnd],"&lt;="&amp;F$8)</f>
        <v>0</v>
      </c>
      <c r="G46">
        <f>COUNTIFS(Table1[Genre],'Legacy Berekeningen'!$A20,Table1[Meister],$A$28,Table1[Rnd],"&lt;="&amp;G$8)+COUNTIFS(Table1[Optioneel genre],'Legacy Berekeningen'!$A20,Table1[Meister],$A$28,Table1[Rnd],"&lt;="&amp;G$8)</f>
        <v>0</v>
      </c>
      <c r="H46">
        <f>COUNTIFS(Table1[Genre],'Legacy Berekeningen'!$A20,Table1[Meister],$A$28,Table1[Rnd],"&lt;="&amp;H$8)+COUNTIFS(Table1[Optioneel genre],'Legacy Berekeningen'!$A20,Table1[Meister],$A$28,Table1[Rnd],"&lt;="&amp;H$8)</f>
        <v>0</v>
      </c>
      <c r="I46">
        <f>COUNTIFS(Table1[Genre],'Legacy Berekeningen'!$A20,Table1[Meister],$A$28,Table1[Rnd],"&lt;="&amp;I$8)+COUNTIFS(Table1[Optioneel genre],'Legacy Berekeningen'!$A20,Table1[Meister],$A$28,Table1[Rnd],"&lt;="&amp;I$8)</f>
        <v>0</v>
      </c>
      <c r="J46">
        <f>COUNTIFS(Table1[Genre],'Legacy Berekeningen'!$A20,Table1[Meister],$A$28,Table1[Rnd],"&lt;="&amp;J$8)+COUNTIFS(Table1[Optioneel genre],'Legacy Berekeningen'!$A20,Table1[Meister],$A$28,Table1[Rnd],"&lt;="&amp;J$8)</f>
        <v>0</v>
      </c>
      <c r="K46">
        <f>COUNTIFS(Table1[Genre],'Legacy Berekeningen'!$A20,Table1[Meister],$A$28,Table1[Rnd],"&lt;="&amp;K$8)+COUNTIFS(Table1[Optioneel genre],'Legacy Berekeningen'!$A20,Table1[Meister],$A$28,Table1[Rnd],"&lt;="&amp;K$8)</f>
        <v>0</v>
      </c>
      <c r="L46">
        <f>COUNTIFS(Table1[Genre],'Legacy Berekeningen'!$A20,Table1[Meister],$A$28,Table1[Rnd],"&lt;="&amp;L$8)+COUNTIFS(Table1[Optioneel genre],'Legacy Berekeningen'!$A20,Table1[Meister],$A$28,Table1[Rnd],"&lt;="&amp;L$8)</f>
        <v>0</v>
      </c>
      <c r="M46">
        <f>COUNTIFS(Table1[Genre],'Legacy Berekeningen'!$A20,Table1[Meister],$A$28,Table1[Rnd],"&lt;="&amp;M$8)+COUNTIFS(Table1[Optioneel genre],'Legacy Berekeningen'!$A20,Table1[Meister],$A$28,Table1[Rnd],"&lt;="&amp;M$8)</f>
        <v>0</v>
      </c>
      <c r="N46">
        <f>COUNTIFS(Table1[Genre],'Legacy Berekeningen'!$A20,Table1[Meister],$A$28,Table1[Rnd],"&lt;="&amp;N$8)+COUNTIFS(Table1[Optioneel genre],'Legacy Berekeningen'!$A20,Table1[Meister],$A$28,Table1[Rnd],"&lt;="&amp;N$8)</f>
        <v>0</v>
      </c>
    </row>
    <row r="47" spans="1:14">
      <c r="A47" s="2" t="s">
        <v>58</v>
      </c>
      <c r="B47">
        <f>COUNTIFS(Table1[Genre],'Legacy Berekeningen'!$A21,Table1[Meister],$A$28,Table1[Rnd],"&lt;="&amp;B$8)+COUNTIFS(Table1[Optioneel genre],'Legacy Berekeningen'!$A21,Table1[Meister],$A$28,Table1[Rnd],"&lt;="&amp;B$8)</f>
        <v>0</v>
      </c>
      <c r="C47">
        <f>COUNTIFS(Table1[Genre],'Legacy Berekeningen'!$A21,Table1[Meister],$A$28,Table1[Rnd],"&lt;="&amp;C$8)+COUNTIFS(Table1[Optioneel genre],'Legacy Berekeningen'!$A21,Table1[Meister],$A$28,Table1[Rnd],"&lt;="&amp;C$8)</f>
        <v>0</v>
      </c>
      <c r="D47">
        <f>COUNTIFS(Table1[Genre],'Legacy Berekeningen'!$A21,Table1[Meister],$A$28,Table1[Rnd],"&lt;="&amp;D$8)+COUNTIFS(Table1[Optioneel genre],'Legacy Berekeningen'!$A21,Table1[Meister],$A$28,Table1[Rnd],"&lt;="&amp;D$8)</f>
        <v>0</v>
      </c>
      <c r="E47">
        <f>COUNTIFS(Table1[Genre],'Legacy Berekeningen'!$A21,Table1[Meister],$A$28,Table1[Rnd],"&lt;="&amp;E$8)+COUNTIFS(Table1[Optioneel genre],'Legacy Berekeningen'!$A21,Table1[Meister],$A$28,Table1[Rnd],"&lt;="&amp;E$8)</f>
        <v>0</v>
      </c>
      <c r="F47">
        <f>COUNTIFS(Table1[Genre],'Legacy Berekeningen'!$A21,Table1[Meister],$A$28,Table1[Rnd],"&lt;="&amp;F$8)+COUNTIFS(Table1[Optioneel genre],'Legacy Berekeningen'!$A21,Table1[Meister],$A$28,Table1[Rnd],"&lt;="&amp;F$8)</f>
        <v>0</v>
      </c>
      <c r="G47">
        <f>COUNTIFS(Table1[Genre],'Legacy Berekeningen'!$A21,Table1[Meister],$A$28,Table1[Rnd],"&lt;="&amp;G$8)+COUNTIFS(Table1[Optioneel genre],'Legacy Berekeningen'!$A21,Table1[Meister],$A$28,Table1[Rnd],"&lt;="&amp;G$8)</f>
        <v>0</v>
      </c>
      <c r="H47">
        <f>COUNTIFS(Table1[Genre],'Legacy Berekeningen'!$A21,Table1[Meister],$A$28,Table1[Rnd],"&lt;="&amp;H$8)+COUNTIFS(Table1[Optioneel genre],'Legacy Berekeningen'!$A21,Table1[Meister],$A$28,Table1[Rnd],"&lt;="&amp;H$8)</f>
        <v>0</v>
      </c>
      <c r="I47">
        <f>COUNTIFS(Table1[Genre],'Legacy Berekeningen'!$A21,Table1[Meister],$A$28,Table1[Rnd],"&lt;="&amp;I$8)+COUNTIFS(Table1[Optioneel genre],'Legacy Berekeningen'!$A21,Table1[Meister],$A$28,Table1[Rnd],"&lt;="&amp;I$8)</f>
        <v>0</v>
      </c>
      <c r="J47">
        <f>COUNTIFS(Table1[Genre],'Legacy Berekeningen'!$A21,Table1[Meister],$A$28,Table1[Rnd],"&lt;="&amp;J$8)+COUNTIFS(Table1[Optioneel genre],'Legacy Berekeningen'!$A21,Table1[Meister],$A$28,Table1[Rnd],"&lt;="&amp;J$8)</f>
        <v>0</v>
      </c>
      <c r="K47">
        <f>COUNTIFS(Table1[Genre],'Legacy Berekeningen'!$A21,Table1[Meister],$A$28,Table1[Rnd],"&lt;="&amp;K$8)+COUNTIFS(Table1[Optioneel genre],'Legacy Berekeningen'!$A21,Table1[Meister],$A$28,Table1[Rnd],"&lt;="&amp;K$8)</f>
        <v>0</v>
      </c>
      <c r="L47">
        <f>COUNTIFS(Table1[Genre],'Legacy Berekeningen'!$A21,Table1[Meister],$A$28,Table1[Rnd],"&lt;="&amp;L$8)+COUNTIFS(Table1[Optioneel genre],'Legacy Berekeningen'!$A21,Table1[Meister],$A$28,Table1[Rnd],"&lt;="&amp;L$8)</f>
        <v>0</v>
      </c>
      <c r="M47">
        <f>COUNTIFS(Table1[Genre],'Legacy Berekeningen'!$A21,Table1[Meister],$A$28,Table1[Rnd],"&lt;="&amp;M$8)+COUNTIFS(Table1[Optioneel genre],'Legacy Berekeningen'!$A21,Table1[Meister],$A$28,Table1[Rnd],"&lt;="&amp;M$8)</f>
        <v>0</v>
      </c>
      <c r="N47">
        <f>COUNTIFS(Table1[Genre],'Legacy Berekeningen'!$A21,Table1[Meister],$A$28,Table1[Rnd],"&lt;="&amp;N$8)+COUNTIFS(Table1[Optioneel genre],'Legacy Berekeningen'!$A21,Table1[Meister],$A$28,Table1[Rnd],"&lt;="&amp;N$8)</f>
        <v>0</v>
      </c>
    </row>
    <row r="48" spans="1:14">
      <c r="A48" s="1" t="s">
        <v>27</v>
      </c>
    </row>
    <row r="49" spans="1:14">
      <c r="A49" s="2" t="s">
        <v>12</v>
      </c>
      <c r="B49">
        <f>COUNTIFS(Table1[Genre],'Legacy Berekeningen'!$A3,Table1[Meister],$A$48,Table1[Rnd],"&lt;="&amp;B$8)+COUNTIFS(Table1[Optioneel genre],'Legacy Berekeningen'!$A3,Table1[Meister],$A$48,Table1[Rnd],"&lt;="&amp;B$8)</f>
        <v>1</v>
      </c>
      <c r="C49">
        <f>COUNTIFS(Table1[Genre],'Legacy Berekeningen'!$A3,Table1[Meister],$A$48,Table1[Rnd],"&lt;="&amp;C$8)+COUNTIFS(Table1[Optioneel genre],'Legacy Berekeningen'!$A3,Table1[Meister],$A$48,Table1[Rnd],"&lt;="&amp;C$8)</f>
        <v>1</v>
      </c>
      <c r="D49">
        <f>COUNTIFS(Table1[Genre],'Legacy Berekeningen'!$A3,Table1[Meister],$A$48,Table1[Rnd],"&lt;="&amp;D$8)+COUNTIFS(Table1[Optioneel genre],'Legacy Berekeningen'!$A3,Table1[Meister],$A$48,Table1[Rnd],"&lt;="&amp;D$8)</f>
        <v>1</v>
      </c>
      <c r="E49">
        <f>COUNTIFS(Table1[Genre],'Legacy Berekeningen'!$A3,Table1[Meister],$A$48,Table1[Rnd],"&lt;="&amp;E$8)+COUNTIFS(Table1[Optioneel genre],'Legacy Berekeningen'!$A3,Table1[Meister],$A$48,Table1[Rnd],"&lt;="&amp;E$8)</f>
        <v>2</v>
      </c>
      <c r="F49">
        <f>COUNTIFS(Table1[Genre],'Legacy Berekeningen'!$A3,Table1[Meister],$A$48,Table1[Rnd],"&lt;="&amp;F$8)+COUNTIFS(Table1[Optioneel genre],'Legacy Berekeningen'!$A3,Table1[Meister],$A$48,Table1[Rnd],"&lt;="&amp;F$8)</f>
        <v>2</v>
      </c>
      <c r="G49">
        <f>COUNTIFS(Table1[Genre],'Legacy Berekeningen'!$A3,Table1[Meister],$A$48,Table1[Rnd],"&lt;="&amp;G$8)+COUNTIFS(Table1[Optioneel genre],'Legacy Berekeningen'!$A3,Table1[Meister],$A$48,Table1[Rnd],"&lt;="&amp;G$8)</f>
        <v>2</v>
      </c>
      <c r="H49">
        <f>COUNTIFS(Table1[Genre],'Legacy Berekeningen'!$A3,Table1[Meister],$A$48,Table1[Rnd],"&lt;="&amp;H$8)+COUNTIFS(Table1[Optioneel genre],'Legacy Berekeningen'!$A3,Table1[Meister],$A$48,Table1[Rnd],"&lt;="&amp;H$8)</f>
        <v>3</v>
      </c>
      <c r="I49">
        <f>COUNTIFS(Table1[Genre],'Legacy Berekeningen'!$A3,Table1[Meister],$A$48,Table1[Rnd],"&lt;="&amp;I$8)+COUNTIFS(Table1[Optioneel genre],'Legacy Berekeningen'!$A3,Table1[Meister],$A$48,Table1[Rnd],"&lt;="&amp;I$8)</f>
        <v>3</v>
      </c>
      <c r="J49">
        <f>COUNTIFS(Table1[Genre],'Legacy Berekeningen'!$A3,Table1[Meister],$A$48,Table1[Rnd],"&lt;="&amp;J$8)+COUNTIFS(Table1[Optioneel genre],'Legacy Berekeningen'!$A3,Table1[Meister],$A$48,Table1[Rnd],"&lt;="&amp;J$8)</f>
        <v>3</v>
      </c>
      <c r="K49">
        <f>COUNTIFS(Table1[Genre],'Legacy Berekeningen'!$A3,Table1[Meister],$A$48,Table1[Rnd],"&lt;="&amp;K$8)+COUNTIFS(Table1[Optioneel genre],'Legacy Berekeningen'!$A3,Table1[Meister],$A$48,Table1[Rnd],"&lt;="&amp;K$8)</f>
        <v>4</v>
      </c>
      <c r="L49">
        <f>COUNTIFS(Table1[Genre],'Legacy Berekeningen'!$A3,Table1[Meister],$A$48,Table1[Rnd],"&lt;="&amp;L$8)+COUNTIFS(Table1[Optioneel genre],'Legacy Berekeningen'!$A3,Table1[Meister],$A$48,Table1[Rnd],"&lt;="&amp;L$8)</f>
        <v>4</v>
      </c>
      <c r="M49">
        <f>COUNTIFS(Table1[Genre],'Legacy Berekeningen'!$A3,Table1[Meister],$A$48,Table1[Rnd],"&lt;="&amp;M$8)+COUNTIFS(Table1[Optioneel genre],'Legacy Berekeningen'!$A3,Table1[Meister],$A$48,Table1[Rnd],"&lt;="&amp;M$8)</f>
        <v>4</v>
      </c>
      <c r="N49">
        <f>COUNTIFS(Table1[Genre],'Legacy Berekeningen'!$A3,Table1[Meister],$A$48,Table1[Rnd],"&lt;="&amp;N$8)+COUNTIFS(Table1[Optioneel genre],'Legacy Berekeningen'!$A3,Table1[Meister],$A$48,Table1[Rnd],"&lt;="&amp;N$8)</f>
        <v>4</v>
      </c>
    </row>
    <row r="50" spans="1:14">
      <c r="A50" s="2" t="s">
        <v>34</v>
      </c>
      <c r="B50">
        <f>COUNTIFS(Table1[Genre],'Legacy Berekeningen'!$A4,Table1[Meister],$A$48,Table1[Rnd],"&lt;="&amp;B$8)+COUNTIFS(Table1[Optioneel genre],'Legacy Berekeningen'!$A4,Table1[Meister],$A$48,Table1[Rnd],"&lt;="&amp;B$8)</f>
        <v>0</v>
      </c>
      <c r="C50">
        <f>COUNTIFS(Table1[Genre],'Legacy Berekeningen'!$A4,Table1[Meister],$A$48,Table1[Rnd],"&lt;="&amp;C$8)+COUNTIFS(Table1[Optioneel genre],'Legacy Berekeningen'!$A4,Table1[Meister],$A$48,Table1[Rnd],"&lt;="&amp;C$8)</f>
        <v>1</v>
      </c>
      <c r="D50">
        <f>COUNTIFS(Table1[Genre],'Legacy Berekeningen'!$A4,Table1[Meister],$A$48,Table1[Rnd],"&lt;="&amp;D$8)+COUNTIFS(Table1[Optioneel genre],'Legacy Berekeningen'!$A4,Table1[Meister],$A$48,Table1[Rnd],"&lt;="&amp;D$8)</f>
        <v>1</v>
      </c>
      <c r="E50">
        <f>COUNTIFS(Table1[Genre],'Legacy Berekeningen'!$A4,Table1[Meister],$A$48,Table1[Rnd],"&lt;="&amp;E$8)+COUNTIFS(Table1[Optioneel genre],'Legacy Berekeningen'!$A4,Table1[Meister],$A$48,Table1[Rnd],"&lt;="&amp;E$8)</f>
        <v>1</v>
      </c>
      <c r="F50">
        <f>COUNTIFS(Table1[Genre],'Legacy Berekeningen'!$A4,Table1[Meister],$A$48,Table1[Rnd],"&lt;="&amp;F$8)+COUNTIFS(Table1[Optioneel genre],'Legacy Berekeningen'!$A4,Table1[Meister],$A$48,Table1[Rnd],"&lt;="&amp;F$8)</f>
        <v>1</v>
      </c>
      <c r="G50">
        <f>COUNTIFS(Table1[Genre],'Legacy Berekeningen'!$A4,Table1[Meister],$A$48,Table1[Rnd],"&lt;="&amp;G$8)+COUNTIFS(Table1[Optioneel genre],'Legacy Berekeningen'!$A4,Table1[Meister],$A$48,Table1[Rnd],"&lt;="&amp;G$8)</f>
        <v>1</v>
      </c>
      <c r="H50">
        <f>COUNTIFS(Table1[Genre],'Legacy Berekeningen'!$A4,Table1[Meister],$A$48,Table1[Rnd],"&lt;="&amp;H$8)+COUNTIFS(Table1[Optioneel genre],'Legacy Berekeningen'!$A4,Table1[Meister],$A$48,Table1[Rnd],"&lt;="&amp;H$8)</f>
        <v>1</v>
      </c>
      <c r="I50">
        <f>COUNTIFS(Table1[Genre],'Legacy Berekeningen'!$A4,Table1[Meister],$A$48,Table1[Rnd],"&lt;="&amp;I$8)+COUNTIFS(Table1[Optioneel genre],'Legacy Berekeningen'!$A4,Table1[Meister],$A$48,Table1[Rnd],"&lt;="&amp;I$8)</f>
        <v>1</v>
      </c>
      <c r="J50">
        <f>COUNTIFS(Table1[Genre],'Legacy Berekeningen'!$A4,Table1[Meister],$A$48,Table1[Rnd],"&lt;="&amp;J$8)+COUNTIFS(Table1[Optioneel genre],'Legacy Berekeningen'!$A4,Table1[Meister],$A$48,Table1[Rnd],"&lt;="&amp;J$8)</f>
        <v>1</v>
      </c>
      <c r="K50">
        <f>COUNTIFS(Table1[Genre],'Legacy Berekeningen'!$A4,Table1[Meister],$A$48,Table1[Rnd],"&lt;="&amp;K$8)+COUNTIFS(Table1[Optioneel genre],'Legacy Berekeningen'!$A4,Table1[Meister],$A$48,Table1[Rnd],"&lt;="&amp;K$8)</f>
        <v>1</v>
      </c>
      <c r="L50">
        <f>COUNTIFS(Table1[Genre],'Legacy Berekeningen'!$A4,Table1[Meister],$A$48,Table1[Rnd],"&lt;="&amp;L$8)+COUNTIFS(Table1[Optioneel genre],'Legacy Berekeningen'!$A4,Table1[Meister],$A$48,Table1[Rnd],"&lt;="&amp;L$8)</f>
        <v>1</v>
      </c>
      <c r="M50">
        <f>COUNTIFS(Table1[Genre],'Legacy Berekeningen'!$A4,Table1[Meister],$A$48,Table1[Rnd],"&lt;="&amp;M$8)+COUNTIFS(Table1[Optioneel genre],'Legacy Berekeningen'!$A4,Table1[Meister],$A$48,Table1[Rnd],"&lt;="&amp;M$8)</f>
        <v>1</v>
      </c>
      <c r="N50">
        <f>COUNTIFS(Table1[Genre],'Legacy Berekeningen'!$A4,Table1[Meister],$A$48,Table1[Rnd],"&lt;="&amp;N$8)+COUNTIFS(Table1[Optioneel genre],'Legacy Berekeningen'!$A4,Table1[Meister],$A$48,Table1[Rnd],"&lt;="&amp;N$8)</f>
        <v>1</v>
      </c>
    </row>
    <row r="51" spans="1:14">
      <c r="A51" s="2" t="s">
        <v>16</v>
      </c>
      <c r="B51">
        <f>COUNTIFS(Table1[Genre],'Legacy Berekeningen'!$A5,Table1[Meister],$A$48,Table1[Rnd],"&lt;="&amp;B$8)+COUNTIFS(Table1[Optioneel genre],'Legacy Berekeningen'!$A5,Table1[Meister],$A$48,Table1[Rnd],"&lt;="&amp;B$8)</f>
        <v>0</v>
      </c>
      <c r="C51">
        <f>COUNTIFS(Table1[Genre],'Legacy Berekeningen'!$A5,Table1[Meister],$A$48,Table1[Rnd],"&lt;="&amp;C$8)+COUNTIFS(Table1[Optioneel genre],'Legacy Berekeningen'!$A5,Table1[Meister],$A$48,Table1[Rnd],"&lt;="&amp;C$8)</f>
        <v>0</v>
      </c>
      <c r="D51">
        <f>COUNTIFS(Table1[Genre],'Legacy Berekeningen'!$A5,Table1[Meister],$A$48,Table1[Rnd],"&lt;="&amp;D$8)+COUNTIFS(Table1[Optioneel genre],'Legacy Berekeningen'!$A5,Table1[Meister],$A$48,Table1[Rnd],"&lt;="&amp;D$8)</f>
        <v>1</v>
      </c>
      <c r="E51">
        <f>COUNTIFS(Table1[Genre],'Legacy Berekeningen'!$A5,Table1[Meister],$A$48,Table1[Rnd],"&lt;="&amp;E$8)+COUNTIFS(Table1[Optioneel genre],'Legacy Berekeningen'!$A5,Table1[Meister],$A$48,Table1[Rnd],"&lt;="&amp;E$8)</f>
        <v>1</v>
      </c>
      <c r="F51">
        <f>COUNTIFS(Table1[Genre],'Legacy Berekeningen'!$A5,Table1[Meister],$A$48,Table1[Rnd],"&lt;="&amp;F$8)+COUNTIFS(Table1[Optioneel genre],'Legacy Berekeningen'!$A5,Table1[Meister],$A$48,Table1[Rnd],"&lt;="&amp;F$8)</f>
        <v>2</v>
      </c>
      <c r="G51">
        <f>COUNTIFS(Table1[Genre],'Legacy Berekeningen'!$A5,Table1[Meister],$A$48,Table1[Rnd],"&lt;="&amp;G$8)+COUNTIFS(Table1[Optioneel genre],'Legacy Berekeningen'!$A5,Table1[Meister],$A$48,Table1[Rnd],"&lt;="&amp;G$8)</f>
        <v>2</v>
      </c>
      <c r="H51">
        <f>COUNTIFS(Table1[Genre],'Legacy Berekeningen'!$A5,Table1[Meister],$A$48,Table1[Rnd],"&lt;="&amp;H$8)+COUNTIFS(Table1[Optioneel genre],'Legacy Berekeningen'!$A5,Table1[Meister],$A$48,Table1[Rnd],"&lt;="&amp;H$8)</f>
        <v>2</v>
      </c>
      <c r="I51">
        <f>COUNTIFS(Table1[Genre],'Legacy Berekeningen'!$A5,Table1[Meister],$A$48,Table1[Rnd],"&lt;="&amp;I$8)+COUNTIFS(Table1[Optioneel genre],'Legacy Berekeningen'!$A5,Table1[Meister],$A$48,Table1[Rnd],"&lt;="&amp;I$8)</f>
        <v>2</v>
      </c>
      <c r="J51">
        <f>COUNTIFS(Table1[Genre],'Legacy Berekeningen'!$A5,Table1[Meister],$A$48,Table1[Rnd],"&lt;="&amp;J$8)+COUNTIFS(Table1[Optioneel genre],'Legacy Berekeningen'!$A5,Table1[Meister],$A$48,Table1[Rnd],"&lt;="&amp;J$8)</f>
        <v>2</v>
      </c>
      <c r="K51">
        <f>COUNTIFS(Table1[Genre],'Legacy Berekeningen'!$A5,Table1[Meister],$A$48,Table1[Rnd],"&lt;="&amp;K$8)+COUNTIFS(Table1[Optioneel genre],'Legacy Berekeningen'!$A5,Table1[Meister],$A$48,Table1[Rnd],"&lt;="&amp;K$8)</f>
        <v>2</v>
      </c>
      <c r="L51">
        <f>COUNTIFS(Table1[Genre],'Legacy Berekeningen'!$A5,Table1[Meister],$A$48,Table1[Rnd],"&lt;="&amp;L$8)+COUNTIFS(Table1[Optioneel genre],'Legacy Berekeningen'!$A5,Table1[Meister],$A$48,Table1[Rnd],"&lt;="&amp;L$8)</f>
        <v>2</v>
      </c>
      <c r="M51">
        <f>COUNTIFS(Table1[Genre],'Legacy Berekeningen'!$A5,Table1[Meister],$A$48,Table1[Rnd],"&lt;="&amp;M$8)+COUNTIFS(Table1[Optioneel genre],'Legacy Berekeningen'!$A5,Table1[Meister],$A$48,Table1[Rnd],"&lt;="&amp;M$8)</f>
        <v>2</v>
      </c>
      <c r="N51">
        <f>COUNTIFS(Table1[Genre],'Legacy Berekeningen'!$A5,Table1[Meister],$A$48,Table1[Rnd],"&lt;="&amp;N$8)+COUNTIFS(Table1[Optioneel genre],'Legacy Berekeningen'!$A5,Table1[Meister],$A$48,Table1[Rnd],"&lt;="&amp;N$8)</f>
        <v>2</v>
      </c>
    </row>
    <row r="52" spans="1:14">
      <c r="A52" s="2" t="s">
        <v>41</v>
      </c>
      <c r="B52">
        <f>COUNTIFS(Table1[Genre],'Legacy Berekeningen'!$A6,Table1[Meister],$A$48,Table1[Rnd],"&lt;="&amp;B$8)+COUNTIFS(Table1[Optioneel genre],'Legacy Berekeningen'!$A6,Table1[Meister],$A$48,Table1[Rnd],"&lt;="&amp;B$8)</f>
        <v>0</v>
      </c>
      <c r="C52">
        <f>COUNTIFS(Table1[Genre],'Legacy Berekeningen'!$A6,Table1[Meister],$A$48,Table1[Rnd],"&lt;="&amp;C$8)+COUNTIFS(Table1[Optioneel genre],'Legacy Berekeningen'!$A6,Table1[Meister],$A$48,Table1[Rnd],"&lt;="&amp;C$8)</f>
        <v>0</v>
      </c>
      <c r="D52">
        <f>COUNTIFS(Table1[Genre],'Legacy Berekeningen'!$A6,Table1[Meister],$A$48,Table1[Rnd],"&lt;="&amp;D$8)+COUNTIFS(Table1[Optioneel genre],'Legacy Berekeningen'!$A6,Table1[Meister],$A$48,Table1[Rnd],"&lt;="&amp;D$8)</f>
        <v>0</v>
      </c>
      <c r="E52">
        <f>COUNTIFS(Table1[Genre],'Legacy Berekeningen'!$A6,Table1[Meister],$A$48,Table1[Rnd],"&lt;="&amp;E$8)+COUNTIFS(Table1[Optioneel genre],'Legacy Berekeningen'!$A6,Table1[Meister],$A$48,Table1[Rnd],"&lt;="&amp;E$8)</f>
        <v>0</v>
      </c>
      <c r="F52">
        <f>COUNTIFS(Table1[Genre],'Legacy Berekeningen'!$A6,Table1[Meister],$A$48,Table1[Rnd],"&lt;="&amp;F$8)+COUNTIFS(Table1[Optioneel genre],'Legacy Berekeningen'!$A6,Table1[Meister],$A$48,Table1[Rnd],"&lt;="&amp;F$8)</f>
        <v>0</v>
      </c>
      <c r="G52">
        <f>COUNTIFS(Table1[Genre],'Legacy Berekeningen'!$A6,Table1[Meister],$A$48,Table1[Rnd],"&lt;="&amp;G$8)+COUNTIFS(Table1[Optioneel genre],'Legacy Berekeningen'!$A6,Table1[Meister],$A$48,Table1[Rnd],"&lt;="&amp;G$8)</f>
        <v>0</v>
      </c>
      <c r="H52">
        <f>COUNTIFS(Table1[Genre],'Legacy Berekeningen'!$A6,Table1[Meister],$A$48,Table1[Rnd],"&lt;="&amp;H$8)+COUNTIFS(Table1[Optioneel genre],'Legacy Berekeningen'!$A6,Table1[Meister],$A$48,Table1[Rnd],"&lt;="&amp;H$8)</f>
        <v>0</v>
      </c>
      <c r="I52">
        <f>COUNTIFS(Table1[Genre],'Legacy Berekeningen'!$A6,Table1[Meister],$A$48,Table1[Rnd],"&lt;="&amp;I$8)+COUNTIFS(Table1[Optioneel genre],'Legacy Berekeningen'!$A6,Table1[Meister],$A$48,Table1[Rnd],"&lt;="&amp;I$8)</f>
        <v>0</v>
      </c>
      <c r="J52">
        <f>COUNTIFS(Table1[Genre],'Legacy Berekeningen'!$A6,Table1[Meister],$A$48,Table1[Rnd],"&lt;="&amp;J$8)+COUNTIFS(Table1[Optioneel genre],'Legacy Berekeningen'!$A6,Table1[Meister],$A$48,Table1[Rnd],"&lt;="&amp;J$8)</f>
        <v>0</v>
      </c>
      <c r="K52">
        <f>COUNTIFS(Table1[Genre],'Legacy Berekeningen'!$A6,Table1[Meister],$A$48,Table1[Rnd],"&lt;="&amp;K$8)+COUNTIFS(Table1[Optioneel genre],'Legacy Berekeningen'!$A6,Table1[Meister],$A$48,Table1[Rnd],"&lt;="&amp;K$8)</f>
        <v>0</v>
      </c>
      <c r="L52">
        <f>COUNTIFS(Table1[Genre],'Legacy Berekeningen'!$A6,Table1[Meister],$A$48,Table1[Rnd],"&lt;="&amp;L$8)+COUNTIFS(Table1[Optioneel genre],'Legacy Berekeningen'!$A6,Table1[Meister],$A$48,Table1[Rnd],"&lt;="&amp;L$8)</f>
        <v>0</v>
      </c>
      <c r="M52">
        <f>COUNTIFS(Table1[Genre],'Legacy Berekeningen'!$A6,Table1[Meister],$A$48,Table1[Rnd],"&lt;="&amp;M$8)+COUNTIFS(Table1[Optioneel genre],'Legacy Berekeningen'!$A6,Table1[Meister],$A$48,Table1[Rnd],"&lt;="&amp;M$8)</f>
        <v>0</v>
      </c>
      <c r="N52">
        <f>COUNTIFS(Table1[Genre],'Legacy Berekeningen'!$A6,Table1[Meister],$A$48,Table1[Rnd],"&lt;="&amp;N$8)+COUNTIFS(Table1[Optioneel genre],'Legacy Berekeningen'!$A6,Table1[Meister],$A$48,Table1[Rnd],"&lt;="&amp;N$8)</f>
        <v>0</v>
      </c>
    </row>
    <row r="53" spans="1:14">
      <c r="A53" s="2" t="s">
        <v>17</v>
      </c>
      <c r="B53">
        <f>COUNTIFS(Table1[Genre],'Legacy Berekeningen'!$A7,Table1[Meister],$A$48,Table1[Rnd],"&lt;="&amp;B$8)+COUNTIFS(Table1[Optioneel genre],'Legacy Berekeningen'!$A7,Table1[Meister],$A$48,Table1[Rnd],"&lt;="&amp;B$8)</f>
        <v>0</v>
      </c>
      <c r="C53">
        <f>COUNTIFS(Table1[Genre],'Legacy Berekeningen'!$A7,Table1[Meister],$A$48,Table1[Rnd],"&lt;="&amp;C$8)+COUNTIFS(Table1[Optioneel genre],'Legacy Berekeningen'!$A7,Table1[Meister],$A$48,Table1[Rnd],"&lt;="&amp;C$8)</f>
        <v>1</v>
      </c>
      <c r="D53">
        <f>COUNTIFS(Table1[Genre],'Legacy Berekeningen'!$A7,Table1[Meister],$A$48,Table1[Rnd],"&lt;="&amp;D$8)+COUNTIFS(Table1[Optioneel genre],'Legacy Berekeningen'!$A7,Table1[Meister],$A$48,Table1[Rnd],"&lt;="&amp;D$8)</f>
        <v>2</v>
      </c>
      <c r="E53">
        <f>COUNTIFS(Table1[Genre],'Legacy Berekeningen'!$A7,Table1[Meister],$A$48,Table1[Rnd],"&lt;="&amp;E$8)+COUNTIFS(Table1[Optioneel genre],'Legacy Berekeningen'!$A7,Table1[Meister],$A$48,Table1[Rnd],"&lt;="&amp;E$8)</f>
        <v>2</v>
      </c>
      <c r="F53">
        <f>COUNTIFS(Table1[Genre],'Legacy Berekeningen'!$A7,Table1[Meister],$A$48,Table1[Rnd],"&lt;="&amp;F$8)+COUNTIFS(Table1[Optioneel genre],'Legacy Berekeningen'!$A7,Table1[Meister],$A$48,Table1[Rnd],"&lt;="&amp;F$8)</f>
        <v>3</v>
      </c>
      <c r="G53">
        <f>COUNTIFS(Table1[Genre],'Legacy Berekeningen'!$A7,Table1[Meister],$A$48,Table1[Rnd],"&lt;="&amp;G$8)+COUNTIFS(Table1[Optioneel genre],'Legacy Berekeningen'!$A7,Table1[Meister],$A$48,Table1[Rnd],"&lt;="&amp;G$8)</f>
        <v>3</v>
      </c>
      <c r="H53">
        <f>COUNTIFS(Table1[Genre],'Legacy Berekeningen'!$A7,Table1[Meister],$A$48,Table1[Rnd],"&lt;="&amp;H$8)+COUNTIFS(Table1[Optioneel genre],'Legacy Berekeningen'!$A7,Table1[Meister],$A$48,Table1[Rnd],"&lt;="&amp;H$8)</f>
        <v>3</v>
      </c>
      <c r="I53">
        <f>COUNTIFS(Table1[Genre],'Legacy Berekeningen'!$A7,Table1[Meister],$A$48,Table1[Rnd],"&lt;="&amp;I$8)+COUNTIFS(Table1[Optioneel genre],'Legacy Berekeningen'!$A7,Table1[Meister],$A$48,Table1[Rnd],"&lt;="&amp;I$8)</f>
        <v>3</v>
      </c>
      <c r="J53">
        <f>COUNTIFS(Table1[Genre],'Legacy Berekeningen'!$A7,Table1[Meister],$A$48,Table1[Rnd],"&lt;="&amp;J$8)+COUNTIFS(Table1[Optioneel genre],'Legacy Berekeningen'!$A7,Table1[Meister],$A$48,Table1[Rnd],"&lt;="&amp;J$8)</f>
        <v>3</v>
      </c>
      <c r="K53">
        <f>COUNTIFS(Table1[Genre],'Legacy Berekeningen'!$A7,Table1[Meister],$A$48,Table1[Rnd],"&lt;="&amp;K$8)+COUNTIFS(Table1[Optioneel genre],'Legacy Berekeningen'!$A7,Table1[Meister],$A$48,Table1[Rnd],"&lt;="&amp;K$8)</f>
        <v>3</v>
      </c>
      <c r="L53">
        <f>COUNTIFS(Table1[Genre],'Legacy Berekeningen'!$A7,Table1[Meister],$A$48,Table1[Rnd],"&lt;="&amp;L$8)+COUNTIFS(Table1[Optioneel genre],'Legacy Berekeningen'!$A7,Table1[Meister],$A$48,Table1[Rnd],"&lt;="&amp;L$8)</f>
        <v>5</v>
      </c>
      <c r="M53">
        <f>COUNTIFS(Table1[Genre],'Legacy Berekeningen'!$A7,Table1[Meister],$A$48,Table1[Rnd],"&lt;="&amp;M$8)+COUNTIFS(Table1[Optioneel genre],'Legacy Berekeningen'!$A7,Table1[Meister],$A$48,Table1[Rnd],"&lt;="&amp;M$8)</f>
        <v>6</v>
      </c>
      <c r="N53">
        <f>COUNTIFS(Table1[Genre],'Legacy Berekeningen'!$A7,Table1[Meister],$A$48,Table1[Rnd],"&lt;="&amp;N$8)+COUNTIFS(Table1[Optioneel genre],'Legacy Berekeningen'!$A7,Table1[Meister],$A$48,Table1[Rnd],"&lt;="&amp;N$8)</f>
        <v>6</v>
      </c>
    </row>
    <row r="54" spans="1:14">
      <c r="A54" s="2" t="s">
        <v>25</v>
      </c>
      <c r="B54">
        <f>COUNTIFS(Table1[Genre],'Legacy Berekeningen'!$A8,Table1[Meister],$A$48,Table1[Rnd],"&lt;="&amp;B$8)+COUNTIFS(Table1[Optioneel genre],'Legacy Berekeningen'!$A8,Table1[Meister],$A$48,Table1[Rnd],"&lt;="&amp;B$8)</f>
        <v>0</v>
      </c>
      <c r="C54">
        <f>COUNTIFS(Table1[Genre],'Legacy Berekeningen'!$A8,Table1[Meister],$A$48,Table1[Rnd],"&lt;="&amp;C$8)+COUNTIFS(Table1[Optioneel genre],'Legacy Berekeningen'!$A8,Table1[Meister],$A$48,Table1[Rnd],"&lt;="&amp;C$8)</f>
        <v>0</v>
      </c>
      <c r="D54">
        <f>COUNTIFS(Table1[Genre],'Legacy Berekeningen'!$A8,Table1[Meister],$A$48,Table1[Rnd],"&lt;="&amp;D$8)+COUNTIFS(Table1[Optioneel genre],'Legacy Berekeningen'!$A8,Table1[Meister],$A$48,Table1[Rnd],"&lt;="&amp;D$8)</f>
        <v>0</v>
      </c>
      <c r="E54">
        <f>COUNTIFS(Table1[Genre],'Legacy Berekeningen'!$A8,Table1[Meister],$A$48,Table1[Rnd],"&lt;="&amp;E$8)+COUNTIFS(Table1[Optioneel genre],'Legacy Berekeningen'!$A8,Table1[Meister],$A$48,Table1[Rnd],"&lt;="&amp;E$8)</f>
        <v>0</v>
      </c>
      <c r="F54">
        <f>COUNTIFS(Table1[Genre],'Legacy Berekeningen'!$A8,Table1[Meister],$A$48,Table1[Rnd],"&lt;="&amp;F$8)+COUNTIFS(Table1[Optioneel genre],'Legacy Berekeningen'!$A8,Table1[Meister],$A$48,Table1[Rnd],"&lt;="&amp;F$8)</f>
        <v>0</v>
      </c>
      <c r="G54">
        <f>COUNTIFS(Table1[Genre],'Legacy Berekeningen'!$A8,Table1[Meister],$A$48,Table1[Rnd],"&lt;="&amp;G$8)+COUNTIFS(Table1[Optioneel genre],'Legacy Berekeningen'!$A8,Table1[Meister],$A$48,Table1[Rnd],"&lt;="&amp;G$8)</f>
        <v>0</v>
      </c>
      <c r="H54">
        <f>COUNTIFS(Table1[Genre],'Legacy Berekeningen'!$A8,Table1[Meister],$A$48,Table1[Rnd],"&lt;="&amp;H$8)+COUNTIFS(Table1[Optioneel genre],'Legacy Berekeningen'!$A8,Table1[Meister],$A$48,Table1[Rnd],"&lt;="&amp;H$8)</f>
        <v>0</v>
      </c>
      <c r="I54">
        <f>COUNTIFS(Table1[Genre],'Legacy Berekeningen'!$A8,Table1[Meister],$A$48,Table1[Rnd],"&lt;="&amp;I$8)+COUNTIFS(Table1[Optioneel genre],'Legacy Berekeningen'!$A8,Table1[Meister],$A$48,Table1[Rnd],"&lt;="&amp;I$8)</f>
        <v>0</v>
      </c>
      <c r="J54">
        <f>COUNTIFS(Table1[Genre],'Legacy Berekeningen'!$A8,Table1[Meister],$A$48,Table1[Rnd],"&lt;="&amp;J$8)+COUNTIFS(Table1[Optioneel genre],'Legacy Berekeningen'!$A8,Table1[Meister],$A$48,Table1[Rnd],"&lt;="&amp;J$8)</f>
        <v>0</v>
      </c>
      <c r="K54">
        <f>COUNTIFS(Table1[Genre],'Legacy Berekeningen'!$A8,Table1[Meister],$A$48,Table1[Rnd],"&lt;="&amp;K$8)+COUNTIFS(Table1[Optioneel genre],'Legacy Berekeningen'!$A8,Table1[Meister],$A$48,Table1[Rnd],"&lt;="&amp;K$8)</f>
        <v>0</v>
      </c>
      <c r="L54">
        <f>COUNTIFS(Table1[Genre],'Legacy Berekeningen'!$A8,Table1[Meister],$A$48,Table1[Rnd],"&lt;="&amp;L$8)+COUNTIFS(Table1[Optioneel genre],'Legacy Berekeningen'!$A8,Table1[Meister],$A$48,Table1[Rnd],"&lt;="&amp;L$8)</f>
        <v>0</v>
      </c>
      <c r="M54">
        <f>COUNTIFS(Table1[Genre],'Legacy Berekeningen'!$A8,Table1[Meister],$A$48,Table1[Rnd],"&lt;="&amp;M$8)+COUNTIFS(Table1[Optioneel genre],'Legacy Berekeningen'!$A8,Table1[Meister],$A$48,Table1[Rnd],"&lt;="&amp;M$8)</f>
        <v>0</v>
      </c>
      <c r="N54">
        <f>COUNTIFS(Table1[Genre],'Legacy Berekeningen'!$A8,Table1[Meister],$A$48,Table1[Rnd],"&lt;="&amp;N$8)+COUNTIFS(Table1[Optioneel genre],'Legacy Berekeningen'!$A8,Table1[Meister],$A$48,Table1[Rnd],"&lt;="&amp;N$8)</f>
        <v>0</v>
      </c>
    </row>
    <row r="55" spans="1:14">
      <c r="A55" s="2" t="s">
        <v>81</v>
      </c>
      <c r="B55">
        <f>COUNTIFS(Table1[Genre],'Legacy Berekeningen'!$A9,Table1[Meister],$A$48,Table1[Rnd],"&lt;="&amp;B$8)+COUNTIFS(Table1[Optioneel genre],'Legacy Berekeningen'!$A9,Table1[Meister],$A$48,Table1[Rnd],"&lt;="&amp;B$8)</f>
        <v>0</v>
      </c>
      <c r="C55">
        <f>COUNTIFS(Table1[Genre],'Legacy Berekeningen'!$A9,Table1[Meister],$A$48,Table1[Rnd],"&lt;="&amp;C$8)+COUNTIFS(Table1[Optioneel genre],'Legacy Berekeningen'!$A9,Table1[Meister],$A$48,Table1[Rnd],"&lt;="&amp;C$8)</f>
        <v>0</v>
      </c>
      <c r="D55">
        <f>COUNTIFS(Table1[Genre],'Legacy Berekeningen'!$A9,Table1[Meister],$A$48,Table1[Rnd],"&lt;="&amp;D$8)+COUNTIFS(Table1[Optioneel genre],'Legacy Berekeningen'!$A9,Table1[Meister],$A$48,Table1[Rnd],"&lt;="&amp;D$8)</f>
        <v>0</v>
      </c>
      <c r="E55">
        <f>COUNTIFS(Table1[Genre],'Legacy Berekeningen'!$A9,Table1[Meister],$A$48,Table1[Rnd],"&lt;="&amp;E$8)+COUNTIFS(Table1[Optioneel genre],'Legacy Berekeningen'!$A9,Table1[Meister],$A$48,Table1[Rnd],"&lt;="&amp;E$8)</f>
        <v>0</v>
      </c>
      <c r="F55">
        <f>COUNTIFS(Table1[Genre],'Legacy Berekeningen'!$A9,Table1[Meister],$A$48,Table1[Rnd],"&lt;="&amp;F$8)+COUNTIFS(Table1[Optioneel genre],'Legacy Berekeningen'!$A9,Table1[Meister],$A$48,Table1[Rnd],"&lt;="&amp;F$8)</f>
        <v>0</v>
      </c>
      <c r="G55">
        <f>COUNTIFS(Table1[Genre],'Legacy Berekeningen'!$A9,Table1[Meister],$A$48,Table1[Rnd],"&lt;="&amp;G$8)+COUNTIFS(Table1[Optioneel genre],'Legacy Berekeningen'!$A9,Table1[Meister],$A$48,Table1[Rnd],"&lt;="&amp;G$8)</f>
        <v>0</v>
      </c>
      <c r="H55">
        <f>COUNTIFS(Table1[Genre],'Legacy Berekeningen'!$A9,Table1[Meister],$A$48,Table1[Rnd],"&lt;="&amp;H$8)+COUNTIFS(Table1[Optioneel genre],'Legacy Berekeningen'!$A9,Table1[Meister],$A$48,Table1[Rnd],"&lt;="&amp;H$8)</f>
        <v>0</v>
      </c>
      <c r="I55">
        <f>COUNTIFS(Table1[Genre],'Legacy Berekeningen'!$A9,Table1[Meister],$A$48,Table1[Rnd],"&lt;="&amp;I$8)+COUNTIFS(Table1[Optioneel genre],'Legacy Berekeningen'!$A9,Table1[Meister],$A$48,Table1[Rnd],"&lt;="&amp;I$8)</f>
        <v>0</v>
      </c>
      <c r="J55">
        <f>COUNTIFS(Table1[Genre],'Legacy Berekeningen'!$A9,Table1[Meister],$A$48,Table1[Rnd],"&lt;="&amp;J$8)+COUNTIFS(Table1[Optioneel genre],'Legacy Berekeningen'!$A9,Table1[Meister],$A$48,Table1[Rnd],"&lt;="&amp;J$8)</f>
        <v>0</v>
      </c>
      <c r="K55">
        <f>COUNTIFS(Table1[Genre],'Legacy Berekeningen'!$A9,Table1[Meister],$A$48,Table1[Rnd],"&lt;="&amp;K$8)+COUNTIFS(Table1[Optioneel genre],'Legacy Berekeningen'!$A9,Table1[Meister],$A$48,Table1[Rnd],"&lt;="&amp;K$8)</f>
        <v>0</v>
      </c>
      <c r="L55">
        <f>COUNTIFS(Table1[Genre],'Legacy Berekeningen'!$A9,Table1[Meister],$A$48,Table1[Rnd],"&lt;="&amp;L$8)+COUNTIFS(Table1[Optioneel genre],'Legacy Berekeningen'!$A9,Table1[Meister],$A$48,Table1[Rnd],"&lt;="&amp;L$8)</f>
        <v>0</v>
      </c>
      <c r="M55">
        <f>COUNTIFS(Table1[Genre],'Legacy Berekeningen'!$A9,Table1[Meister],$A$48,Table1[Rnd],"&lt;="&amp;M$8)+COUNTIFS(Table1[Optioneel genre],'Legacy Berekeningen'!$A9,Table1[Meister],$A$48,Table1[Rnd],"&lt;="&amp;M$8)</f>
        <v>0</v>
      </c>
      <c r="N55">
        <f>COUNTIFS(Table1[Genre],'Legacy Berekeningen'!$A9,Table1[Meister],$A$48,Table1[Rnd],"&lt;="&amp;N$8)+COUNTIFS(Table1[Optioneel genre],'Legacy Berekeningen'!$A9,Table1[Meister],$A$48,Table1[Rnd],"&lt;="&amp;N$8)</f>
        <v>0</v>
      </c>
    </row>
    <row r="56" spans="1:14">
      <c r="A56" s="2" t="s">
        <v>26</v>
      </c>
      <c r="B56">
        <f>COUNTIFS(Table1[Genre],'Legacy Berekeningen'!$A10,Table1[Meister],$A$48,Table1[Rnd],"&lt;="&amp;B$8)+COUNTIFS(Table1[Optioneel genre],'Legacy Berekeningen'!$A10,Table1[Meister],$A$48,Table1[Rnd],"&lt;="&amp;B$8)</f>
        <v>0</v>
      </c>
      <c r="C56">
        <f>COUNTIFS(Table1[Genre],'Legacy Berekeningen'!$A10,Table1[Meister],$A$48,Table1[Rnd],"&lt;="&amp;C$8)+COUNTIFS(Table1[Optioneel genre],'Legacy Berekeningen'!$A10,Table1[Meister],$A$48,Table1[Rnd],"&lt;="&amp;C$8)</f>
        <v>0</v>
      </c>
      <c r="D56">
        <f>COUNTIFS(Table1[Genre],'Legacy Berekeningen'!$A10,Table1[Meister],$A$48,Table1[Rnd],"&lt;="&amp;D$8)+COUNTIFS(Table1[Optioneel genre],'Legacy Berekeningen'!$A10,Table1[Meister],$A$48,Table1[Rnd],"&lt;="&amp;D$8)</f>
        <v>0</v>
      </c>
      <c r="E56">
        <f>COUNTIFS(Table1[Genre],'Legacy Berekeningen'!$A10,Table1[Meister],$A$48,Table1[Rnd],"&lt;="&amp;E$8)+COUNTIFS(Table1[Optioneel genre],'Legacy Berekeningen'!$A10,Table1[Meister],$A$48,Table1[Rnd],"&lt;="&amp;E$8)</f>
        <v>0</v>
      </c>
      <c r="F56">
        <f>COUNTIFS(Table1[Genre],'Legacy Berekeningen'!$A10,Table1[Meister],$A$48,Table1[Rnd],"&lt;="&amp;F$8)+COUNTIFS(Table1[Optioneel genre],'Legacy Berekeningen'!$A10,Table1[Meister],$A$48,Table1[Rnd],"&lt;="&amp;F$8)</f>
        <v>0</v>
      </c>
      <c r="G56">
        <f>COUNTIFS(Table1[Genre],'Legacy Berekeningen'!$A10,Table1[Meister],$A$48,Table1[Rnd],"&lt;="&amp;G$8)+COUNTIFS(Table1[Optioneel genre],'Legacy Berekeningen'!$A10,Table1[Meister],$A$48,Table1[Rnd],"&lt;="&amp;G$8)</f>
        <v>1</v>
      </c>
      <c r="H56">
        <f>COUNTIFS(Table1[Genre],'Legacy Berekeningen'!$A10,Table1[Meister],$A$48,Table1[Rnd],"&lt;="&amp;H$8)+COUNTIFS(Table1[Optioneel genre],'Legacy Berekeningen'!$A10,Table1[Meister],$A$48,Table1[Rnd],"&lt;="&amp;H$8)</f>
        <v>1</v>
      </c>
      <c r="I56">
        <f>COUNTIFS(Table1[Genre],'Legacy Berekeningen'!$A10,Table1[Meister],$A$48,Table1[Rnd],"&lt;="&amp;I$8)+COUNTIFS(Table1[Optioneel genre],'Legacy Berekeningen'!$A10,Table1[Meister],$A$48,Table1[Rnd],"&lt;="&amp;I$8)</f>
        <v>1</v>
      </c>
      <c r="J56">
        <f>COUNTIFS(Table1[Genre],'Legacy Berekeningen'!$A10,Table1[Meister],$A$48,Table1[Rnd],"&lt;="&amp;J$8)+COUNTIFS(Table1[Optioneel genre],'Legacy Berekeningen'!$A10,Table1[Meister],$A$48,Table1[Rnd],"&lt;="&amp;J$8)</f>
        <v>2</v>
      </c>
      <c r="K56">
        <f>COUNTIFS(Table1[Genre],'Legacy Berekeningen'!$A10,Table1[Meister],$A$48,Table1[Rnd],"&lt;="&amp;K$8)+COUNTIFS(Table1[Optioneel genre],'Legacy Berekeningen'!$A10,Table1[Meister],$A$48,Table1[Rnd],"&lt;="&amp;K$8)</f>
        <v>2</v>
      </c>
      <c r="L56">
        <f>COUNTIFS(Table1[Genre],'Legacy Berekeningen'!$A10,Table1[Meister],$A$48,Table1[Rnd],"&lt;="&amp;L$8)+COUNTIFS(Table1[Optioneel genre],'Legacy Berekeningen'!$A10,Table1[Meister],$A$48,Table1[Rnd],"&lt;="&amp;L$8)</f>
        <v>2</v>
      </c>
      <c r="M56">
        <f>COUNTIFS(Table1[Genre],'Legacy Berekeningen'!$A10,Table1[Meister],$A$48,Table1[Rnd],"&lt;="&amp;M$8)+COUNTIFS(Table1[Optioneel genre],'Legacy Berekeningen'!$A10,Table1[Meister],$A$48,Table1[Rnd],"&lt;="&amp;M$8)</f>
        <v>3</v>
      </c>
      <c r="N56">
        <f>COUNTIFS(Table1[Genre],'Legacy Berekeningen'!$A10,Table1[Meister],$A$48,Table1[Rnd],"&lt;="&amp;N$8)+COUNTIFS(Table1[Optioneel genre],'Legacy Berekeningen'!$A10,Table1[Meister],$A$48,Table1[Rnd],"&lt;="&amp;N$8)</f>
        <v>3</v>
      </c>
    </row>
    <row r="57" spans="1:14">
      <c r="A57" s="2" t="s">
        <v>74</v>
      </c>
      <c r="B57">
        <f>COUNTIFS(Table1[Genre],'Legacy Berekeningen'!$A11,Table1[Meister],$A$48,Table1[Rnd],"&lt;="&amp;B$8)+COUNTIFS(Table1[Optioneel genre],'Legacy Berekeningen'!$A11,Table1[Meister],$A$48,Table1[Rnd],"&lt;="&amp;B$8)</f>
        <v>0</v>
      </c>
      <c r="C57">
        <f>COUNTIFS(Table1[Genre],'Legacy Berekeningen'!$A11,Table1[Meister],$A$48,Table1[Rnd],"&lt;="&amp;C$8)+COUNTIFS(Table1[Optioneel genre],'Legacy Berekeningen'!$A11,Table1[Meister],$A$48,Table1[Rnd],"&lt;="&amp;C$8)</f>
        <v>0</v>
      </c>
      <c r="D57">
        <f>COUNTIFS(Table1[Genre],'Legacy Berekeningen'!$A11,Table1[Meister],$A$48,Table1[Rnd],"&lt;="&amp;D$8)+COUNTIFS(Table1[Optioneel genre],'Legacy Berekeningen'!$A11,Table1[Meister],$A$48,Table1[Rnd],"&lt;="&amp;D$8)</f>
        <v>0</v>
      </c>
      <c r="E57">
        <f>COUNTIFS(Table1[Genre],'Legacy Berekeningen'!$A11,Table1[Meister],$A$48,Table1[Rnd],"&lt;="&amp;E$8)+COUNTIFS(Table1[Optioneel genre],'Legacy Berekeningen'!$A11,Table1[Meister],$A$48,Table1[Rnd],"&lt;="&amp;E$8)</f>
        <v>0</v>
      </c>
      <c r="F57">
        <f>COUNTIFS(Table1[Genre],'Legacy Berekeningen'!$A11,Table1[Meister],$A$48,Table1[Rnd],"&lt;="&amp;F$8)+COUNTIFS(Table1[Optioneel genre],'Legacy Berekeningen'!$A11,Table1[Meister],$A$48,Table1[Rnd],"&lt;="&amp;F$8)</f>
        <v>0</v>
      </c>
      <c r="G57">
        <f>COUNTIFS(Table1[Genre],'Legacy Berekeningen'!$A11,Table1[Meister],$A$48,Table1[Rnd],"&lt;="&amp;G$8)+COUNTIFS(Table1[Optioneel genre],'Legacy Berekeningen'!$A11,Table1[Meister],$A$48,Table1[Rnd],"&lt;="&amp;G$8)</f>
        <v>0</v>
      </c>
      <c r="H57">
        <f>COUNTIFS(Table1[Genre],'Legacy Berekeningen'!$A11,Table1[Meister],$A$48,Table1[Rnd],"&lt;="&amp;H$8)+COUNTIFS(Table1[Optioneel genre],'Legacy Berekeningen'!$A11,Table1[Meister],$A$48,Table1[Rnd],"&lt;="&amp;H$8)</f>
        <v>0</v>
      </c>
      <c r="I57">
        <f>COUNTIFS(Table1[Genre],'Legacy Berekeningen'!$A11,Table1[Meister],$A$48,Table1[Rnd],"&lt;="&amp;I$8)+COUNTIFS(Table1[Optioneel genre],'Legacy Berekeningen'!$A11,Table1[Meister],$A$48,Table1[Rnd],"&lt;="&amp;I$8)</f>
        <v>0</v>
      </c>
      <c r="J57">
        <f>COUNTIFS(Table1[Genre],'Legacy Berekeningen'!$A11,Table1[Meister],$A$48,Table1[Rnd],"&lt;="&amp;J$8)+COUNTIFS(Table1[Optioneel genre],'Legacy Berekeningen'!$A11,Table1[Meister],$A$48,Table1[Rnd],"&lt;="&amp;J$8)</f>
        <v>0</v>
      </c>
      <c r="K57">
        <f>COUNTIFS(Table1[Genre],'Legacy Berekeningen'!$A11,Table1[Meister],$A$48,Table1[Rnd],"&lt;="&amp;K$8)+COUNTIFS(Table1[Optioneel genre],'Legacy Berekeningen'!$A11,Table1[Meister],$A$48,Table1[Rnd],"&lt;="&amp;K$8)</f>
        <v>0</v>
      </c>
      <c r="L57">
        <f>COUNTIFS(Table1[Genre],'Legacy Berekeningen'!$A11,Table1[Meister],$A$48,Table1[Rnd],"&lt;="&amp;L$8)+COUNTIFS(Table1[Optioneel genre],'Legacy Berekeningen'!$A11,Table1[Meister],$A$48,Table1[Rnd],"&lt;="&amp;L$8)</f>
        <v>0</v>
      </c>
      <c r="M57">
        <f>COUNTIFS(Table1[Genre],'Legacy Berekeningen'!$A11,Table1[Meister],$A$48,Table1[Rnd],"&lt;="&amp;M$8)+COUNTIFS(Table1[Optioneel genre],'Legacy Berekeningen'!$A11,Table1[Meister],$A$48,Table1[Rnd],"&lt;="&amp;M$8)</f>
        <v>0</v>
      </c>
      <c r="N57">
        <f>COUNTIFS(Table1[Genre],'Legacy Berekeningen'!$A11,Table1[Meister],$A$48,Table1[Rnd],"&lt;="&amp;N$8)+COUNTIFS(Table1[Optioneel genre],'Legacy Berekeningen'!$A11,Table1[Meister],$A$48,Table1[Rnd],"&lt;="&amp;N$8)</f>
        <v>0</v>
      </c>
    </row>
    <row r="58" spans="1:14">
      <c r="A58" s="2" t="s">
        <v>62</v>
      </c>
      <c r="B58">
        <f>COUNTIFS(Table1[Genre],'Legacy Berekeningen'!$A12,Table1[Meister],$A$48,Table1[Rnd],"&lt;="&amp;B$8)+COUNTIFS(Table1[Optioneel genre],'Legacy Berekeningen'!$A12,Table1[Meister],$A$48,Table1[Rnd],"&lt;="&amp;B$8)</f>
        <v>0</v>
      </c>
      <c r="C58">
        <f>COUNTIFS(Table1[Genre],'Legacy Berekeningen'!$A12,Table1[Meister],$A$48,Table1[Rnd],"&lt;="&amp;C$8)+COUNTIFS(Table1[Optioneel genre],'Legacy Berekeningen'!$A12,Table1[Meister],$A$48,Table1[Rnd],"&lt;="&amp;C$8)</f>
        <v>0</v>
      </c>
      <c r="D58">
        <f>COUNTIFS(Table1[Genre],'Legacy Berekeningen'!$A12,Table1[Meister],$A$48,Table1[Rnd],"&lt;="&amp;D$8)+COUNTIFS(Table1[Optioneel genre],'Legacy Berekeningen'!$A12,Table1[Meister],$A$48,Table1[Rnd],"&lt;="&amp;D$8)</f>
        <v>0</v>
      </c>
      <c r="E58">
        <f>COUNTIFS(Table1[Genre],'Legacy Berekeningen'!$A12,Table1[Meister],$A$48,Table1[Rnd],"&lt;="&amp;E$8)+COUNTIFS(Table1[Optioneel genre],'Legacy Berekeningen'!$A12,Table1[Meister],$A$48,Table1[Rnd],"&lt;="&amp;E$8)</f>
        <v>0</v>
      </c>
      <c r="F58">
        <f>COUNTIFS(Table1[Genre],'Legacy Berekeningen'!$A12,Table1[Meister],$A$48,Table1[Rnd],"&lt;="&amp;F$8)+COUNTIFS(Table1[Optioneel genre],'Legacy Berekeningen'!$A12,Table1[Meister],$A$48,Table1[Rnd],"&lt;="&amp;F$8)</f>
        <v>0</v>
      </c>
      <c r="G58">
        <f>COUNTIFS(Table1[Genre],'Legacy Berekeningen'!$A12,Table1[Meister],$A$48,Table1[Rnd],"&lt;="&amp;G$8)+COUNTIFS(Table1[Optioneel genre],'Legacy Berekeningen'!$A12,Table1[Meister],$A$48,Table1[Rnd],"&lt;="&amp;G$8)</f>
        <v>0</v>
      </c>
      <c r="H58">
        <f>COUNTIFS(Table1[Genre],'Legacy Berekeningen'!$A12,Table1[Meister],$A$48,Table1[Rnd],"&lt;="&amp;H$8)+COUNTIFS(Table1[Optioneel genre],'Legacy Berekeningen'!$A12,Table1[Meister],$A$48,Table1[Rnd],"&lt;="&amp;H$8)</f>
        <v>0</v>
      </c>
      <c r="I58">
        <f>COUNTIFS(Table1[Genre],'Legacy Berekeningen'!$A12,Table1[Meister],$A$48,Table1[Rnd],"&lt;="&amp;I$8)+COUNTIFS(Table1[Optioneel genre],'Legacy Berekeningen'!$A12,Table1[Meister],$A$48,Table1[Rnd],"&lt;="&amp;I$8)</f>
        <v>1</v>
      </c>
      <c r="J58">
        <f>COUNTIFS(Table1[Genre],'Legacy Berekeningen'!$A12,Table1[Meister],$A$48,Table1[Rnd],"&lt;="&amp;J$8)+COUNTIFS(Table1[Optioneel genre],'Legacy Berekeningen'!$A12,Table1[Meister],$A$48,Table1[Rnd],"&lt;="&amp;J$8)</f>
        <v>1</v>
      </c>
      <c r="K58">
        <f>COUNTIFS(Table1[Genre],'Legacy Berekeningen'!$A12,Table1[Meister],$A$48,Table1[Rnd],"&lt;="&amp;K$8)+COUNTIFS(Table1[Optioneel genre],'Legacy Berekeningen'!$A12,Table1[Meister],$A$48,Table1[Rnd],"&lt;="&amp;K$8)</f>
        <v>1</v>
      </c>
      <c r="L58">
        <f>COUNTIFS(Table1[Genre],'Legacy Berekeningen'!$A12,Table1[Meister],$A$48,Table1[Rnd],"&lt;="&amp;L$8)+COUNTIFS(Table1[Optioneel genre],'Legacy Berekeningen'!$A12,Table1[Meister],$A$48,Table1[Rnd],"&lt;="&amp;L$8)</f>
        <v>1</v>
      </c>
      <c r="M58">
        <f>COUNTIFS(Table1[Genre],'Legacy Berekeningen'!$A12,Table1[Meister],$A$48,Table1[Rnd],"&lt;="&amp;M$8)+COUNTIFS(Table1[Optioneel genre],'Legacy Berekeningen'!$A12,Table1[Meister],$A$48,Table1[Rnd],"&lt;="&amp;M$8)</f>
        <v>1</v>
      </c>
      <c r="N58">
        <f>COUNTIFS(Table1[Genre],'Legacy Berekeningen'!$A12,Table1[Meister],$A$48,Table1[Rnd],"&lt;="&amp;N$8)+COUNTIFS(Table1[Optioneel genre],'Legacy Berekeningen'!$A12,Table1[Meister],$A$48,Table1[Rnd],"&lt;="&amp;N$8)</f>
        <v>1</v>
      </c>
    </row>
    <row r="59" spans="1:14">
      <c r="A59" s="2" t="s">
        <v>63</v>
      </c>
      <c r="B59">
        <f>COUNTIFS(Table1[Genre],'Legacy Berekeningen'!$A13,Table1[Meister],$A$48,Table1[Rnd],"&lt;="&amp;B$8)+COUNTIFS(Table1[Optioneel genre],'Legacy Berekeningen'!$A13,Table1[Meister],$A$48,Table1[Rnd],"&lt;="&amp;B$8)</f>
        <v>0</v>
      </c>
      <c r="C59">
        <f>COUNTIFS(Table1[Genre],'Legacy Berekeningen'!$A13,Table1[Meister],$A$48,Table1[Rnd],"&lt;="&amp;C$8)+COUNTIFS(Table1[Optioneel genre],'Legacy Berekeningen'!$A13,Table1[Meister],$A$48,Table1[Rnd],"&lt;="&amp;C$8)</f>
        <v>0</v>
      </c>
      <c r="D59">
        <f>COUNTIFS(Table1[Genre],'Legacy Berekeningen'!$A13,Table1[Meister],$A$48,Table1[Rnd],"&lt;="&amp;D$8)+COUNTIFS(Table1[Optioneel genre],'Legacy Berekeningen'!$A13,Table1[Meister],$A$48,Table1[Rnd],"&lt;="&amp;D$8)</f>
        <v>0</v>
      </c>
      <c r="E59">
        <f>COUNTIFS(Table1[Genre],'Legacy Berekeningen'!$A13,Table1[Meister],$A$48,Table1[Rnd],"&lt;="&amp;E$8)+COUNTIFS(Table1[Optioneel genre],'Legacy Berekeningen'!$A13,Table1[Meister],$A$48,Table1[Rnd],"&lt;="&amp;E$8)</f>
        <v>0</v>
      </c>
      <c r="F59">
        <f>COUNTIFS(Table1[Genre],'Legacy Berekeningen'!$A13,Table1[Meister],$A$48,Table1[Rnd],"&lt;="&amp;F$8)+COUNTIFS(Table1[Optioneel genre],'Legacy Berekeningen'!$A13,Table1[Meister],$A$48,Table1[Rnd],"&lt;="&amp;F$8)</f>
        <v>0</v>
      </c>
      <c r="G59">
        <f>COUNTIFS(Table1[Genre],'Legacy Berekeningen'!$A13,Table1[Meister],$A$48,Table1[Rnd],"&lt;="&amp;G$8)+COUNTIFS(Table1[Optioneel genre],'Legacy Berekeningen'!$A13,Table1[Meister],$A$48,Table1[Rnd],"&lt;="&amp;G$8)</f>
        <v>0</v>
      </c>
      <c r="H59">
        <f>COUNTIFS(Table1[Genre],'Legacy Berekeningen'!$A13,Table1[Meister],$A$48,Table1[Rnd],"&lt;="&amp;H$8)+COUNTIFS(Table1[Optioneel genre],'Legacy Berekeningen'!$A13,Table1[Meister],$A$48,Table1[Rnd],"&lt;="&amp;H$8)</f>
        <v>0</v>
      </c>
      <c r="I59">
        <f>COUNTIFS(Table1[Genre],'Legacy Berekeningen'!$A13,Table1[Meister],$A$48,Table1[Rnd],"&lt;="&amp;I$8)+COUNTIFS(Table1[Optioneel genre],'Legacy Berekeningen'!$A13,Table1[Meister],$A$48,Table1[Rnd],"&lt;="&amp;I$8)</f>
        <v>1</v>
      </c>
      <c r="J59">
        <f>COUNTIFS(Table1[Genre],'Legacy Berekeningen'!$A13,Table1[Meister],$A$48,Table1[Rnd],"&lt;="&amp;J$8)+COUNTIFS(Table1[Optioneel genre],'Legacy Berekeningen'!$A13,Table1[Meister],$A$48,Table1[Rnd],"&lt;="&amp;J$8)</f>
        <v>1</v>
      </c>
      <c r="K59">
        <f>COUNTIFS(Table1[Genre],'Legacy Berekeningen'!$A13,Table1[Meister],$A$48,Table1[Rnd],"&lt;="&amp;K$8)+COUNTIFS(Table1[Optioneel genre],'Legacy Berekeningen'!$A13,Table1[Meister],$A$48,Table1[Rnd],"&lt;="&amp;K$8)</f>
        <v>1</v>
      </c>
      <c r="L59">
        <f>COUNTIFS(Table1[Genre],'Legacy Berekeningen'!$A13,Table1[Meister],$A$48,Table1[Rnd],"&lt;="&amp;L$8)+COUNTIFS(Table1[Optioneel genre],'Legacy Berekeningen'!$A13,Table1[Meister],$A$48,Table1[Rnd],"&lt;="&amp;L$8)</f>
        <v>1</v>
      </c>
      <c r="M59">
        <f>COUNTIFS(Table1[Genre],'Legacy Berekeningen'!$A13,Table1[Meister],$A$48,Table1[Rnd],"&lt;="&amp;M$8)+COUNTIFS(Table1[Optioneel genre],'Legacy Berekeningen'!$A13,Table1[Meister],$A$48,Table1[Rnd],"&lt;="&amp;M$8)</f>
        <v>1</v>
      </c>
      <c r="N59">
        <f>COUNTIFS(Table1[Genre],'Legacy Berekeningen'!$A13,Table1[Meister],$A$48,Table1[Rnd],"&lt;="&amp;N$8)+COUNTIFS(Table1[Optioneel genre],'Legacy Berekeningen'!$A13,Table1[Meister],$A$48,Table1[Rnd],"&lt;="&amp;N$8)</f>
        <v>1</v>
      </c>
    </row>
    <row r="60" spans="1:14">
      <c r="A60" s="2" t="s">
        <v>46</v>
      </c>
      <c r="B60">
        <f>COUNTIFS(Table1[Genre],'Legacy Berekeningen'!$A14,Table1[Meister],$A$48,Table1[Rnd],"&lt;="&amp;B$8)+COUNTIFS(Table1[Optioneel genre],'Legacy Berekeningen'!$A14,Table1[Meister],$A$48,Table1[Rnd],"&lt;="&amp;B$8)</f>
        <v>0</v>
      </c>
      <c r="C60">
        <f>COUNTIFS(Table1[Genre],'Legacy Berekeningen'!$A14,Table1[Meister],$A$48,Table1[Rnd],"&lt;="&amp;C$8)+COUNTIFS(Table1[Optioneel genre],'Legacy Berekeningen'!$A14,Table1[Meister],$A$48,Table1[Rnd],"&lt;="&amp;C$8)</f>
        <v>0</v>
      </c>
      <c r="D60">
        <f>COUNTIFS(Table1[Genre],'Legacy Berekeningen'!$A14,Table1[Meister],$A$48,Table1[Rnd],"&lt;="&amp;D$8)+COUNTIFS(Table1[Optioneel genre],'Legacy Berekeningen'!$A14,Table1[Meister],$A$48,Table1[Rnd],"&lt;="&amp;D$8)</f>
        <v>0</v>
      </c>
      <c r="E60">
        <f>COUNTIFS(Table1[Genre],'Legacy Berekeningen'!$A14,Table1[Meister],$A$48,Table1[Rnd],"&lt;="&amp;E$8)+COUNTIFS(Table1[Optioneel genre],'Legacy Berekeningen'!$A14,Table1[Meister],$A$48,Table1[Rnd],"&lt;="&amp;E$8)</f>
        <v>0</v>
      </c>
      <c r="F60">
        <f>COUNTIFS(Table1[Genre],'Legacy Berekeningen'!$A14,Table1[Meister],$A$48,Table1[Rnd],"&lt;="&amp;F$8)+COUNTIFS(Table1[Optioneel genre],'Legacy Berekeningen'!$A14,Table1[Meister],$A$48,Table1[Rnd],"&lt;="&amp;F$8)</f>
        <v>0</v>
      </c>
      <c r="G60">
        <f>COUNTIFS(Table1[Genre],'Legacy Berekeningen'!$A14,Table1[Meister],$A$48,Table1[Rnd],"&lt;="&amp;G$8)+COUNTIFS(Table1[Optioneel genre],'Legacy Berekeningen'!$A14,Table1[Meister],$A$48,Table1[Rnd],"&lt;="&amp;G$8)</f>
        <v>0</v>
      </c>
      <c r="H60">
        <f>COUNTIFS(Table1[Genre],'Legacy Berekeningen'!$A14,Table1[Meister],$A$48,Table1[Rnd],"&lt;="&amp;H$8)+COUNTIFS(Table1[Optioneel genre],'Legacy Berekeningen'!$A14,Table1[Meister],$A$48,Table1[Rnd],"&lt;="&amp;H$8)</f>
        <v>0</v>
      </c>
      <c r="I60">
        <f>COUNTIFS(Table1[Genre],'Legacy Berekeningen'!$A14,Table1[Meister],$A$48,Table1[Rnd],"&lt;="&amp;I$8)+COUNTIFS(Table1[Optioneel genre],'Legacy Berekeningen'!$A14,Table1[Meister],$A$48,Table1[Rnd],"&lt;="&amp;I$8)</f>
        <v>0</v>
      </c>
      <c r="J60">
        <f>COUNTIFS(Table1[Genre],'Legacy Berekeningen'!$A14,Table1[Meister],$A$48,Table1[Rnd],"&lt;="&amp;J$8)+COUNTIFS(Table1[Optioneel genre],'Legacy Berekeningen'!$A14,Table1[Meister],$A$48,Table1[Rnd],"&lt;="&amp;J$8)</f>
        <v>0</v>
      </c>
      <c r="K60">
        <f>COUNTIFS(Table1[Genre],'Legacy Berekeningen'!$A14,Table1[Meister],$A$48,Table1[Rnd],"&lt;="&amp;K$8)+COUNTIFS(Table1[Optioneel genre],'Legacy Berekeningen'!$A14,Table1[Meister],$A$48,Table1[Rnd],"&lt;="&amp;K$8)</f>
        <v>0</v>
      </c>
      <c r="L60">
        <f>COUNTIFS(Table1[Genre],'Legacy Berekeningen'!$A14,Table1[Meister],$A$48,Table1[Rnd],"&lt;="&amp;L$8)+COUNTIFS(Table1[Optioneel genre],'Legacy Berekeningen'!$A14,Table1[Meister],$A$48,Table1[Rnd],"&lt;="&amp;L$8)</f>
        <v>0</v>
      </c>
      <c r="M60">
        <f>COUNTIFS(Table1[Genre],'Legacy Berekeningen'!$A14,Table1[Meister],$A$48,Table1[Rnd],"&lt;="&amp;M$8)+COUNTIFS(Table1[Optioneel genre],'Legacy Berekeningen'!$A14,Table1[Meister],$A$48,Table1[Rnd],"&lt;="&amp;M$8)</f>
        <v>0</v>
      </c>
      <c r="N60">
        <f>COUNTIFS(Table1[Genre],'Legacy Berekeningen'!$A14,Table1[Meister],$A$48,Table1[Rnd],"&lt;="&amp;N$8)+COUNTIFS(Table1[Optioneel genre],'Legacy Berekeningen'!$A14,Table1[Meister],$A$48,Table1[Rnd],"&lt;="&amp;N$8)</f>
        <v>0</v>
      </c>
    </row>
    <row r="61" spans="1:14">
      <c r="A61" s="2" t="s">
        <v>20</v>
      </c>
      <c r="B61">
        <f>COUNTIFS(Table1[Genre],'Legacy Berekeningen'!$A15,Table1[Meister],$A$48,Table1[Rnd],"&lt;="&amp;B$8)+COUNTIFS(Table1[Optioneel genre],'Legacy Berekeningen'!$A15,Table1[Meister],$A$48,Table1[Rnd],"&lt;="&amp;B$8)</f>
        <v>0</v>
      </c>
      <c r="C61">
        <f>COUNTIFS(Table1[Genre],'Legacy Berekeningen'!$A15,Table1[Meister],$A$48,Table1[Rnd],"&lt;="&amp;C$8)+COUNTIFS(Table1[Optioneel genre],'Legacy Berekeningen'!$A15,Table1[Meister],$A$48,Table1[Rnd],"&lt;="&amp;C$8)</f>
        <v>0</v>
      </c>
      <c r="D61">
        <f>COUNTIFS(Table1[Genre],'Legacy Berekeningen'!$A15,Table1[Meister],$A$48,Table1[Rnd],"&lt;="&amp;D$8)+COUNTIFS(Table1[Optioneel genre],'Legacy Berekeningen'!$A15,Table1[Meister],$A$48,Table1[Rnd],"&lt;="&amp;D$8)</f>
        <v>0</v>
      </c>
      <c r="E61">
        <f>COUNTIFS(Table1[Genre],'Legacy Berekeningen'!$A15,Table1[Meister],$A$48,Table1[Rnd],"&lt;="&amp;E$8)+COUNTIFS(Table1[Optioneel genre],'Legacy Berekeningen'!$A15,Table1[Meister],$A$48,Table1[Rnd],"&lt;="&amp;E$8)</f>
        <v>0</v>
      </c>
      <c r="F61">
        <f>COUNTIFS(Table1[Genre],'Legacy Berekeningen'!$A15,Table1[Meister],$A$48,Table1[Rnd],"&lt;="&amp;F$8)+COUNTIFS(Table1[Optioneel genre],'Legacy Berekeningen'!$A15,Table1[Meister],$A$48,Table1[Rnd],"&lt;="&amp;F$8)</f>
        <v>0</v>
      </c>
      <c r="G61">
        <f>COUNTIFS(Table1[Genre],'Legacy Berekeningen'!$A15,Table1[Meister],$A$48,Table1[Rnd],"&lt;="&amp;G$8)+COUNTIFS(Table1[Optioneel genre],'Legacy Berekeningen'!$A15,Table1[Meister],$A$48,Table1[Rnd],"&lt;="&amp;G$8)</f>
        <v>0</v>
      </c>
      <c r="H61">
        <f>COUNTIFS(Table1[Genre],'Legacy Berekeningen'!$A15,Table1[Meister],$A$48,Table1[Rnd],"&lt;="&amp;H$8)+COUNTIFS(Table1[Optioneel genre],'Legacy Berekeningen'!$A15,Table1[Meister],$A$48,Table1[Rnd],"&lt;="&amp;H$8)</f>
        <v>0</v>
      </c>
      <c r="I61">
        <f>COUNTIFS(Table1[Genre],'Legacy Berekeningen'!$A15,Table1[Meister],$A$48,Table1[Rnd],"&lt;="&amp;I$8)+COUNTIFS(Table1[Optioneel genre],'Legacy Berekeningen'!$A15,Table1[Meister],$A$48,Table1[Rnd],"&lt;="&amp;I$8)</f>
        <v>0</v>
      </c>
      <c r="J61">
        <f>COUNTIFS(Table1[Genre],'Legacy Berekeningen'!$A15,Table1[Meister],$A$48,Table1[Rnd],"&lt;="&amp;J$8)+COUNTIFS(Table1[Optioneel genre],'Legacy Berekeningen'!$A15,Table1[Meister],$A$48,Table1[Rnd],"&lt;="&amp;J$8)</f>
        <v>0</v>
      </c>
      <c r="K61">
        <f>COUNTIFS(Table1[Genre],'Legacy Berekeningen'!$A15,Table1[Meister],$A$48,Table1[Rnd],"&lt;="&amp;K$8)+COUNTIFS(Table1[Optioneel genre],'Legacy Berekeningen'!$A15,Table1[Meister],$A$48,Table1[Rnd],"&lt;="&amp;K$8)</f>
        <v>0</v>
      </c>
      <c r="L61">
        <f>COUNTIFS(Table1[Genre],'Legacy Berekeningen'!$A15,Table1[Meister],$A$48,Table1[Rnd],"&lt;="&amp;L$8)+COUNTIFS(Table1[Optioneel genre],'Legacy Berekeningen'!$A15,Table1[Meister],$A$48,Table1[Rnd],"&lt;="&amp;L$8)</f>
        <v>0</v>
      </c>
      <c r="M61">
        <f>COUNTIFS(Table1[Genre],'Legacy Berekeningen'!$A15,Table1[Meister],$A$48,Table1[Rnd],"&lt;="&amp;M$8)+COUNTIFS(Table1[Optioneel genre],'Legacy Berekeningen'!$A15,Table1[Meister],$A$48,Table1[Rnd],"&lt;="&amp;M$8)</f>
        <v>0</v>
      </c>
      <c r="N61">
        <f>COUNTIFS(Table1[Genre],'Legacy Berekeningen'!$A15,Table1[Meister],$A$48,Table1[Rnd],"&lt;="&amp;N$8)+COUNTIFS(Table1[Optioneel genre],'Legacy Berekeningen'!$A15,Table1[Meister],$A$48,Table1[Rnd],"&lt;="&amp;N$8)</f>
        <v>0</v>
      </c>
    </row>
    <row r="62" spans="1:14">
      <c r="A62" s="2" t="s">
        <v>68</v>
      </c>
      <c r="B62">
        <f>COUNTIFS(Table1[Genre],'Legacy Berekeningen'!$A16,Table1[Meister],$A$48,Table1[Rnd],"&lt;="&amp;B$8)+COUNTIFS(Table1[Optioneel genre],'Legacy Berekeningen'!$A16,Table1[Meister],$A$48,Table1[Rnd],"&lt;="&amp;B$8)</f>
        <v>0</v>
      </c>
      <c r="C62">
        <f>COUNTIFS(Table1[Genre],'Legacy Berekeningen'!$A16,Table1[Meister],$A$48,Table1[Rnd],"&lt;="&amp;C$8)+COUNTIFS(Table1[Optioneel genre],'Legacy Berekeningen'!$A16,Table1[Meister],$A$48,Table1[Rnd],"&lt;="&amp;C$8)</f>
        <v>0</v>
      </c>
      <c r="D62">
        <f>COUNTIFS(Table1[Genre],'Legacy Berekeningen'!$A16,Table1[Meister],$A$48,Table1[Rnd],"&lt;="&amp;D$8)+COUNTIFS(Table1[Optioneel genre],'Legacy Berekeningen'!$A16,Table1[Meister],$A$48,Table1[Rnd],"&lt;="&amp;D$8)</f>
        <v>0</v>
      </c>
      <c r="E62">
        <f>COUNTIFS(Table1[Genre],'Legacy Berekeningen'!$A16,Table1[Meister],$A$48,Table1[Rnd],"&lt;="&amp;E$8)+COUNTIFS(Table1[Optioneel genre],'Legacy Berekeningen'!$A16,Table1[Meister],$A$48,Table1[Rnd],"&lt;="&amp;E$8)</f>
        <v>0</v>
      </c>
      <c r="F62">
        <f>COUNTIFS(Table1[Genre],'Legacy Berekeningen'!$A16,Table1[Meister],$A$48,Table1[Rnd],"&lt;="&amp;F$8)+COUNTIFS(Table1[Optioneel genre],'Legacy Berekeningen'!$A16,Table1[Meister],$A$48,Table1[Rnd],"&lt;="&amp;F$8)</f>
        <v>0</v>
      </c>
      <c r="G62">
        <f>COUNTIFS(Table1[Genre],'Legacy Berekeningen'!$A16,Table1[Meister],$A$48,Table1[Rnd],"&lt;="&amp;G$8)+COUNTIFS(Table1[Optioneel genre],'Legacy Berekeningen'!$A16,Table1[Meister],$A$48,Table1[Rnd],"&lt;="&amp;G$8)</f>
        <v>0</v>
      </c>
      <c r="H62">
        <f>COUNTIFS(Table1[Genre],'Legacy Berekeningen'!$A16,Table1[Meister],$A$48,Table1[Rnd],"&lt;="&amp;H$8)+COUNTIFS(Table1[Optioneel genre],'Legacy Berekeningen'!$A16,Table1[Meister],$A$48,Table1[Rnd],"&lt;="&amp;H$8)</f>
        <v>0</v>
      </c>
      <c r="I62">
        <f>COUNTIFS(Table1[Genre],'Legacy Berekeningen'!$A16,Table1[Meister],$A$48,Table1[Rnd],"&lt;="&amp;I$8)+COUNTIFS(Table1[Optioneel genre],'Legacy Berekeningen'!$A16,Table1[Meister],$A$48,Table1[Rnd],"&lt;="&amp;I$8)</f>
        <v>0</v>
      </c>
      <c r="J62">
        <f>COUNTIFS(Table1[Genre],'Legacy Berekeningen'!$A16,Table1[Meister],$A$48,Table1[Rnd],"&lt;="&amp;J$8)+COUNTIFS(Table1[Optioneel genre],'Legacy Berekeningen'!$A16,Table1[Meister],$A$48,Table1[Rnd],"&lt;="&amp;J$8)</f>
        <v>1</v>
      </c>
      <c r="K62">
        <f>COUNTIFS(Table1[Genre],'Legacy Berekeningen'!$A16,Table1[Meister],$A$48,Table1[Rnd],"&lt;="&amp;K$8)+COUNTIFS(Table1[Optioneel genre],'Legacy Berekeningen'!$A16,Table1[Meister],$A$48,Table1[Rnd],"&lt;="&amp;K$8)</f>
        <v>1</v>
      </c>
      <c r="L62">
        <f>COUNTIFS(Table1[Genre],'Legacy Berekeningen'!$A16,Table1[Meister],$A$48,Table1[Rnd],"&lt;="&amp;L$8)+COUNTIFS(Table1[Optioneel genre],'Legacy Berekeningen'!$A16,Table1[Meister],$A$48,Table1[Rnd],"&lt;="&amp;L$8)</f>
        <v>1</v>
      </c>
      <c r="M62">
        <f>COUNTIFS(Table1[Genre],'Legacy Berekeningen'!$A16,Table1[Meister],$A$48,Table1[Rnd],"&lt;="&amp;M$8)+COUNTIFS(Table1[Optioneel genre],'Legacy Berekeningen'!$A16,Table1[Meister],$A$48,Table1[Rnd],"&lt;="&amp;M$8)</f>
        <v>1</v>
      </c>
      <c r="N62">
        <f>COUNTIFS(Table1[Genre],'Legacy Berekeningen'!$A16,Table1[Meister],$A$48,Table1[Rnd],"&lt;="&amp;N$8)+COUNTIFS(Table1[Optioneel genre],'Legacy Berekeningen'!$A16,Table1[Meister],$A$48,Table1[Rnd],"&lt;="&amp;N$8)</f>
        <v>1</v>
      </c>
    </row>
    <row r="63" spans="1:14">
      <c r="A63" s="2" t="s">
        <v>21</v>
      </c>
      <c r="B63">
        <f>COUNTIFS(Table1[Genre],'Legacy Berekeningen'!$A17,Table1[Meister],$A$48,Table1[Rnd],"&lt;="&amp;B$8)+COUNTIFS(Table1[Optioneel genre],'Legacy Berekeningen'!$A17,Table1[Meister],$A$48,Table1[Rnd],"&lt;="&amp;B$8)</f>
        <v>1</v>
      </c>
      <c r="C63">
        <f>COUNTIFS(Table1[Genre],'Legacy Berekeningen'!$A17,Table1[Meister],$A$48,Table1[Rnd],"&lt;="&amp;C$8)+COUNTIFS(Table1[Optioneel genre],'Legacy Berekeningen'!$A17,Table1[Meister],$A$48,Table1[Rnd],"&lt;="&amp;C$8)</f>
        <v>1</v>
      </c>
      <c r="D63">
        <f>COUNTIFS(Table1[Genre],'Legacy Berekeningen'!$A17,Table1[Meister],$A$48,Table1[Rnd],"&lt;="&amp;D$8)+COUNTIFS(Table1[Optioneel genre],'Legacy Berekeningen'!$A17,Table1[Meister],$A$48,Table1[Rnd],"&lt;="&amp;D$8)</f>
        <v>1</v>
      </c>
      <c r="E63">
        <f>COUNTIFS(Table1[Genre],'Legacy Berekeningen'!$A17,Table1[Meister],$A$48,Table1[Rnd],"&lt;="&amp;E$8)+COUNTIFS(Table1[Optioneel genre],'Legacy Berekeningen'!$A17,Table1[Meister],$A$48,Table1[Rnd],"&lt;="&amp;E$8)</f>
        <v>1</v>
      </c>
      <c r="F63">
        <f>COUNTIFS(Table1[Genre],'Legacy Berekeningen'!$A17,Table1[Meister],$A$48,Table1[Rnd],"&lt;="&amp;F$8)+COUNTIFS(Table1[Optioneel genre],'Legacy Berekeningen'!$A17,Table1[Meister],$A$48,Table1[Rnd],"&lt;="&amp;F$8)</f>
        <v>1</v>
      </c>
      <c r="G63">
        <f>COUNTIFS(Table1[Genre],'Legacy Berekeningen'!$A17,Table1[Meister],$A$48,Table1[Rnd],"&lt;="&amp;G$8)+COUNTIFS(Table1[Optioneel genre],'Legacy Berekeningen'!$A17,Table1[Meister],$A$48,Table1[Rnd],"&lt;="&amp;G$8)</f>
        <v>1</v>
      </c>
      <c r="H63">
        <f>COUNTIFS(Table1[Genre],'Legacy Berekeningen'!$A17,Table1[Meister],$A$48,Table1[Rnd],"&lt;="&amp;H$8)+COUNTIFS(Table1[Optioneel genre],'Legacy Berekeningen'!$A17,Table1[Meister],$A$48,Table1[Rnd],"&lt;="&amp;H$8)</f>
        <v>1</v>
      </c>
      <c r="I63">
        <f>COUNTIFS(Table1[Genre],'Legacy Berekeningen'!$A17,Table1[Meister],$A$48,Table1[Rnd],"&lt;="&amp;I$8)+COUNTIFS(Table1[Optioneel genre],'Legacy Berekeningen'!$A17,Table1[Meister],$A$48,Table1[Rnd],"&lt;="&amp;I$8)</f>
        <v>1</v>
      </c>
      <c r="J63">
        <f>COUNTIFS(Table1[Genre],'Legacy Berekeningen'!$A17,Table1[Meister],$A$48,Table1[Rnd],"&lt;="&amp;J$8)+COUNTIFS(Table1[Optioneel genre],'Legacy Berekeningen'!$A17,Table1[Meister],$A$48,Table1[Rnd],"&lt;="&amp;J$8)</f>
        <v>1</v>
      </c>
      <c r="K63">
        <f>COUNTIFS(Table1[Genre],'Legacy Berekeningen'!$A17,Table1[Meister],$A$48,Table1[Rnd],"&lt;="&amp;K$8)+COUNTIFS(Table1[Optioneel genre],'Legacy Berekeningen'!$A17,Table1[Meister],$A$48,Table1[Rnd],"&lt;="&amp;K$8)</f>
        <v>1</v>
      </c>
      <c r="L63">
        <f>COUNTIFS(Table1[Genre],'Legacy Berekeningen'!$A17,Table1[Meister],$A$48,Table1[Rnd],"&lt;="&amp;L$8)+COUNTIFS(Table1[Optioneel genre],'Legacy Berekeningen'!$A17,Table1[Meister],$A$48,Table1[Rnd],"&lt;="&amp;L$8)</f>
        <v>1</v>
      </c>
      <c r="M63">
        <f>COUNTIFS(Table1[Genre],'Legacy Berekeningen'!$A17,Table1[Meister],$A$48,Table1[Rnd],"&lt;="&amp;M$8)+COUNTIFS(Table1[Optioneel genre],'Legacy Berekeningen'!$A17,Table1[Meister],$A$48,Table1[Rnd],"&lt;="&amp;M$8)</f>
        <v>1</v>
      </c>
      <c r="N63">
        <f>COUNTIFS(Table1[Genre],'Legacy Berekeningen'!$A17,Table1[Meister],$A$48,Table1[Rnd],"&lt;="&amp;N$8)+COUNTIFS(Table1[Optioneel genre],'Legacy Berekeningen'!$A17,Table1[Meister],$A$48,Table1[Rnd],"&lt;="&amp;N$8)</f>
        <v>1</v>
      </c>
    </row>
    <row r="64" spans="1:14">
      <c r="A64" s="2" t="s">
        <v>579</v>
      </c>
      <c r="B64">
        <f>COUNTIFS(Table1[Genre],'Legacy Berekeningen'!$A18,Table1[Meister],$A$48,Table1[Rnd],"&lt;="&amp;B$8)+COUNTIFS(Table1[Optioneel genre],'Legacy Berekeningen'!$A18,Table1[Meister],$A$48,Table1[Rnd],"&lt;="&amp;B$8)</f>
        <v>0</v>
      </c>
      <c r="C64">
        <f>COUNTIFS(Table1[Genre],'Legacy Berekeningen'!$A18,Table1[Meister],$A$48,Table1[Rnd],"&lt;="&amp;C$8)+COUNTIFS(Table1[Optioneel genre],'Legacy Berekeningen'!$A18,Table1[Meister],$A$48,Table1[Rnd],"&lt;="&amp;C$8)</f>
        <v>0</v>
      </c>
      <c r="D64">
        <f>COUNTIFS(Table1[Genre],'Legacy Berekeningen'!$A18,Table1[Meister],$A$48,Table1[Rnd],"&lt;="&amp;D$8)+COUNTIFS(Table1[Optioneel genre],'Legacy Berekeningen'!$A18,Table1[Meister],$A$48,Table1[Rnd],"&lt;="&amp;D$8)</f>
        <v>0</v>
      </c>
      <c r="E64">
        <f>COUNTIFS(Table1[Genre],'Legacy Berekeningen'!$A18,Table1[Meister],$A$48,Table1[Rnd],"&lt;="&amp;E$8)+COUNTIFS(Table1[Optioneel genre],'Legacy Berekeningen'!$A18,Table1[Meister],$A$48,Table1[Rnd],"&lt;="&amp;E$8)</f>
        <v>0</v>
      </c>
      <c r="F64">
        <f>COUNTIFS(Table1[Genre],'Legacy Berekeningen'!$A18,Table1[Meister],$A$48,Table1[Rnd],"&lt;="&amp;F$8)+COUNTIFS(Table1[Optioneel genre],'Legacy Berekeningen'!$A18,Table1[Meister],$A$48,Table1[Rnd],"&lt;="&amp;F$8)</f>
        <v>0</v>
      </c>
      <c r="G64">
        <f>COUNTIFS(Table1[Genre],'Legacy Berekeningen'!$A18,Table1[Meister],$A$48,Table1[Rnd],"&lt;="&amp;G$8)+COUNTIFS(Table1[Optioneel genre],'Legacy Berekeningen'!$A18,Table1[Meister],$A$48,Table1[Rnd],"&lt;="&amp;G$8)</f>
        <v>0</v>
      </c>
      <c r="H64">
        <f>COUNTIFS(Table1[Genre],'Legacy Berekeningen'!$A18,Table1[Meister],$A$48,Table1[Rnd],"&lt;="&amp;H$8)+COUNTIFS(Table1[Optioneel genre],'Legacy Berekeningen'!$A18,Table1[Meister],$A$48,Table1[Rnd],"&lt;="&amp;H$8)</f>
        <v>0</v>
      </c>
      <c r="I64">
        <f>COUNTIFS(Table1[Genre],'Legacy Berekeningen'!$A18,Table1[Meister],$A$48,Table1[Rnd],"&lt;="&amp;I$8)+COUNTIFS(Table1[Optioneel genre],'Legacy Berekeningen'!$A18,Table1[Meister],$A$48,Table1[Rnd],"&lt;="&amp;I$8)</f>
        <v>0</v>
      </c>
      <c r="J64">
        <f>COUNTIFS(Table1[Genre],'Legacy Berekeningen'!$A18,Table1[Meister],$A$48,Table1[Rnd],"&lt;="&amp;J$8)+COUNTIFS(Table1[Optioneel genre],'Legacy Berekeningen'!$A18,Table1[Meister],$A$48,Table1[Rnd],"&lt;="&amp;J$8)</f>
        <v>0</v>
      </c>
      <c r="K64">
        <f>COUNTIFS(Table1[Genre],'Legacy Berekeningen'!$A18,Table1[Meister],$A$48,Table1[Rnd],"&lt;="&amp;K$8)+COUNTIFS(Table1[Optioneel genre],'Legacy Berekeningen'!$A18,Table1[Meister],$A$48,Table1[Rnd],"&lt;="&amp;K$8)</f>
        <v>0</v>
      </c>
      <c r="L64">
        <f>COUNTIFS(Table1[Genre],'Legacy Berekeningen'!$A18,Table1[Meister],$A$48,Table1[Rnd],"&lt;="&amp;L$8)+COUNTIFS(Table1[Optioneel genre],'Legacy Berekeningen'!$A18,Table1[Meister],$A$48,Table1[Rnd],"&lt;="&amp;L$8)</f>
        <v>0</v>
      </c>
      <c r="M64">
        <f>COUNTIFS(Table1[Genre],'Legacy Berekeningen'!$A18,Table1[Meister],$A$48,Table1[Rnd],"&lt;="&amp;M$8)+COUNTIFS(Table1[Optioneel genre],'Legacy Berekeningen'!$A18,Table1[Meister],$A$48,Table1[Rnd],"&lt;="&amp;M$8)</f>
        <v>0</v>
      </c>
      <c r="N64">
        <f>COUNTIFS(Table1[Genre],'Legacy Berekeningen'!$A18,Table1[Meister],$A$48,Table1[Rnd],"&lt;="&amp;N$8)+COUNTIFS(Table1[Optioneel genre],'Legacy Berekeningen'!$A18,Table1[Meister],$A$48,Table1[Rnd],"&lt;="&amp;N$8)</f>
        <v>0</v>
      </c>
    </row>
    <row r="65" spans="1:14">
      <c r="A65" s="2" t="s">
        <v>13</v>
      </c>
      <c r="B65">
        <f>COUNTIFS(Table1[Genre],'Legacy Berekeningen'!$A19,Table1[Meister],$A$48,Table1[Rnd],"&lt;="&amp;B$8)+COUNTIFS(Table1[Optioneel genre],'Legacy Berekeningen'!$A19,Table1[Meister],$A$48,Table1[Rnd],"&lt;="&amp;B$8)</f>
        <v>0</v>
      </c>
      <c r="C65">
        <f>COUNTIFS(Table1[Genre],'Legacy Berekeningen'!$A19,Table1[Meister],$A$48,Table1[Rnd],"&lt;="&amp;C$8)+COUNTIFS(Table1[Optioneel genre],'Legacy Berekeningen'!$A19,Table1[Meister],$A$48,Table1[Rnd],"&lt;="&amp;C$8)</f>
        <v>0</v>
      </c>
      <c r="D65">
        <f>COUNTIFS(Table1[Genre],'Legacy Berekeningen'!$A19,Table1[Meister],$A$48,Table1[Rnd],"&lt;="&amp;D$8)+COUNTIFS(Table1[Optioneel genre],'Legacy Berekeningen'!$A19,Table1[Meister],$A$48,Table1[Rnd],"&lt;="&amp;D$8)</f>
        <v>0</v>
      </c>
      <c r="E65">
        <f>COUNTIFS(Table1[Genre],'Legacy Berekeningen'!$A19,Table1[Meister],$A$48,Table1[Rnd],"&lt;="&amp;E$8)+COUNTIFS(Table1[Optioneel genre],'Legacy Berekeningen'!$A19,Table1[Meister],$A$48,Table1[Rnd],"&lt;="&amp;E$8)</f>
        <v>0</v>
      </c>
      <c r="F65">
        <f>COUNTIFS(Table1[Genre],'Legacy Berekeningen'!$A19,Table1[Meister],$A$48,Table1[Rnd],"&lt;="&amp;F$8)+COUNTIFS(Table1[Optioneel genre],'Legacy Berekeningen'!$A19,Table1[Meister],$A$48,Table1[Rnd],"&lt;="&amp;F$8)</f>
        <v>0</v>
      </c>
      <c r="G65">
        <f>COUNTIFS(Table1[Genre],'Legacy Berekeningen'!$A19,Table1[Meister],$A$48,Table1[Rnd],"&lt;="&amp;G$8)+COUNTIFS(Table1[Optioneel genre],'Legacy Berekeningen'!$A19,Table1[Meister],$A$48,Table1[Rnd],"&lt;="&amp;G$8)</f>
        <v>1</v>
      </c>
      <c r="H65">
        <f>COUNTIFS(Table1[Genre],'Legacy Berekeningen'!$A19,Table1[Meister],$A$48,Table1[Rnd],"&lt;="&amp;H$8)+COUNTIFS(Table1[Optioneel genre],'Legacy Berekeningen'!$A19,Table1[Meister],$A$48,Table1[Rnd],"&lt;="&amp;H$8)</f>
        <v>1</v>
      </c>
      <c r="I65">
        <f>COUNTIFS(Table1[Genre],'Legacy Berekeningen'!$A19,Table1[Meister],$A$48,Table1[Rnd],"&lt;="&amp;I$8)+COUNTIFS(Table1[Optioneel genre],'Legacy Berekeningen'!$A19,Table1[Meister],$A$48,Table1[Rnd],"&lt;="&amp;I$8)</f>
        <v>1</v>
      </c>
      <c r="J65">
        <f>COUNTIFS(Table1[Genre],'Legacy Berekeningen'!$A19,Table1[Meister],$A$48,Table1[Rnd],"&lt;="&amp;J$8)+COUNTIFS(Table1[Optioneel genre],'Legacy Berekeningen'!$A19,Table1[Meister],$A$48,Table1[Rnd],"&lt;="&amp;J$8)</f>
        <v>1</v>
      </c>
      <c r="K65">
        <f>COUNTIFS(Table1[Genre],'Legacy Berekeningen'!$A19,Table1[Meister],$A$48,Table1[Rnd],"&lt;="&amp;K$8)+COUNTIFS(Table1[Optioneel genre],'Legacy Berekeningen'!$A19,Table1[Meister],$A$48,Table1[Rnd],"&lt;="&amp;K$8)</f>
        <v>2</v>
      </c>
      <c r="L65">
        <f>COUNTIFS(Table1[Genre],'Legacy Berekeningen'!$A19,Table1[Meister],$A$48,Table1[Rnd],"&lt;="&amp;L$8)+COUNTIFS(Table1[Optioneel genre],'Legacy Berekeningen'!$A19,Table1[Meister],$A$48,Table1[Rnd],"&lt;="&amp;L$8)</f>
        <v>2</v>
      </c>
      <c r="M65">
        <f>COUNTIFS(Table1[Genre],'Legacy Berekeningen'!$A19,Table1[Meister],$A$48,Table1[Rnd],"&lt;="&amp;M$8)+COUNTIFS(Table1[Optioneel genre],'Legacy Berekeningen'!$A19,Table1[Meister],$A$48,Table1[Rnd],"&lt;="&amp;M$8)</f>
        <v>2</v>
      </c>
      <c r="N65">
        <f>COUNTIFS(Table1[Genre],'Legacy Berekeningen'!$A19,Table1[Meister],$A$48,Table1[Rnd],"&lt;="&amp;N$8)+COUNTIFS(Table1[Optioneel genre],'Legacy Berekeningen'!$A19,Table1[Meister],$A$48,Table1[Rnd],"&lt;="&amp;N$8)</f>
        <v>2</v>
      </c>
    </row>
    <row r="66" spans="1:14">
      <c r="A66" s="2" t="s">
        <v>44</v>
      </c>
      <c r="B66">
        <f>COUNTIFS(Table1[Genre],'Legacy Berekeningen'!$A20,Table1[Meister],$A$48,Table1[Rnd],"&lt;="&amp;B$8)+COUNTIFS(Table1[Optioneel genre],'Legacy Berekeningen'!$A20,Table1[Meister],$A$48,Table1[Rnd],"&lt;="&amp;B$8)</f>
        <v>0</v>
      </c>
      <c r="C66">
        <f>COUNTIFS(Table1[Genre],'Legacy Berekeningen'!$A20,Table1[Meister],$A$48,Table1[Rnd],"&lt;="&amp;C$8)+COUNTIFS(Table1[Optioneel genre],'Legacy Berekeningen'!$A20,Table1[Meister],$A$48,Table1[Rnd],"&lt;="&amp;C$8)</f>
        <v>0</v>
      </c>
      <c r="D66">
        <f>COUNTIFS(Table1[Genre],'Legacy Berekeningen'!$A20,Table1[Meister],$A$48,Table1[Rnd],"&lt;="&amp;D$8)+COUNTIFS(Table1[Optioneel genre],'Legacy Berekeningen'!$A20,Table1[Meister],$A$48,Table1[Rnd],"&lt;="&amp;D$8)</f>
        <v>0</v>
      </c>
      <c r="E66">
        <f>COUNTIFS(Table1[Genre],'Legacy Berekeningen'!$A20,Table1[Meister],$A$48,Table1[Rnd],"&lt;="&amp;E$8)+COUNTIFS(Table1[Optioneel genre],'Legacy Berekeningen'!$A20,Table1[Meister],$A$48,Table1[Rnd],"&lt;="&amp;E$8)</f>
        <v>1</v>
      </c>
      <c r="F66">
        <f>COUNTIFS(Table1[Genre],'Legacy Berekeningen'!$A20,Table1[Meister],$A$48,Table1[Rnd],"&lt;="&amp;F$8)+COUNTIFS(Table1[Optioneel genre],'Legacy Berekeningen'!$A20,Table1[Meister],$A$48,Table1[Rnd],"&lt;="&amp;F$8)</f>
        <v>1</v>
      </c>
      <c r="G66">
        <f>COUNTIFS(Table1[Genre],'Legacy Berekeningen'!$A20,Table1[Meister],$A$48,Table1[Rnd],"&lt;="&amp;G$8)+COUNTIFS(Table1[Optioneel genre],'Legacy Berekeningen'!$A20,Table1[Meister],$A$48,Table1[Rnd],"&lt;="&amp;G$8)</f>
        <v>1</v>
      </c>
      <c r="H66">
        <f>COUNTIFS(Table1[Genre],'Legacy Berekeningen'!$A20,Table1[Meister],$A$48,Table1[Rnd],"&lt;="&amp;H$8)+COUNTIFS(Table1[Optioneel genre],'Legacy Berekeningen'!$A20,Table1[Meister],$A$48,Table1[Rnd],"&lt;="&amp;H$8)</f>
        <v>1</v>
      </c>
      <c r="I66">
        <f>COUNTIFS(Table1[Genre],'Legacy Berekeningen'!$A20,Table1[Meister],$A$48,Table1[Rnd],"&lt;="&amp;I$8)+COUNTIFS(Table1[Optioneel genre],'Legacy Berekeningen'!$A20,Table1[Meister],$A$48,Table1[Rnd],"&lt;="&amp;I$8)</f>
        <v>1</v>
      </c>
      <c r="J66">
        <f>COUNTIFS(Table1[Genre],'Legacy Berekeningen'!$A20,Table1[Meister],$A$48,Table1[Rnd],"&lt;="&amp;J$8)+COUNTIFS(Table1[Optioneel genre],'Legacy Berekeningen'!$A20,Table1[Meister],$A$48,Table1[Rnd],"&lt;="&amp;J$8)</f>
        <v>1</v>
      </c>
      <c r="K66">
        <f>COUNTIFS(Table1[Genre],'Legacy Berekeningen'!$A20,Table1[Meister],$A$48,Table1[Rnd],"&lt;="&amp;K$8)+COUNTIFS(Table1[Optioneel genre],'Legacy Berekeningen'!$A20,Table1[Meister],$A$48,Table1[Rnd],"&lt;="&amp;K$8)</f>
        <v>1</v>
      </c>
      <c r="L66">
        <f>COUNTIFS(Table1[Genre],'Legacy Berekeningen'!$A20,Table1[Meister],$A$48,Table1[Rnd],"&lt;="&amp;L$8)+COUNTIFS(Table1[Optioneel genre],'Legacy Berekeningen'!$A20,Table1[Meister],$A$48,Table1[Rnd],"&lt;="&amp;L$8)</f>
        <v>1</v>
      </c>
      <c r="M66">
        <f>COUNTIFS(Table1[Genre],'Legacy Berekeningen'!$A20,Table1[Meister],$A$48,Table1[Rnd],"&lt;="&amp;M$8)+COUNTIFS(Table1[Optioneel genre],'Legacy Berekeningen'!$A20,Table1[Meister],$A$48,Table1[Rnd],"&lt;="&amp;M$8)</f>
        <v>1</v>
      </c>
      <c r="N66">
        <f>COUNTIFS(Table1[Genre],'Legacy Berekeningen'!$A20,Table1[Meister],$A$48,Table1[Rnd],"&lt;="&amp;N$8)+COUNTIFS(Table1[Optioneel genre],'Legacy Berekeningen'!$A20,Table1[Meister],$A$48,Table1[Rnd],"&lt;="&amp;N$8)</f>
        <v>1</v>
      </c>
    </row>
    <row r="67" spans="1:14">
      <c r="A67" s="2" t="s">
        <v>58</v>
      </c>
      <c r="B67">
        <f>COUNTIFS(Table1[Genre],'Legacy Berekeningen'!$A21,Table1[Meister],$A$48,Table1[Rnd],"&lt;="&amp;B$8)+COUNTIFS(Table1[Optioneel genre],'Legacy Berekeningen'!$A21,Table1[Meister],$A$48,Table1[Rnd],"&lt;="&amp;B$8)</f>
        <v>0</v>
      </c>
      <c r="C67">
        <f>COUNTIFS(Table1[Genre],'Legacy Berekeningen'!$A21,Table1[Meister],$A$48,Table1[Rnd],"&lt;="&amp;C$8)+COUNTIFS(Table1[Optioneel genre],'Legacy Berekeningen'!$A21,Table1[Meister],$A$48,Table1[Rnd],"&lt;="&amp;C$8)</f>
        <v>0</v>
      </c>
      <c r="D67">
        <f>COUNTIFS(Table1[Genre],'Legacy Berekeningen'!$A21,Table1[Meister],$A$48,Table1[Rnd],"&lt;="&amp;D$8)+COUNTIFS(Table1[Optioneel genre],'Legacy Berekeningen'!$A21,Table1[Meister],$A$48,Table1[Rnd],"&lt;="&amp;D$8)</f>
        <v>0</v>
      </c>
      <c r="E67">
        <f>COUNTIFS(Table1[Genre],'Legacy Berekeningen'!$A21,Table1[Meister],$A$48,Table1[Rnd],"&lt;="&amp;E$8)+COUNTIFS(Table1[Optioneel genre],'Legacy Berekeningen'!$A21,Table1[Meister],$A$48,Table1[Rnd],"&lt;="&amp;E$8)</f>
        <v>0</v>
      </c>
      <c r="F67">
        <f>COUNTIFS(Table1[Genre],'Legacy Berekeningen'!$A21,Table1[Meister],$A$48,Table1[Rnd],"&lt;="&amp;F$8)+COUNTIFS(Table1[Optioneel genre],'Legacy Berekeningen'!$A21,Table1[Meister],$A$48,Table1[Rnd],"&lt;="&amp;F$8)</f>
        <v>0</v>
      </c>
      <c r="G67">
        <f>COUNTIFS(Table1[Genre],'Legacy Berekeningen'!$A21,Table1[Meister],$A$48,Table1[Rnd],"&lt;="&amp;G$8)+COUNTIFS(Table1[Optioneel genre],'Legacy Berekeningen'!$A21,Table1[Meister],$A$48,Table1[Rnd],"&lt;="&amp;G$8)</f>
        <v>0</v>
      </c>
      <c r="H67">
        <f>COUNTIFS(Table1[Genre],'Legacy Berekeningen'!$A21,Table1[Meister],$A$48,Table1[Rnd],"&lt;="&amp;H$8)+COUNTIFS(Table1[Optioneel genre],'Legacy Berekeningen'!$A21,Table1[Meister],$A$48,Table1[Rnd],"&lt;="&amp;H$8)</f>
        <v>1</v>
      </c>
      <c r="I67">
        <f>COUNTIFS(Table1[Genre],'Legacy Berekeningen'!$A21,Table1[Meister],$A$48,Table1[Rnd],"&lt;="&amp;I$8)+COUNTIFS(Table1[Optioneel genre],'Legacy Berekeningen'!$A21,Table1[Meister],$A$48,Table1[Rnd],"&lt;="&amp;I$8)</f>
        <v>1</v>
      </c>
      <c r="J67">
        <f>COUNTIFS(Table1[Genre],'Legacy Berekeningen'!$A21,Table1[Meister],$A$48,Table1[Rnd],"&lt;="&amp;J$8)+COUNTIFS(Table1[Optioneel genre],'Legacy Berekeningen'!$A21,Table1[Meister],$A$48,Table1[Rnd],"&lt;="&amp;J$8)</f>
        <v>1</v>
      </c>
      <c r="K67">
        <f>COUNTIFS(Table1[Genre],'Legacy Berekeningen'!$A21,Table1[Meister],$A$48,Table1[Rnd],"&lt;="&amp;K$8)+COUNTIFS(Table1[Optioneel genre],'Legacy Berekeningen'!$A21,Table1[Meister],$A$48,Table1[Rnd],"&lt;="&amp;K$8)</f>
        <v>1</v>
      </c>
      <c r="L67">
        <f>COUNTIFS(Table1[Genre],'Legacy Berekeningen'!$A21,Table1[Meister],$A$48,Table1[Rnd],"&lt;="&amp;L$8)+COUNTIFS(Table1[Optioneel genre],'Legacy Berekeningen'!$A21,Table1[Meister],$A$48,Table1[Rnd],"&lt;="&amp;L$8)</f>
        <v>1</v>
      </c>
      <c r="M67">
        <f>COUNTIFS(Table1[Genre],'Legacy Berekeningen'!$A21,Table1[Meister],$A$48,Table1[Rnd],"&lt;="&amp;M$8)+COUNTIFS(Table1[Optioneel genre],'Legacy Berekeningen'!$A21,Table1[Meister],$A$48,Table1[Rnd],"&lt;="&amp;M$8)</f>
        <v>1</v>
      </c>
      <c r="N67">
        <f>COUNTIFS(Table1[Genre],'Legacy Berekeningen'!$A21,Table1[Meister],$A$48,Table1[Rnd],"&lt;="&amp;N$8)+COUNTIFS(Table1[Optioneel genre],'Legacy Berekeningen'!$A21,Table1[Meister],$A$48,Table1[Rnd],"&lt;="&amp;N$8)</f>
        <v>1</v>
      </c>
    </row>
    <row r="68" spans="1:14">
      <c r="A68" s="1" t="s">
        <v>29</v>
      </c>
    </row>
    <row r="69" spans="1:14">
      <c r="A69" s="2" t="s">
        <v>12</v>
      </c>
      <c r="B69">
        <f>COUNTIFS(Table1[Genre],'Legacy Berekeningen'!$A3,Table1[Meister],$A$68,Table1[Rnd],"&lt;="&amp;B$8)+COUNTIFS(Table1[Optioneel genre],'Legacy Berekeningen'!$A3,Table1[Meister],$A$68,Table1[Rnd],"&lt;="&amp;B$8)</f>
        <v>0</v>
      </c>
      <c r="C69">
        <f>COUNTIFS(Table1[Genre],'Legacy Berekeningen'!$A3,Table1[Meister],$A$68,Table1[Rnd],"&lt;="&amp;C$8)+COUNTIFS(Table1[Optioneel genre],'Legacy Berekeningen'!$A3,Table1[Meister],$A$68,Table1[Rnd],"&lt;="&amp;C$8)</f>
        <v>1</v>
      </c>
      <c r="D69">
        <f>COUNTIFS(Table1[Genre],'Legacy Berekeningen'!$A3,Table1[Meister],$A$68,Table1[Rnd],"&lt;="&amp;D$8)+COUNTIFS(Table1[Optioneel genre],'Legacy Berekeningen'!$A3,Table1[Meister],$A$68,Table1[Rnd],"&lt;="&amp;D$8)</f>
        <v>2</v>
      </c>
      <c r="E69">
        <f>COUNTIFS(Table1[Genre],'Legacy Berekeningen'!$A3,Table1[Meister],$A$68,Table1[Rnd],"&lt;="&amp;E$8)+COUNTIFS(Table1[Optioneel genre],'Legacy Berekeningen'!$A3,Table1[Meister],$A$68,Table1[Rnd],"&lt;="&amp;E$8)</f>
        <v>2</v>
      </c>
      <c r="F69">
        <f>COUNTIFS(Table1[Genre],'Legacy Berekeningen'!$A3,Table1[Meister],$A$68,Table1[Rnd],"&lt;="&amp;F$8)+COUNTIFS(Table1[Optioneel genre],'Legacy Berekeningen'!$A3,Table1[Meister],$A$68,Table1[Rnd],"&lt;="&amp;F$8)</f>
        <v>3</v>
      </c>
      <c r="G69">
        <f>COUNTIFS(Table1[Genre],'Legacy Berekeningen'!$A3,Table1[Meister],$A$68,Table1[Rnd],"&lt;="&amp;G$8)+COUNTIFS(Table1[Optioneel genre],'Legacy Berekeningen'!$A3,Table1[Meister],$A$68,Table1[Rnd],"&lt;="&amp;G$8)</f>
        <v>4</v>
      </c>
      <c r="H69">
        <f>COUNTIFS(Table1[Genre],'Legacy Berekeningen'!$A3,Table1[Meister],$A$68,Table1[Rnd],"&lt;="&amp;H$8)+COUNTIFS(Table1[Optioneel genre],'Legacy Berekeningen'!$A3,Table1[Meister],$A$68,Table1[Rnd],"&lt;="&amp;H$8)</f>
        <v>4</v>
      </c>
      <c r="I69">
        <f>COUNTIFS(Table1[Genre],'Legacy Berekeningen'!$A3,Table1[Meister],$A$68,Table1[Rnd],"&lt;="&amp;I$8)+COUNTIFS(Table1[Optioneel genre],'Legacy Berekeningen'!$A3,Table1[Meister],$A$68,Table1[Rnd],"&lt;="&amp;I$8)</f>
        <v>4</v>
      </c>
      <c r="J69">
        <f>COUNTIFS(Table1[Genre],'Legacy Berekeningen'!$A3,Table1[Meister],$A$68,Table1[Rnd],"&lt;="&amp;J$8)+COUNTIFS(Table1[Optioneel genre],'Legacy Berekeningen'!$A3,Table1[Meister],$A$68,Table1[Rnd],"&lt;="&amp;J$8)</f>
        <v>5</v>
      </c>
      <c r="K69">
        <f>COUNTIFS(Table1[Genre],'Legacy Berekeningen'!$A3,Table1[Meister],$A$68,Table1[Rnd],"&lt;="&amp;K$8)+COUNTIFS(Table1[Optioneel genre],'Legacy Berekeningen'!$A3,Table1[Meister],$A$68,Table1[Rnd],"&lt;="&amp;K$8)</f>
        <v>5</v>
      </c>
      <c r="L69">
        <f>COUNTIFS(Table1[Genre],'Legacy Berekeningen'!$A3,Table1[Meister],$A$68,Table1[Rnd],"&lt;="&amp;L$8)+COUNTIFS(Table1[Optioneel genre],'Legacy Berekeningen'!$A3,Table1[Meister],$A$68,Table1[Rnd],"&lt;="&amp;L$8)</f>
        <v>6</v>
      </c>
      <c r="M69">
        <f>COUNTIFS(Table1[Genre],'Legacy Berekeningen'!$A3,Table1[Meister],$A$68,Table1[Rnd],"&lt;="&amp;M$8)+COUNTIFS(Table1[Optioneel genre],'Legacy Berekeningen'!$A3,Table1[Meister],$A$68,Table1[Rnd],"&lt;="&amp;M$8)</f>
        <v>6</v>
      </c>
      <c r="N69">
        <f>COUNTIFS(Table1[Genre],'Legacy Berekeningen'!$A3,Table1[Meister],$A$68,Table1[Rnd],"&lt;="&amp;N$8)+COUNTIFS(Table1[Optioneel genre],'Legacy Berekeningen'!$A3,Table1[Meister],$A$68,Table1[Rnd],"&lt;="&amp;N$8)</f>
        <v>6</v>
      </c>
    </row>
    <row r="70" spans="1:14">
      <c r="A70" s="2" t="s">
        <v>34</v>
      </c>
      <c r="B70">
        <f>COUNTIFS(Table1[Genre],'Legacy Berekeningen'!$A4,Table1[Meister],$A$68,Table1[Rnd],"&lt;="&amp;B$8)+COUNTIFS(Table1[Optioneel genre],'Legacy Berekeningen'!$A4,Table1[Meister],$A$68,Table1[Rnd],"&lt;="&amp;B$8)</f>
        <v>0</v>
      </c>
      <c r="C70">
        <f>COUNTIFS(Table1[Genre],'Legacy Berekeningen'!$A4,Table1[Meister],$A$68,Table1[Rnd],"&lt;="&amp;C$8)+COUNTIFS(Table1[Optioneel genre],'Legacy Berekeningen'!$A4,Table1[Meister],$A$68,Table1[Rnd],"&lt;="&amp;C$8)</f>
        <v>0</v>
      </c>
      <c r="D70">
        <f>COUNTIFS(Table1[Genre],'Legacy Berekeningen'!$A4,Table1[Meister],$A$68,Table1[Rnd],"&lt;="&amp;D$8)+COUNTIFS(Table1[Optioneel genre],'Legacy Berekeningen'!$A4,Table1[Meister],$A$68,Table1[Rnd],"&lt;="&amp;D$8)</f>
        <v>0</v>
      </c>
      <c r="E70">
        <f>COUNTIFS(Table1[Genre],'Legacy Berekeningen'!$A4,Table1[Meister],$A$68,Table1[Rnd],"&lt;="&amp;E$8)+COUNTIFS(Table1[Optioneel genre],'Legacy Berekeningen'!$A4,Table1[Meister],$A$68,Table1[Rnd],"&lt;="&amp;E$8)</f>
        <v>0</v>
      </c>
      <c r="F70">
        <f>COUNTIFS(Table1[Genre],'Legacy Berekeningen'!$A4,Table1[Meister],$A$68,Table1[Rnd],"&lt;="&amp;F$8)+COUNTIFS(Table1[Optioneel genre],'Legacy Berekeningen'!$A4,Table1[Meister],$A$68,Table1[Rnd],"&lt;="&amp;F$8)</f>
        <v>0</v>
      </c>
      <c r="G70">
        <f>COUNTIFS(Table1[Genre],'Legacy Berekeningen'!$A4,Table1[Meister],$A$68,Table1[Rnd],"&lt;="&amp;G$8)+COUNTIFS(Table1[Optioneel genre],'Legacy Berekeningen'!$A4,Table1[Meister],$A$68,Table1[Rnd],"&lt;="&amp;G$8)</f>
        <v>0</v>
      </c>
      <c r="H70">
        <f>COUNTIFS(Table1[Genre],'Legacy Berekeningen'!$A4,Table1[Meister],$A$68,Table1[Rnd],"&lt;="&amp;H$8)+COUNTIFS(Table1[Optioneel genre],'Legacy Berekeningen'!$A4,Table1[Meister],$A$68,Table1[Rnd],"&lt;="&amp;H$8)</f>
        <v>1</v>
      </c>
      <c r="I70">
        <f>COUNTIFS(Table1[Genre],'Legacy Berekeningen'!$A4,Table1[Meister],$A$68,Table1[Rnd],"&lt;="&amp;I$8)+COUNTIFS(Table1[Optioneel genre],'Legacy Berekeningen'!$A4,Table1[Meister],$A$68,Table1[Rnd],"&lt;="&amp;I$8)</f>
        <v>1</v>
      </c>
      <c r="J70">
        <f>COUNTIFS(Table1[Genre],'Legacy Berekeningen'!$A4,Table1[Meister],$A$68,Table1[Rnd],"&lt;="&amp;J$8)+COUNTIFS(Table1[Optioneel genre],'Legacy Berekeningen'!$A4,Table1[Meister],$A$68,Table1[Rnd],"&lt;="&amp;J$8)</f>
        <v>2</v>
      </c>
      <c r="K70">
        <f>COUNTIFS(Table1[Genre],'Legacy Berekeningen'!$A4,Table1[Meister],$A$68,Table1[Rnd],"&lt;="&amp;K$8)+COUNTIFS(Table1[Optioneel genre],'Legacy Berekeningen'!$A4,Table1[Meister],$A$68,Table1[Rnd],"&lt;="&amp;K$8)</f>
        <v>2</v>
      </c>
      <c r="L70">
        <f>COUNTIFS(Table1[Genre],'Legacy Berekeningen'!$A4,Table1[Meister],$A$68,Table1[Rnd],"&lt;="&amp;L$8)+COUNTIFS(Table1[Optioneel genre],'Legacy Berekeningen'!$A4,Table1[Meister],$A$68,Table1[Rnd],"&lt;="&amp;L$8)</f>
        <v>2</v>
      </c>
      <c r="M70">
        <f>COUNTIFS(Table1[Genre],'Legacy Berekeningen'!$A4,Table1[Meister],$A$68,Table1[Rnd],"&lt;="&amp;M$8)+COUNTIFS(Table1[Optioneel genre],'Legacy Berekeningen'!$A4,Table1[Meister],$A$68,Table1[Rnd],"&lt;="&amp;M$8)</f>
        <v>2</v>
      </c>
      <c r="N70">
        <f>COUNTIFS(Table1[Genre],'Legacy Berekeningen'!$A4,Table1[Meister],$A$68,Table1[Rnd],"&lt;="&amp;N$8)+COUNTIFS(Table1[Optioneel genre],'Legacy Berekeningen'!$A4,Table1[Meister],$A$68,Table1[Rnd],"&lt;="&amp;N$8)</f>
        <v>2</v>
      </c>
    </row>
    <row r="71" spans="1:14">
      <c r="A71" s="2" t="s">
        <v>16</v>
      </c>
      <c r="B71">
        <f>COUNTIFS(Table1[Genre],'Legacy Berekeningen'!$A5,Table1[Meister],$A$68,Table1[Rnd],"&lt;="&amp;B$8)+COUNTIFS(Table1[Optioneel genre],'Legacy Berekeningen'!$A5,Table1[Meister],$A$68,Table1[Rnd],"&lt;="&amp;B$8)</f>
        <v>0</v>
      </c>
      <c r="C71">
        <f>COUNTIFS(Table1[Genre],'Legacy Berekeningen'!$A5,Table1[Meister],$A$68,Table1[Rnd],"&lt;="&amp;C$8)+COUNTIFS(Table1[Optioneel genre],'Legacy Berekeningen'!$A5,Table1[Meister],$A$68,Table1[Rnd],"&lt;="&amp;C$8)</f>
        <v>0</v>
      </c>
      <c r="D71">
        <f>COUNTIFS(Table1[Genre],'Legacy Berekeningen'!$A5,Table1[Meister],$A$68,Table1[Rnd],"&lt;="&amp;D$8)+COUNTIFS(Table1[Optioneel genre],'Legacy Berekeningen'!$A5,Table1[Meister],$A$68,Table1[Rnd],"&lt;="&amp;D$8)</f>
        <v>0</v>
      </c>
      <c r="E71">
        <f>COUNTIFS(Table1[Genre],'Legacy Berekeningen'!$A5,Table1[Meister],$A$68,Table1[Rnd],"&lt;="&amp;E$8)+COUNTIFS(Table1[Optioneel genre],'Legacy Berekeningen'!$A5,Table1[Meister],$A$68,Table1[Rnd],"&lt;="&amp;E$8)</f>
        <v>0</v>
      </c>
      <c r="F71">
        <f>COUNTIFS(Table1[Genre],'Legacy Berekeningen'!$A5,Table1[Meister],$A$68,Table1[Rnd],"&lt;="&amp;F$8)+COUNTIFS(Table1[Optioneel genre],'Legacy Berekeningen'!$A5,Table1[Meister],$A$68,Table1[Rnd],"&lt;="&amp;F$8)</f>
        <v>0</v>
      </c>
      <c r="G71">
        <f>COUNTIFS(Table1[Genre],'Legacy Berekeningen'!$A5,Table1[Meister],$A$68,Table1[Rnd],"&lt;="&amp;G$8)+COUNTIFS(Table1[Optioneel genre],'Legacy Berekeningen'!$A5,Table1[Meister],$A$68,Table1[Rnd],"&lt;="&amp;G$8)</f>
        <v>0</v>
      </c>
      <c r="H71">
        <f>COUNTIFS(Table1[Genre],'Legacy Berekeningen'!$A5,Table1[Meister],$A$68,Table1[Rnd],"&lt;="&amp;H$8)+COUNTIFS(Table1[Optioneel genre],'Legacy Berekeningen'!$A5,Table1[Meister],$A$68,Table1[Rnd],"&lt;="&amp;H$8)</f>
        <v>0</v>
      </c>
      <c r="I71">
        <f>COUNTIFS(Table1[Genre],'Legacy Berekeningen'!$A5,Table1[Meister],$A$68,Table1[Rnd],"&lt;="&amp;I$8)+COUNTIFS(Table1[Optioneel genre],'Legacy Berekeningen'!$A5,Table1[Meister],$A$68,Table1[Rnd],"&lt;="&amp;I$8)</f>
        <v>0</v>
      </c>
      <c r="J71">
        <f>COUNTIFS(Table1[Genre],'Legacy Berekeningen'!$A5,Table1[Meister],$A$68,Table1[Rnd],"&lt;="&amp;J$8)+COUNTIFS(Table1[Optioneel genre],'Legacy Berekeningen'!$A5,Table1[Meister],$A$68,Table1[Rnd],"&lt;="&amp;J$8)</f>
        <v>0</v>
      </c>
      <c r="K71">
        <f>COUNTIFS(Table1[Genre],'Legacy Berekeningen'!$A5,Table1[Meister],$A$68,Table1[Rnd],"&lt;="&amp;K$8)+COUNTIFS(Table1[Optioneel genre],'Legacy Berekeningen'!$A5,Table1[Meister],$A$68,Table1[Rnd],"&lt;="&amp;K$8)</f>
        <v>0</v>
      </c>
      <c r="L71">
        <f>COUNTIFS(Table1[Genre],'Legacy Berekeningen'!$A5,Table1[Meister],$A$68,Table1[Rnd],"&lt;="&amp;L$8)+COUNTIFS(Table1[Optioneel genre],'Legacy Berekeningen'!$A5,Table1[Meister],$A$68,Table1[Rnd],"&lt;="&amp;L$8)</f>
        <v>0</v>
      </c>
      <c r="M71">
        <f>COUNTIFS(Table1[Genre],'Legacy Berekeningen'!$A5,Table1[Meister],$A$68,Table1[Rnd],"&lt;="&amp;M$8)+COUNTIFS(Table1[Optioneel genre],'Legacy Berekeningen'!$A5,Table1[Meister],$A$68,Table1[Rnd],"&lt;="&amp;M$8)</f>
        <v>0</v>
      </c>
      <c r="N71">
        <f>COUNTIFS(Table1[Genre],'Legacy Berekeningen'!$A5,Table1[Meister],$A$68,Table1[Rnd],"&lt;="&amp;N$8)+COUNTIFS(Table1[Optioneel genre],'Legacy Berekeningen'!$A5,Table1[Meister],$A$68,Table1[Rnd],"&lt;="&amp;N$8)</f>
        <v>0</v>
      </c>
    </row>
    <row r="72" spans="1:14">
      <c r="A72" s="2" t="s">
        <v>41</v>
      </c>
      <c r="B72">
        <f>COUNTIFS(Table1[Genre],'Legacy Berekeningen'!$A6,Table1[Meister],$A$68,Table1[Rnd],"&lt;="&amp;B$8)+COUNTIFS(Table1[Optioneel genre],'Legacy Berekeningen'!$A6,Table1[Meister],$A$68,Table1[Rnd],"&lt;="&amp;B$8)</f>
        <v>0</v>
      </c>
      <c r="C72">
        <f>COUNTIFS(Table1[Genre],'Legacy Berekeningen'!$A6,Table1[Meister],$A$68,Table1[Rnd],"&lt;="&amp;C$8)+COUNTIFS(Table1[Optioneel genre],'Legacy Berekeningen'!$A6,Table1[Meister],$A$68,Table1[Rnd],"&lt;="&amp;C$8)</f>
        <v>0</v>
      </c>
      <c r="D72">
        <f>COUNTIFS(Table1[Genre],'Legacy Berekeningen'!$A6,Table1[Meister],$A$68,Table1[Rnd],"&lt;="&amp;D$8)+COUNTIFS(Table1[Optioneel genre],'Legacy Berekeningen'!$A6,Table1[Meister],$A$68,Table1[Rnd],"&lt;="&amp;D$8)</f>
        <v>0</v>
      </c>
      <c r="E72">
        <f>COUNTIFS(Table1[Genre],'Legacy Berekeningen'!$A6,Table1[Meister],$A$68,Table1[Rnd],"&lt;="&amp;E$8)+COUNTIFS(Table1[Optioneel genre],'Legacy Berekeningen'!$A6,Table1[Meister],$A$68,Table1[Rnd],"&lt;="&amp;E$8)</f>
        <v>0</v>
      </c>
      <c r="F72">
        <f>COUNTIFS(Table1[Genre],'Legacy Berekeningen'!$A6,Table1[Meister],$A$68,Table1[Rnd],"&lt;="&amp;F$8)+COUNTIFS(Table1[Optioneel genre],'Legacy Berekeningen'!$A6,Table1[Meister],$A$68,Table1[Rnd],"&lt;="&amp;F$8)</f>
        <v>0</v>
      </c>
      <c r="G72">
        <f>COUNTIFS(Table1[Genre],'Legacy Berekeningen'!$A6,Table1[Meister],$A$68,Table1[Rnd],"&lt;="&amp;G$8)+COUNTIFS(Table1[Optioneel genre],'Legacy Berekeningen'!$A6,Table1[Meister],$A$68,Table1[Rnd],"&lt;="&amp;G$8)</f>
        <v>0</v>
      </c>
      <c r="H72">
        <f>COUNTIFS(Table1[Genre],'Legacy Berekeningen'!$A6,Table1[Meister],$A$68,Table1[Rnd],"&lt;="&amp;H$8)+COUNTIFS(Table1[Optioneel genre],'Legacy Berekeningen'!$A6,Table1[Meister],$A$68,Table1[Rnd],"&lt;="&amp;H$8)</f>
        <v>0</v>
      </c>
      <c r="I72">
        <f>COUNTIFS(Table1[Genre],'Legacy Berekeningen'!$A6,Table1[Meister],$A$68,Table1[Rnd],"&lt;="&amp;I$8)+COUNTIFS(Table1[Optioneel genre],'Legacy Berekeningen'!$A6,Table1[Meister],$A$68,Table1[Rnd],"&lt;="&amp;I$8)</f>
        <v>1</v>
      </c>
      <c r="J72">
        <f>COUNTIFS(Table1[Genre],'Legacy Berekeningen'!$A6,Table1[Meister],$A$68,Table1[Rnd],"&lt;="&amp;J$8)+COUNTIFS(Table1[Optioneel genre],'Legacy Berekeningen'!$A6,Table1[Meister],$A$68,Table1[Rnd],"&lt;="&amp;J$8)</f>
        <v>1</v>
      </c>
      <c r="K72">
        <f>COUNTIFS(Table1[Genre],'Legacy Berekeningen'!$A6,Table1[Meister],$A$68,Table1[Rnd],"&lt;="&amp;K$8)+COUNTIFS(Table1[Optioneel genre],'Legacy Berekeningen'!$A6,Table1[Meister],$A$68,Table1[Rnd],"&lt;="&amp;K$8)</f>
        <v>1</v>
      </c>
      <c r="L72">
        <f>COUNTIFS(Table1[Genre],'Legacy Berekeningen'!$A6,Table1[Meister],$A$68,Table1[Rnd],"&lt;="&amp;L$8)+COUNTIFS(Table1[Optioneel genre],'Legacy Berekeningen'!$A6,Table1[Meister],$A$68,Table1[Rnd],"&lt;="&amp;L$8)</f>
        <v>1</v>
      </c>
      <c r="M72">
        <f>COUNTIFS(Table1[Genre],'Legacy Berekeningen'!$A6,Table1[Meister],$A$68,Table1[Rnd],"&lt;="&amp;M$8)+COUNTIFS(Table1[Optioneel genre],'Legacy Berekeningen'!$A6,Table1[Meister],$A$68,Table1[Rnd],"&lt;="&amp;M$8)</f>
        <v>1</v>
      </c>
      <c r="N72">
        <f>COUNTIFS(Table1[Genre],'Legacy Berekeningen'!$A6,Table1[Meister],$A$68,Table1[Rnd],"&lt;="&amp;N$8)+COUNTIFS(Table1[Optioneel genre],'Legacy Berekeningen'!$A6,Table1[Meister],$A$68,Table1[Rnd],"&lt;="&amp;N$8)</f>
        <v>1</v>
      </c>
    </row>
    <row r="73" spans="1:14">
      <c r="A73" s="2" t="s">
        <v>17</v>
      </c>
      <c r="B73">
        <f>COUNTIFS(Table1[Genre],'Legacy Berekeningen'!$A7,Table1[Meister],$A$68,Table1[Rnd],"&lt;="&amp;B$8)+COUNTIFS(Table1[Optioneel genre],'Legacy Berekeningen'!$A7,Table1[Meister],$A$68,Table1[Rnd],"&lt;="&amp;B$8)</f>
        <v>0</v>
      </c>
      <c r="C73">
        <f>COUNTIFS(Table1[Genre],'Legacy Berekeningen'!$A7,Table1[Meister],$A$68,Table1[Rnd],"&lt;="&amp;C$8)+COUNTIFS(Table1[Optioneel genre],'Legacy Berekeningen'!$A7,Table1[Meister],$A$68,Table1[Rnd],"&lt;="&amp;C$8)</f>
        <v>0</v>
      </c>
      <c r="D73">
        <f>COUNTIFS(Table1[Genre],'Legacy Berekeningen'!$A7,Table1[Meister],$A$68,Table1[Rnd],"&lt;="&amp;D$8)+COUNTIFS(Table1[Optioneel genre],'Legacy Berekeningen'!$A7,Table1[Meister],$A$68,Table1[Rnd],"&lt;="&amp;D$8)</f>
        <v>0</v>
      </c>
      <c r="E73">
        <f>COUNTIFS(Table1[Genre],'Legacy Berekeningen'!$A7,Table1[Meister],$A$68,Table1[Rnd],"&lt;="&amp;E$8)+COUNTIFS(Table1[Optioneel genre],'Legacy Berekeningen'!$A7,Table1[Meister],$A$68,Table1[Rnd],"&lt;="&amp;E$8)</f>
        <v>0</v>
      </c>
      <c r="F73">
        <f>COUNTIFS(Table1[Genre],'Legacy Berekeningen'!$A7,Table1[Meister],$A$68,Table1[Rnd],"&lt;="&amp;F$8)+COUNTIFS(Table1[Optioneel genre],'Legacy Berekeningen'!$A7,Table1[Meister],$A$68,Table1[Rnd],"&lt;="&amp;F$8)</f>
        <v>0</v>
      </c>
      <c r="G73">
        <f>COUNTIFS(Table1[Genre],'Legacy Berekeningen'!$A7,Table1[Meister],$A$68,Table1[Rnd],"&lt;="&amp;G$8)+COUNTIFS(Table1[Optioneel genre],'Legacy Berekeningen'!$A7,Table1[Meister],$A$68,Table1[Rnd],"&lt;="&amp;G$8)</f>
        <v>0</v>
      </c>
      <c r="H73">
        <f>COUNTIFS(Table1[Genre],'Legacy Berekeningen'!$A7,Table1[Meister],$A$68,Table1[Rnd],"&lt;="&amp;H$8)+COUNTIFS(Table1[Optioneel genre],'Legacy Berekeningen'!$A7,Table1[Meister],$A$68,Table1[Rnd],"&lt;="&amp;H$8)</f>
        <v>0</v>
      </c>
      <c r="I73">
        <f>COUNTIFS(Table1[Genre],'Legacy Berekeningen'!$A7,Table1[Meister],$A$68,Table1[Rnd],"&lt;="&amp;I$8)+COUNTIFS(Table1[Optioneel genre],'Legacy Berekeningen'!$A7,Table1[Meister],$A$68,Table1[Rnd],"&lt;="&amp;I$8)</f>
        <v>0</v>
      </c>
      <c r="J73">
        <f>COUNTIFS(Table1[Genre],'Legacy Berekeningen'!$A7,Table1[Meister],$A$68,Table1[Rnd],"&lt;="&amp;J$8)+COUNTIFS(Table1[Optioneel genre],'Legacy Berekeningen'!$A7,Table1[Meister],$A$68,Table1[Rnd],"&lt;="&amp;J$8)</f>
        <v>0</v>
      </c>
      <c r="K73">
        <f>COUNTIFS(Table1[Genre],'Legacy Berekeningen'!$A7,Table1[Meister],$A$68,Table1[Rnd],"&lt;="&amp;K$8)+COUNTIFS(Table1[Optioneel genre],'Legacy Berekeningen'!$A7,Table1[Meister],$A$68,Table1[Rnd],"&lt;="&amp;K$8)</f>
        <v>0</v>
      </c>
      <c r="L73">
        <f>COUNTIFS(Table1[Genre],'Legacy Berekeningen'!$A7,Table1[Meister],$A$68,Table1[Rnd],"&lt;="&amp;L$8)+COUNTIFS(Table1[Optioneel genre],'Legacy Berekeningen'!$A7,Table1[Meister],$A$68,Table1[Rnd],"&lt;="&amp;L$8)</f>
        <v>1</v>
      </c>
      <c r="M73">
        <f>COUNTIFS(Table1[Genre],'Legacy Berekeningen'!$A7,Table1[Meister],$A$68,Table1[Rnd],"&lt;="&amp;M$8)+COUNTIFS(Table1[Optioneel genre],'Legacy Berekeningen'!$A7,Table1[Meister],$A$68,Table1[Rnd],"&lt;="&amp;M$8)</f>
        <v>1</v>
      </c>
      <c r="N73">
        <f>COUNTIFS(Table1[Genre],'Legacy Berekeningen'!$A7,Table1[Meister],$A$68,Table1[Rnd],"&lt;="&amp;N$8)+COUNTIFS(Table1[Optioneel genre],'Legacy Berekeningen'!$A7,Table1[Meister],$A$68,Table1[Rnd],"&lt;="&amp;N$8)</f>
        <v>1</v>
      </c>
    </row>
    <row r="74" spans="1:14">
      <c r="A74" s="2" t="s">
        <v>25</v>
      </c>
      <c r="B74">
        <f>COUNTIFS(Table1[Genre],'Legacy Berekeningen'!$A8,Table1[Meister],$A$68,Table1[Rnd],"&lt;="&amp;B$8)+COUNTIFS(Table1[Optioneel genre],'Legacy Berekeningen'!$A8,Table1[Meister],$A$68,Table1[Rnd],"&lt;="&amp;B$8)</f>
        <v>0</v>
      </c>
      <c r="C74">
        <f>COUNTIFS(Table1[Genre],'Legacy Berekeningen'!$A8,Table1[Meister],$A$68,Table1[Rnd],"&lt;="&amp;C$8)+COUNTIFS(Table1[Optioneel genre],'Legacy Berekeningen'!$A8,Table1[Meister],$A$68,Table1[Rnd],"&lt;="&amp;C$8)</f>
        <v>0</v>
      </c>
      <c r="D74">
        <f>COUNTIFS(Table1[Genre],'Legacy Berekeningen'!$A8,Table1[Meister],$A$68,Table1[Rnd],"&lt;="&amp;D$8)+COUNTIFS(Table1[Optioneel genre],'Legacy Berekeningen'!$A8,Table1[Meister],$A$68,Table1[Rnd],"&lt;="&amp;D$8)</f>
        <v>0</v>
      </c>
      <c r="E74">
        <f>COUNTIFS(Table1[Genre],'Legacy Berekeningen'!$A8,Table1[Meister],$A$68,Table1[Rnd],"&lt;="&amp;E$8)+COUNTIFS(Table1[Optioneel genre],'Legacy Berekeningen'!$A8,Table1[Meister],$A$68,Table1[Rnd],"&lt;="&amp;E$8)</f>
        <v>0</v>
      </c>
      <c r="F74">
        <f>COUNTIFS(Table1[Genre],'Legacy Berekeningen'!$A8,Table1[Meister],$A$68,Table1[Rnd],"&lt;="&amp;F$8)+COUNTIFS(Table1[Optioneel genre],'Legacy Berekeningen'!$A8,Table1[Meister],$A$68,Table1[Rnd],"&lt;="&amp;F$8)</f>
        <v>0</v>
      </c>
      <c r="G74">
        <f>COUNTIFS(Table1[Genre],'Legacy Berekeningen'!$A8,Table1[Meister],$A$68,Table1[Rnd],"&lt;="&amp;G$8)+COUNTIFS(Table1[Optioneel genre],'Legacy Berekeningen'!$A8,Table1[Meister],$A$68,Table1[Rnd],"&lt;="&amp;G$8)</f>
        <v>0</v>
      </c>
      <c r="H74">
        <f>COUNTIFS(Table1[Genre],'Legacy Berekeningen'!$A8,Table1[Meister],$A$68,Table1[Rnd],"&lt;="&amp;H$8)+COUNTIFS(Table1[Optioneel genre],'Legacy Berekeningen'!$A8,Table1[Meister],$A$68,Table1[Rnd],"&lt;="&amp;H$8)</f>
        <v>0</v>
      </c>
      <c r="I74">
        <f>COUNTIFS(Table1[Genre],'Legacy Berekeningen'!$A8,Table1[Meister],$A$68,Table1[Rnd],"&lt;="&amp;I$8)+COUNTIFS(Table1[Optioneel genre],'Legacy Berekeningen'!$A8,Table1[Meister],$A$68,Table1[Rnd],"&lt;="&amp;I$8)</f>
        <v>0</v>
      </c>
      <c r="J74">
        <f>COUNTIFS(Table1[Genre],'Legacy Berekeningen'!$A8,Table1[Meister],$A$68,Table1[Rnd],"&lt;="&amp;J$8)+COUNTIFS(Table1[Optioneel genre],'Legacy Berekeningen'!$A8,Table1[Meister],$A$68,Table1[Rnd],"&lt;="&amp;J$8)</f>
        <v>0</v>
      </c>
      <c r="K74">
        <f>COUNTIFS(Table1[Genre],'Legacy Berekeningen'!$A8,Table1[Meister],$A$68,Table1[Rnd],"&lt;="&amp;K$8)+COUNTIFS(Table1[Optioneel genre],'Legacy Berekeningen'!$A8,Table1[Meister],$A$68,Table1[Rnd],"&lt;="&amp;K$8)</f>
        <v>0</v>
      </c>
      <c r="L74">
        <f>COUNTIFS(Table1[Genre],'Legacy Berekeningen'!$A8,Table1[Meister],$A$68,Table1[Rnd],"&lt;="&amp;L$8)+COUNTIFS(Table1[Optioneel genre],'Legacy Berekeningen'!$A8,Table1[Meister],$A$68,Table1[Rnd],"&lt;="&amp;L$8)</f>
        <v>0</v>
      </c>
      <c r="M74">
        <f>COUNTIFS(Table1[Genre],'Legacy Berekeningen'!$A8,Table1[Meister],$A$68,Table1[Rnd],"&lt;="&amp;M$8)+COUNTIFS(Table1[Optioneel genre],'Legacy Berekeningen'!$A8,Table1[Meister],$A$68,Table1[Rnd],"&lt;="&amp;M$8)</f>
        <v>0</v>
      </c>
      <c r="N74">
        <f>COUNTIFS(Table1[Genre],'Legacy Berekeningen'!$A8,Table1[Meister],$A$68,Table1[Rnd],"&lt;="&amp;N$8)+COUNTIFS(Table1[Optioneel genre],'Legacy Berekeningen'!$A8,Table1[Meister],$A$68,Table1[Rnd],"&lt;="&amp;N$8)</f>
        <v>0</v>
      </c>
    </row>
    <row r="75" spans="1:14">
      <c r="A75" s="2" t="s">
        <v>81</v>
      </c>
      <c r="B75">
        <f>COUNTIFS(Table1[Genre],'Legacy Berekeningen'!$A9,Table1[Meister],$A$68,Table1[Rnd],"&lt;="&amp;B$8)+COUNTIFS(Table1[Optioneel genre],'Legacy Berekeningen'!$A9,Table1[Meister],$A$68,Table1[Rnd],"&lt;="&amp;B$8)</f>
        <v>0</v>
      </c>
      <c r="C75">
        <f>COUNTIFS(Table1[Genre],'Legacy Berekeningen'!$A9,Table1[Meister],$A$68,Table1[Rnd],"&lt;="&amp;C$8)+COUNTIFS(Table1[Optioneel genre],'Legacy Berekeningen'!$A9,Table1[Meister],$A$68,Table1[Rnd],"&lt;="&amp;C$8)</f>
        <v>0</v>
      </c>
      <c r="D75">
        <f>COUNTIFS(Table1[Genre],'Legacy Berekeningen'!$A9,Table1[Meister],$A$68,Table1[Rnd],"&lt;="&amp;D$8)+COUNTIFS(Table1[Optioneel genre],'Legacy Berekeningen'!$A9,Table1[Meister],$A$68,Table1[Rnd],"&lt;="&amp;D$8)</f>
        <v>0</v>
      </c>
      <c r="E75">
        <f>COUNTIFS(Table1[Genre],'Legacy Berekeningen'!$A9,Table1[Meister],$A$68,Table1[Rnd],"&lt;="&amp;E$8)+COUNTIFS(Table1[Optioneel genre],'Legacy Berekeningen'!$A9,Table1[Meister],$A$68,Table1[Rnd],"&lt;="&amp;E$8)</f>
        <v>0</v>
      </c>
      <c r="F75">
        <f>COUNTIFS(Table1[Genre],'Legacy Berekeningen'!$A9,Table1[Meister],$A$68,Table1[Rnd],"&lt;="&amp;F$8)+COUNTIFS(Table1[Optioneel genre],'Legacy Berekeningen'!$A9,Table1[Meister],$A$68,Table1[Rnd],"&lt;="&amp;F$8)</f>
        <v>0</v>
      </c>
      <c r="G75">
        <f>COUNTIFS(Table1[Genre],'Legacy Berekeningen'!$A9,Table1[Meister],$A$68,Table1[Rnd],"&lt;="&amp;G$8)+COUNTIFS(Table1[Optioneel genre],'Legacy Berekeningen'!$A9,Table1[Meister],$A$68,Table1[Rnd],"&lt;="&amp;G$8)</f>
        <v>0</v>
      </c>
      <c r="H75">
        <f>COUNTIFS(Table1[Genre],'Legacy Berekeningen'!$A9,Table1[Meister],$A$68,Table1[Rnd],"&lt;="&amp;H$8)+COUNTIFS(Table1[Optioneel genre],'Legacy Berekeningen'!$A9,Table1[Meister],$A$68,Table1[Rnd],"&lt;="&amp;H$8)</f>
        <v>0</v>
      </c>
      <c r="I75">
        <f>COUNTIFS(Table1[Genre],'Legacy Berekeningen'!$A9,Table1[Meister],$A$68,Table1[Rnd],"&lt;="&amp;I$8)+COUNTIFS(Table1[Optioneel genre],'Legacy Berekeningen'!$A9,Table1[Meister],$A$68,Table1[Rnd],"&lt;="&amp;I$8)</f>
        <v>0</v>
      </c>
      <c r="J75">
        <f>COUNTIFS(Table1[Genre],'Legacy Berekeningen'!$A9,Table1[Meister],$A$68,Table1[Rnd],"&lt;="&amp;J$8)+COUNTIFS(Table1[Optioneel genre],'Legacy Berekeningen'!$A9,Table1[Meister],$A$68,Table1[Rnd],"&lt;="&amp;J$8)</f>
        <v>0</v>
      </c>
      <c r="K75">
        <f>COUNTIFS(Table1[Genre],'Legacy Berekeningen'!$A9,Table1[Meister],$A$68,Table1[Rnd],"&lt;="&amp;K$8)+COUNTIFS(Table1[Optioneel genre],'Legacy Berekeningen'!$A9,Table1[Meister],$A$68,Table1[Rnd],"&lt;="&amp;K$8)</f>
        <v>0</v>
      </c>
      <c r="L75">
        <f>COUNTIFS(Table1[Genre],'Legacy Berekeningen'!$A9,Table1[Meister],$A$68,Table1[Rnd],"&lt;="&amp;L$8)+COUNTIFS(Table1[Optioneel genre],'Legacy Berekeningen'!$A9,Table1[Meister],$A$68,Table1[Rnd],"&lt;="&amp;L$8)</f>
        <v>0</v>
      </c>
      <c r="M75">
        <f>COUNTIFS(Table1[Genre],'Legacy Berekeningen'!$A9,Table1[Meister],$A$68,Table1[Rnd],"&lt;="&amp;M$8)+COUNTIFS(Table1[Optioneel genre],'Legacy Berekeningen'!$A9,Table1[Meister],$A$68,Table1[Rnd],"&lt;="&amp;M$8)</f>
        <v>0</v>
      </c>
      <c r="N75">
        <f>COUNTIFS(Table1[Genre],'Legacy Berekeningen'!$A9,Table1[Meister],$A$68,Table1[Rnd],"&lt;="&amp;N$8)+COUNTIFS(Table1[Optioneel genre],'Legacy Berekeningen'!$A9,Table1[Meister],$A$68,Table1[Rnd],"&lt;="&amp;N$8)</f>
        <v>0</v>
      </c>
    </row>
    <row r="76" spans="1:14">
      <c r="A76" s="2" t="s">
        <v>26</v>
      </c>
      <c r="B76">
        <f>COUNTIFS(Table1[Genre],'Legacy Berekeningen'!$A10,Table1[Meister],$A$68,Table1[Rnd],"&lt;="&amp;B$8)+COUNTIFS(Table1[Optioneel genre],'Legacy Berekeningen'!$A10,Table1[Meister],$A$68,Table1[Rnd],"&lt;="&amp;B$8)</f>
        <v>1</v>
      </c>
      <c r="C76">
        <f>COUNTIFS(Table1[Genre],'Legacy Berekeningen'!$A10,Table1[Meister],$A$68,Table1[Rnd],"&lt;="&amp;C$8)+COUNTIFS(Table1[Optioneel genre],'Legacy Berekeningen'!$A10,Table1[Meister],$A$68,Table1[Rnd],"&lt;="&amp;C$8)</f>
        <v>1</v>
      </c>
      <c r="D76">
        <f>COUNTIFS(Table1[Genre],'Legacy Berekeningen'!$A10,Table1[Meister],$A$68,Table1[Rnd],"&lt;="&amp;D$8)+COUNTIFS(Table1[Optioneel genre],'Legacy Berekeningen'!$A10,Table1[Meister],$A$68,Table1[Rnd],"&lt;="&amp;D$8)</f>
        <v>1</v>
      </c>
      <c r="E76">
        <f>COUNTIFS(Table1[Genre],'Legacy Berekeningen'!$A10,Table1[Meister],$A$68,Table1[Rnd],"&lt;="&amp;E$8)+COUNTIFS(Table1[Optioneel genre],'Legacy Berekeningen'!$A10,Table1[Meister],$A$68,Table1[Rnd],"&lt;="&amp;E$8)</f>
        <v>2</v>
      </c>
      <c r="F76">
        <f>COUNTIFS(Table1[Genre],'Legacy Berekeningen'!$A10,Table1[Meister],$A$68,Table1[Rnd],"&lt;="&amp;F$8)+COUNTIFS(Table1[Optioneel genre],'Legacy Berekeningen'!$A10,Table1[Meister],$A$68,Table1[Rnd],"&lt;="&amp;F$8)</f>
        <v>2</v>
      </c>
      <c r="G76">
        <f>COUNTIFS(Table1[Genre],'Legacy Berekeningen'!$A10,Table1[Meister],$A$68,Table1[Rnd],"&lt;="&amp;G$8)+COUNTIFS(Table1[Optioneel genre],'Legacy Berekeningen'!$A10,Table1[Meister],$A$68,Table1[Rnd],"&lt;="&amp;G$8)</f>
        <v>3</v>
      </c>
      <c r="H76">
        <f>COUNTIFS(Table1[Genre],'Legacy Berekeningen'!$A10,Table1[Meister],$A$68,Table1[Rnd],"&lt;="&amp;H$8)+COUNTIFS(Table1[Optioneel genre],'Legacy Berekeningen'!$A10,Table1[Meister],$A$68,Table1[Rnd],"&lt;="&amp;H$8)</f>
        <v>4</v>
      </c>
      <c r="I76">
        <f>COUNTIFS(Table1[Genre],'Legacy Berekeningen'!$A10,Table1[Meister],$A$68,Table1[Rnd],"&lt;="&amp;I$8)+COUNTIFS(Table1[Optioneel genre],'Legacy Berekeningen'!$A10,Table1[Meister],$A$68,Table1[Rnd],"&lt;="&amp;I$8)</f>
        <v>5</v>
      </c>
      <c r="J76">
        <f>COUNTIFS(Table1[Genre],'Legacy Berekeningen'!$A10,Table1[Meister],$A$68,Table1[Rnd],"&lt;="&amp;J$8)+COUNTIFS(Table1[Optioneel genre],'Legacy Berekeningen'!$A10,Table1[Meister],$A$68,Table1[Rnd],"&lt;="&amp;J$8)</f>
        <v>5</v>
      </c>
      <c r="K76">
        <f>COUNTIFS(Table1[Genre],'Legacy Berekeningen'!$A10,Table1[Meister],$A$68,Table1[Rnd],"&lt;="&amp;K$8)+COUNTIFS(Table1[Optioneel genre],'Legacy Berekeningen'!$A10,Table1[Meister],$A$68,Table1[Rnd],"&lt;="&amp;K$8)</f>
        <v>6</v>
      </c>
      <c r="L76">
        <f>COUNTIFS(Table1[Genre],'Legacy Berekeningen'!$A10,Table1[Meister],$A$68,Table1[Rnd],"&lt;="&amp;L$8)+COUNTIFS(Table1[Optioneel genre],'Legacy Berekeningen'!$A10,Table1[Meister],$A$68,Table1[Rnd],"&lt;="&amp;L$8)</f>
        <v>6</v>
      </c>
      <c r="M76">
        <f>COUNTIFS(Table1[Genre],'Legacy Berekeningen'!$A10,Table1[Meister],$A$68,Table1[Rnd],"&lt;="&amp;M$8)+COUNTIFS(Table1[Optioneel genre],'Legacy Berekeningen'!$A10,Table1[Meister],$A$68,Table1[Rnd],"&lt;="&amp;M$8)</f>
        <v>6</v>
      </c>
      <c r="N76">
        <f>COUNTIFS(Table1[Genre],'Legacy Berekeningen'!$A10,Table1[Meister],$A$68,Table1[Rnd],"&lt;="&amp;N$8)+COUNTIFS(Table1[Optioneel genre],'Legacy Berekeningen'!$A10,Table1[Meister],$A$68,Table1[Rnd],"&lt;="&amp;N$8)</f>
        <v>6</v>
      </c>
    </row>
    <row r="77" spans="1:14">
      <c r="A77" s="2" t="s">
        <v>74</v>
      </c>
      <c r="B77">
        <f>COUNTIFS(Table1[Genre],'Legacy Berekeningen'!$A11,Table1[Meister],$A$68,Table1[Rnd],"&lt;="&amp;B$8)+COUNTIFS(Table1[Optioneel genre],'Legacy Berekeningen'!$A11,Table1[Meister],$A$68,Table1[Rnd],"&lt;="&amp;B$8)</f>
        <v>0</v>
      </c>
      <c r="C77">
        <f>COUNTIFS(Table1[Genre],'Legacy Berekeningen'!$A11,Table1[Meister],$A$68,Table1[Rnd],"&lt;="&amp;C$8)+COUNTIFS(Table1[Optioneel genre],'Legacy Berekeningen'!$A11,Table1[Meister],$A$68,Table1[Rnd],"&lt;="&amp;C$8)</f>
        <v>0</v>
      </c>
      <c r="D77">
        <f>COUNTIFS(Table1[Genre],'Legacy Berekeningen'!$A11,Table1[Meister],$A$68,Table1[Rnd],"&lt;="&amp;D$8)+COUNTIFS(Table1[Optioneel genre],'Legacy Berekeningen'!$A11,Table1[Meister],$A$68,Table1[Rnd],"&lt;="&amp;D$8)</f>
        <v>0</v>
      </c>
      <c r="E77">
        <f>COUNTIFS(Table1[Genre],'Legacy Berekeningen'!$A11,Table1[Meister],$A$68,Table1[Rnd],"&lt;="&amp;E$8)+COUNTIFS(Table1[Optioneel genre],'Legacy Berekeningen'!$A11,Table1[Meister],$A$68,Table1[Rnd],"&lt;="&amp;E$8)</f>
        <v>0</v>
      </c>
      <c r="F77">
        <f>COUNTIFS(Table1[Genre],'Legacy Berekeningen'!$A11,Table1[Meister],$A$68,Table1[Rnd],"&lt;="&amp;F$8)+COUNTIFS(Table1[Optioneel genre],'Legacy Berekeningen'!$A11,Table1[Meister],$A$68,Table1[Rnd],"&lt;="&amp;F$8)</f>
        <v>0</v>
      </c>
      <c r="G77">
        <f>COUNTIFS(Table1[Genre],'Legacy Berekeningen'!$A11,Table1[Meister],$A$68,Table1[Rnd],"&lt;="&amp;G$8)+COUNTIFS(Table1[Optioneel genre],'Legacy Berekeningen'!$A11,Table1[Meister],$A$68,Table1[Rnd],"&lt;="&amp;G$8)</f>
        <v>0</v>
      </c>
      <c r="H77">
        <f>COUNTIFS(Table1[Genre],'Legacy Berekeningen'!$A11,Table1[Meister],$A$68,Table1[Rnd],"&lt;="&amp;H$8)+COUNTIFS(Table1[Optioneel genre],'Legacy Berekeningen'!$A11,Table1[Meister],$A$68,Table1[Rnd],"&lt;="&amp;H$8)</f>
        <v>0</v>
      </c>
      <c r="I77">
        <f>COUNTIFS(Table1[Genre],'Legacy Berekeningen'!$A11,Table1[Meister],$A$68,Table1[Rnd],"&lt;="&amp;I$8)+COUNTIFS(Table1[Optioneel genre],'Legacy Berekeningen'!$A11,Table1[Meister],$A$68,Table1[Rnd],"&lt;="&amp;I$8)</f>
        <v>0</v>
      </c>
      <c r="J77">
        <f>COUNTIFS(Table1[Genre],'Legacy Berekeningen'!$A11,Table1[Meister],$A$68,Table1[Rnd],"&lt;="&amp;J$8)+COUNTIFS(Table1[Optioneel genre],'Legacy Berekeningen'!$A11,Table1[Meister],$A$68,Table1[Rnd],"&lt;="&amp;J$8)</f>
        <v>0</v>
      </c>
      <c r="K77">
        <f>COUNTIFS(Table1[Genre],'Legacy Berekeningen'!$A11,Table1[Meister],$A$68,Table1[Rnd],"&lt;="&amp;K$8)+COUNTIFS(Table1[Optioneel genre],'Legacy Berekeningen'!$A11,Table1[Meister],$A$68,Table1[Rnd],"&lt;="&amp;K$8)</f>
        <v>1</v>
      </c>
      <c r="L77">
        <f>COUNTIFS(Table1[Genre],'Legacy Berekeningen'!$A11,Table1[Meister],$A$68,Table1[Rnd],"&lt;="&amp;L$8)+COUNTIFS(Table1[Optioneel genre],'Legacy Berekeningen'!$A11,Table1[Meister],$A$68,Table1[Rnd],"&lt;="&amp;L$8)</f>
        <v>1</v>
      </c>
      <c r="M77">
        <f>COUNTIFS(Table1[Genre],'Legacy Berekeningen'!$A11,Table1[Meister],$A$68,Table1[Rnd],"&lt;="&amp;M$8)+COUNTIFS(Table1[Optioneel genre],'Legacy Berekeningen'!$A11,Table1[Meister],$A$68,Table1[Rnd],"&lt;="&amp;M$8)</f>
        <v>1</v>
      </c>
      <c r="N77">
        <f>COUNTIFS(Table1[Genre],'Legacy Berekeningen'!$A11,Table1[Meister],$A$68,Table1[Rnd],"&lt;="&amp;N$8)+COUNTIFS(Table1[Optioneel genre],'Legacy Berekeningen'!$A11,Table1[Meister],$A$68,Table1[Rnd],"&lt;="&amp;N$8)</f>
        <v>1</v>
      </c>
    </row>
    <row r="78" spans="1:14">
      <c r="A78" s="2" t="s">
        <v>62</v>
      </c>
      <c r="B78">
        <f>COUNTIFS(Table1[Genre],'Legacy Berekeningen'!$A12,Table1[Meister],$A$68,Table1[Rnd],"&lt;="&amp;B$8)+COUNTIFS(Table1[Optioneel genre],'Legacy Berekeningen'!$A12,Table1[Meister],$A$68,Table1[Rnd],"&lt;="&amp;B$8)</f>
        <v>0</v>
      </c>
      <c r="C78">
        <f>COUNTIFS(Table1[Genre],'Legacy Berekeningen'!$A12,Table1[Meister],$A$68,Table1[Rnd],"&lt;="&amp;C$8)+COUNTIFS(Table1[Optioneel genre],'Legacy Berekeningen'!$A12,Table1[Meister],$A$68,Table1[Rnd],"&lt;="&amp;C$8)</f>
        <v>0</v>
      </c>
      <c r="D78">
        <f>COUNTIFS(Table1[Genre],'Legacy Berekeningen'!$A12,Table1[Meister],$A$68,Table1[Rnd],"&lt;="&amp;D$8)+COUNTIFS(Table1[Optioneel genre],'Legacy Berekeningen'!$A12,Table1[Meister],$A$68,Table1[Rnd],"&lt;="&amp;D$8)</f>
        <v>0</v>
      </c>
      <c r="E78">
        <f>COUNTIFS(Table1[Genre],'Legacy Berekeningen'!$A12,Table1[Meister],$A$68,Table1[Rnd],"&lt;="&amp;E$8)+COUNTIFS(Table1[Optioneel genre],'Legacy Berekeningen'!$A12,Table1[Meister],$A$68,Table1[Rnd],"&lt;="&amp;E$8)</f>
        <v>0</v>
      </c>
      <c r="F78">
        <f>COUNTIFS(Table1[Genre],'Legacy Berekeningen'!$A12,Table1[Meister],$A$68,Table1[Rnd],"&lt;="&amp;F$8)+COUNTIFS(Table1[Optioneel genre],'Legacy Berekeningen'!$A12,Table1[Meister],$A$68,Table1[Rnd],"&lt;="&amp;F$8)</f>
        <v>0</v>
      </c>
      <c r="G78">
        <f>COUNTIFS(Table1[Genre],'Legacy Berekeningen'!$A12,Table1[Meister],$A$68,Table1[Rnd],"&lt;="&amp;G$8)+COUNTIFS(Table1[Optioneel genre],'Legacy Berekeningen'!$A12,Table1[Meister],$A$68,Table1[Rnd],"&lt;="&amp;G$8)</f>
        <v>0</v>
      </c>
      <c r="H78">
        <f>COUNTIFS(Table1[Genre],'Legacy Berekeningen'!$A12,Table1[Meister],$A$68,Table1[Rnd],"&lt;="&amp;H$8)+COUNTIFS(Table1[Optioneel genre],'Legacy Berekeningen'!$A12,Table1[Meister],$A$68,Table1[Rnd],"&lt;="&amp;H$8)</f>
        <v>0</v>
      </c>
      <c r="I78">
        <f>COUNTIFS(Table1[Genre],'Legacy Berekeningen'!$A12,Table1[Meister],$A$68,Table1[Rnd],"&lt;="&amp;I$8)+COUNTIFS(Table1[Optioneel genre],'Legacy Berekeningen'!$A12,Table1[Meister],$A$68,Table1[Rnd],"&lt;="&amp;I$8)</f>
        <v>0</v>
      </c>
      <c r="J78">
        <f>COUNTIFS(Table1[Genre],'Legacy Berekeningen'!$A12,Table1[Meister],$A$68,Table1[Rnd],"&lt;="&amp;J$8)+COUNTIFS(Table1[Optioneel genre],'Legacy Berekeningen'!$A12,Table1[Meister],$A$68,Table1[Rnd],"&lt;="&amp;J$8)</f>
        <v>0</v>
      </c>
      <c r="K78">
        <f>COUNTIFS(Table1[Genre],'Legacy Berekeningen'!$A12,Table1[Meister],$A$68,Table1[Rnd],"&lt;="&amp;K$8)+COUNTIFS(Table1[Optioneel genre],'Legacy Berekeningen'!$A12,Table1[Meister],$A$68,Table1[Rnd],"&lt;="&amp;K$8)</f>
        <v>0</v>
      </c>
      <c r="L78">
        <f>COUNTIFS(Table1[Genre],'Legacy Berekeningen'!$A12,Table1[Meister],$A$68,Table1[Rnd],"&lt;="&amp;L$8)+COUNTIFS(Table1[Optioneel genre],'Legacy Berekeningen'!$A12,Table1[Meister],$A$68,Table1[Rnd],"&lt;="&amp;L$8)</f>
        <v>0</v>
      </c>
      <c r="M78">
        <f>COUNTIFS(Table1[Genre],'Legacy Berekeningen'!$A12,Table1[Meister],$A$68,Table1[Rnd],"&lt;="&amp;M$8)+COUNTIFS(Table1[Optioneel genre],'Legacy Berekeningen'!$A12,Table1[Meister],$A$68,Table1[Rnd],"&lt;="&amp;M$8)</f>
        <v>0</v>
      </c>
      <c r="N78">
        <f>COUNTIFS(Table1[Genre],'Legacy Berekeningen'!$A12,Table1[Meister],$A$68,Table1[Rnd],"&lt;="&amp;N$8)+COUNTIFS(Table1[Optioneel genre],'Legacy Berekeningen'!$A12,Table1[Meister],$A$68,Table1[Rnd],"&lt;="&amp;N$8)</f>
        <v>0</v>
      </c>
    </row>
    <row r="79" spans="1:14">
      <c r="A79" s="2" t="s">
        <v>63</v>
      </c>
      <c r="B79">
        <f>COUNTIFS(Table1[Genre],'Legacy Berekeningen'!$A13,Table1[Meister],$A$68,Table1[Rnd],"&lt;="&amp;B$8)+COUNTIFS(Table1[Optioneel genre],'Legacy Berekeningen'!$A13,Table1[Meister],$A$68,Table1[Rnd],"&lt;="&amp;B$8)</f>
        <v>0</v>
      </c>
      <c r="C79">
        <f>COUNTIFS(Table1[Genre],'Legacy Berekeningen'!$A13,Table1[Meister],$A$68,Table1[Rnd],"&lt;="&amp;C$8)+COUNTIFS(Table1[Optioneel genre],'Legacy Berekeningen'!$A13,Table1[Meister],$A$68,Table1[Rnd],"&lt;="&amp;C$8)</f>
        <v>0</v>
      </c>
      <c r="D79">
        <f>COUNTIFS(Table1[Genre],'Legacy Berekeningen'!$A13,Table1[Meister],$A$68,Table1[Rnd],"&lt;="&amp;D$8)+COUNTIFS(Table1[Optioneel genre],'Legacy Berekeningen'!$A13,Table1[Meister],$A$68,Table1[Rnd],"&lt;="&amp;D$8)</f>
        <v>0</v>
      </c>
      <c r="E79">
        <f>COUNTIFS(Table1[Genre],'Legacy Berekeningen'!$A13,Table1[Meister],$A$68,Table1[Rnd],"&lt;="&amp;E$8)+COUNTIFS(Table1[Optioneel genre],'Legacy Berekeningen'!$A13,Table1[Meister],$A$68,Table1[Rnd],"&lt;="&amp;E$8)</f>
        <v>0</v>
      </c>
      <c r="F79">
        <f>COUNTIFS(Table1[Genre],'Legacy Berekeningen'!$A13,Table1[Meister],$A$68,Table1[Rnd],"&lt;="&amp;F$8)+COUNTIFS(Table1[Optioneel genre],'Legacy Berekeningen'!$A13,Table1[Meister],$A$68,Table1[Rnd],"&lt;="&amp;F$8)</f>
        <v>0</v>
      </c>
      <c r="G79">
        <f>COUNTIFS(Table1[Genre],'Legacy Berekeningen'!$A13,Table1[Meister],$A$68,Table1[Rnd],"&lt;="&amp;G$8)+COUNTIFS(Table1[Optioneel genre],'Legacy Berekeningen'!$A13,Table1[Meister],$A$68,Table1[Rnd],"&lt;="&amp;G$8)</f>
        <v>0</v>
      </c>
      <c r="H79">
        <f>COUNTIFS(Table1[Genre],'Legacy Berekeningen'!$A13,Table1[Meister],$A$68,Table1[Rnd],"&lt;="&amp;H$8)+COUNTIFS(Table1[Optioneel genre],'Legacy Berekeningen'!$A13,Table1[Meister],$A$68,Table1[Rnd],"&lt;="&amp;H$8)</f>
        <v>0</v>
      </c>
      <c r="I79">
        <f>COUNTIFS(Table1[Genre],'Legacy Berekeningen'!$A13,Table1[Meister],$A$68,Table1[Rnd],"&lt;="&amp;I$8)+COUNTIFS(Table1[Optioneel genre],'Legacy Berekeningen'!$A13,Table1[Meister],$A$68,Table1[Rnd],"&lt;="&amp;I$8)</f>
        <v>0</v>
      </c>
      <c r="J79">
        <f>COUNTIFS(Table1[Genre],'Legacy Berekeningen'!$A13,Table1[Meister],$A$68,Table1[Rnd],"&lt;="&amp;J$8)+COUNTIFS(Table1[Optioneel genre],'Legacy Berekeningen'!$A13,Table1[Meister],$A$68,Table1[Rnd],"&lt;="&amp;J$8)</f>
        <v>0</v>
      </c>
      <c r="K79">
        <f>COUNTIFS(Table1[Genre],'Legacy Berekeningen'!$A13,Table1[Meister],$A$68,Table1[Rnd],"&lt;="&amp;K$8)+COUNTIFS(Table1[Optioneel genre],'Legacy Berekeningen'!$A13,Table1[Meister],$A$68,Table1[Rnd],"&lt;="&amp;K$8)</f>
        <v>0</v>
      </c>
      <c r="L79">
        <f>COUNTIFS(Table1[Genre],'Legacy Berekeningen'!$A13,Table1[Meister],$A$68,Table1[Rnd],"&lt;="&amp;L$8)+COUNTIFS(Table1[Optioneel genre],'Legacy Berekeningen'!$A13,Table1[Meister],$A$68,Table1[Rnd],"&lt;="&amp;L$8)</f>
        <v>0</v>
      </c>
      <c r="M79">
        <f>COUNTIFS(Table1[Genre],'Legacy Berekeningen'!$A13,Table1[Meister],$A$68,Table1[Rnd],"&lt;="&amp;M$8)+COUNTIFS(Table1[Optioneel genre],'Legacy Berekeningen'!$A13,Table1[Meister],$A$68,Table1[Rnd],"&lt;="&amp;M$8)</f>
        <v>1</v>
      </c>
      <c r="N79">
        <f>COUNTIFS(Table1[Genre],'Legacy Berekeningen'!$A13,Table1[Meister],$A$68,Table1[Rnd],"&lt;="&amp;N$8)+COUNTIFS(Table1[Optioneel genre],'Legacy Berekeningen'!$A13,Table1[Meister],$A$68,Table1[Rnd],"&lt;="&amp;N$8)</f>
        <v>1</v>
      </c>
    </row>
    <row r="80" spans="1:14">
      <c r="A80" s="2" t="s">
        <v>46</v>
      </c>
      <c r="B80">
        <f>COUNTIFS(Table1[Genre],'Legacy Berekeningen'!$A14,Table1[Meister],$A$68,Table1[Rnd],"&lt;="&amp;B$8)+COUNTIFS(Table1[Optioneel genre],'Legacy Berekeningen'!$A14,Table1[Meister],$A$68,Table1[Rnd],"&lt;="&amp;B$8)</f>
        <v>0</v>
      </c>
      <c r="C80">
        <f>COUNTIFS(Table1[Genre],'Legacy Berekeningen'!$A14,Table1[Meister],$A$68,Table1[Rnd],"&lt;="&amp;C$8)+COUNTIFS(Table1[Optioneel genre],'Legacy Berekeningen'!$A14,Table1[Meister],$A$68,Table1[Rnd],"&lt;="&amp;C$8)</f>
        <v>0</v>
      </c>
      <c r="D80">
        <f>COUNTIFS(Table1[Genre],'Legacy Berekeningen'!$A14,Table1[Meister],$A$68,Table1[Rnd],"&lt;="&amp;D$8)+COUNTIFS(Table1[Optioneel genre],'Legacy Berekeningen'!$A14,Table1[Meister],$A$68,Table1[Rnd],"&lt;="&amp;D$8)</f>
        <v>0</v>
      </c>
      <c r="E80">
        <f>COUNTIFS(Table1[Genre],'Legacy Berekeningen'!$A14,Table1[Meister],$A$68,Table1[Rnd],"&lt;="&amp;E$8)+COUNTIFS(Table1[Optioneel genre],'Legacy Berekeningen'!$A14,Table1[Meister],$A$68,Table1[Rnd],"&lt;="&amp;E$8)</f>
        <v>1</v>
      </c>
      <c r="F80">
        <f>COUNTIFS(Table1[Genre],'Legacy Berekeningen'!$A14,Table1[Meister],$A$68,Table1[Rnd],"&lt;="&amp;F$8)+COUNTIFS(Table1[Optioneel genre],'Legacy Berekeningen'!$A14,Table1[Meister],$A$68,Table1[Rnd],"&lt;="&amp;F$8)</f>
        <v>1</v>
      </c>
      <c r="G80">
        <f>COUNTIFS(Table1[Genre],'Legacy Berekeningen'!$A14,Table1[Meister],$A$68,Table1[Rnd],"&lt;="&amp;G$8)+COUNTIFS(Table1[Optioneel genre],'Legacy Berekeningen'!$A14,Table1[Meister],$A$68,Table1[Rnd],"&lt;="&amp;G$8)</f>
        <v>1</v>
      </c>
      <c r="H80">
        <f>COUNTIFS(Table1[Genre],'Legacy Berekeningen'!$A14,Table1[Meister],$A$68,Table1[Rnd],"&lt;="&amp;H$8)+COUNTIFS(Table1[Optioneel genre],'Legacy Berekeningen'!$A14,Table1[Meister],$A$68,Table1[Rnd],"&lt;="&amp;H$8)</f>
        <v>1</v>
      </c>
      <c r="I80">
        <f>COUNTIFS(Table1[Genre],'Legacy Berekeningen'!$A14,Table1[Meister],$A$68,Table1[Rnd],"&lt;="&amp;I$8)+COUNTIFS(Table1[Optioneel genre],'Legacy Berekeningen'!$A14,Table1[Meister],$A$68,Table1[Rnd],"&lt;="&amp;I$8)</f>
        <v>1</v>
      </c>
      <c r="J80">
        <f>COUNTIFS(Table1[Genre],'Legacy Berekeningen'!$A14,Table1[Meister],$A$68,Table1[Rnd],"&lt;="&amp;J$8)+COUNTIFS(Table1[Optioneel genre],'Legacy Berekeningen'!$A14,Table1[Meister],$A$68,Table1[Rnd],"&lt;="&amp;J$8)</f>
        <v>1</v>
      </c>
      <c r="K80">
        <f>COUNTIFS(Table1[Genre],'Legacy Berekeningen'!$A14,Table1[Meister],$A$68,Table1[Rnd],"&lt;="&amp;K$8)+COUNTIFS(Table1[Optioneel genre],'Legacy Berekeningen'!$A14,Table1[Meister],$A$68,Table1[Rnd],"&lt;="&amp;K$8)</f>
        <v>1</v>
      </c>
      <c r="L80">
        <f>COUNTIFS(Table1[Genre],'Legacy Berekeningen'!$A14,Table1[Meister],$A$68,Table1[Rnd],"&lt;="&amp;L$8)+COUNTIFS(Table1[Optioneel genre],'Legacy Berekeningen'!$A14,Table1[Meister],$A$68,Table1[Rnd],"&lt;="&amp;L$8)</f>
        <v>1</v>
      </c>
      <c r="M80">
        <f>COUNTIFS(Table1[Genre],'Legacy Berekeningen'!$A14,Table1[Meister],$A$68,Table1[Rnd],"&lt;="&amp;M$8)+COUNTIFS(Table1[Optioneel genre],'Legacy Berekeningen'!$A14,Table1[Meister],$A$68,Table1[Rnd],"&lt;="&amp;M$8)</f>
        <v>1</v>
      </c>
      <c r="N80">
        <f>COUNTIFS(Table1[Genre],'Legacy Berekeningen'!$A14,Table1[Meister],$A$68,Table1[Rnd],"&lt;="&amp;N$8)+COUNTIFS(Table1[Optioneel genre],'Legacy Berekeningen'!$A14,Table1[Meister],$A$68,Table1[Rnd],"&lt;="&amp;N$8)</f>
        <v>1</v>
      </c>
    </row>
    <row r="81" spans="1:14">
      <c r="A81" s="2" t="s">
        <v>20</v>
      </c>
      <c r="B81">
        <f>COUNTIFS(Table1[Genre],'Legacy Berekeningen'!$A15,Table1[Meister],$A$68,Table1[Rnd],"&lt;="&amp;B$8)+COUNTIFS(Table1[Optioneel genre],'Legacy Berekeningen'!$A15,Table1[Meister],$A$68,Table1[Rnd],"&lt;="&amp;B$8)</f>
        <v>0</v>
      </c>
      <c r="C81">
        <f>COUNTIFS(Table1[Genre],'Legacy Berekeningen'!$A15,Table1[Meister],$A$68,Table1[Rnd],"&lt;="&amp;C$8)+COUNTIFS(Table1[Optioneel genre],'Legacy Berekeningen'!$A15,Table1[Meister],$A$68,Table1[Rnd],"&lt;="&amp;C$8)</f>
        <v>0</v>
      </c>
      <c r="D81">
        <f>COUNTIFS(Table1[Genre],'Legacy Berekeningen'!$A15,Table1[Meister],$A$68,Table1[Rnd],"&lt;="&amp;D$8)+COUNTIFS(Table1[Optioneel genre],'Legacy Berekeningen'!$A15,Table1[Meister],$A$68,Table1[Rnd],"&lt;="&amp;D$8)</f>
        <v>0</v>
      </c>
      <c r="E81">
        <f>COUNTIFS(Table1[Genre],'Legacy Berekeningen'!$A15,Table1[Meister],$A$68,Table1[Rnd],"&lt;="&amp;E$8)+COUNTIFS(Table1[Optioneel genre],'Legacy Berekeningen'!$A15,Table1[Meister],$A$68,Table1[Rnd],"&lt;="&amp;E$8)</f>
        <v>0</v>
      </c>
      <c r="F81">
        <f>COUNTIFS(Table1[Genre],'Legacy Berekeningen'!$A15,Table1[Meister],$A$68,Table1[Rnd],"&lt;="&amp;F$8)+COUNTIFS(Table1[Optioneel genre],'Legacy Berekeningen'!$A15,Table1[Meister],$A$68,Table1[Rnd],"&lt;="&amp;F$8)</f>
        <v>0</v>
      </c>
      <c r="G81">
        <f>COUNTIFS(Table1[Genre],'Legacy Berekeningen'!$A15,Table1[Meister],$A$68,Table1[Rnd],"&lt;="&amp;G$8)+COUNTIFS(Table1[Optioneel genre],'Legacy Berekeningen'!$A15,Table1[Meister],$A$68,Table1[Rnd],"&lt;="&amp;G$8)</f>
        <v>0</v>
      </c>
      <c r="H81">
        <f>COUNTIFS(Table1[Genre],'Legacy Berekeningen'!$A15,Table1[Meister],$A$68,Table1[Rnd],"&lt;="&amp;H$8)+COUNTIFS(Table1[Optioneel genre],'Legacy Berekeningen'!$A15,Table1[Meister],$A$68,Table1[Rnd],"&lt;="&amp;H$8)</f>
        <v>0</v>
      </c>
      <c r="I81">
        <f>COUNTIFS(Table1[Genre],'Legacy Berekeningen'!$A15,Table1[Meister],$A$68,Table1[Rnd],"&lt;="&amp;I$8)+COUNTIFS(Table1[Optioneel genre],'Legacy Berekeningen'!$A15,Table1[Meister],$A$68,Table1[Rnd],"&lt;="&amp;I$8)</f>
        <v>0</v>
      </c>
      <c r="J81">
        <f>COUNTIFS(Table1[Genre],'Legacy Berekeningen'!$A15,Table1[Meister],$A$68,Table1[Rnd],"&lt;="&amp;J$8)+COUNTIFS(Table1[Optioneel genre],'Legacy Berekeningen'!$A15,Table1[Meister],$A$68,Table1[Rnd],"&lt;="&amp;J$8)</f>
        <v>0</v>
      </c>
      <c r="K81">
        <f>COUNTIFS(Table1[Genre],'Legacy Berekeningen'!$A15,Table1[Meister],$A$68,Table1[Rnd],"&lt;="&amp;K$8)+COUNTIFS(Table1[Optioneel genre],'Legacy Berekeningen'!$A15,Table1[Meister],$A$68,Table1[Rnd],"&lt;="&amp;K$8)</f>
        <v>0</v>
      </c>
      <c r="L81">
        <f>COUNTIFS(Table1[Genre],'Legacy Berekeningen'!$A15,Table1[Meister],$A$68,Table1[Rnd],"&lt;="&amp;L$8)+COUNTIFS(Table1[Optioneel genre],'Legacy Berekeningen'!$A15,Table1[Meister],$A$68,Table1[Rnd],"&lt;="&amp;L$8)</f>
        <v>0</v>
      </c>
      <c r="M81">
        <f>COUNTIFS(Table1[Genre],'Legacy Berekeningen'!$A15,Table1[Meister],$A$68,Table1[Rnd],"&lt;="&amp;M$8)+COUNTIFS(Table1[Optioneel genre],'Legacy Berekeningen'!$A15,Table1[Meister],$A$68,Table1[Rnd],"&lt;="&amp;M$8)</f>
        <v>1</v>
      </c>
      <c r="N81">
        <f>COUNTIFS(Table1[Genre],'Legacy Berekeningen'!$A15,Table1[Meister],$A$68,Table1[Rnd],"&lt;="&amp;N$8)+COUNTIFS(Table1[Optioneel genre],'Legacy Berekeningen'!$A15,Table1[Meister],$A$68,Table1[Rnd],"&lt;="&amp;N$8)</f>
        <v>1</v>
      </c>
    </row>
    <row r="82" spans="1:14">
      <c r="A82" s="2" t="s">
        <v>68</v>
      </c>
      <c r="B82">
        <f>COUNTIFS(Table1[Genre],'Legacy Berekeningen'!$A16,Table1[Meister],$A$68,Table1[Rnd],"&lt;="&amp;B$8)+COUNTIFS(Table1[Optioneel genre],'Legacy Berekeningen'!$A16,Table1[Meister],$A$68,Table1[Rnd],"&lt;="&amp;B$8)</f>
        <v>0</v>
      </c>
      <c r="C82">
        <f>COUNTIFS(Table1[Genre],'Legacy Berekeningen'!$A16,Table1[Meister],$A$68,Table1[Rnd],"&lt;="&amp;C$8)+COUNTIFS(Table1[Optioneel genre],'Legacy Berekeningen'!$A16,Table1[Meister],$A$68,Table1[Rnd],"&lt;="&amp;C$8)</f>
        <v>0</v>
      </c>
      <c r="D82">
        <f>COUNTIFS(Table1[Genre],'Legacy Berekeningen'!$A16,Table1[Meister],$A$68,Table1[Rnd],"&lt;="&amp;D$8)+COUNTIFS(Table1[Optioneel genre],'Legacy Berekeningen'!$A16,Table1[Meister],$A$68,Table1[Rnd],"&lt;="&amp;D$8)</f>
        <v>0</v>
      </c>
      <c r="E82">
        <f>COUNTIFS(Table1[Genre],'Legacy Berekeningen'!$A16,Table1[Meister],$A$68,Table1[Rnd],"&lt;="&amp;E$8)+COUNTIFS(Table1[Optioneel genre],'Legacy Berekeningen'!$A16,Table1[Meister],$A$68,Table1[Rnd],"&lt;="&amp;E$8)</f>
        <v>0</v>
      </c>
      <c r="F82">
        <f>COUNTIFS(Table1[Genre],'Legacy Berekeningen'!$A16,Table1[Meister],$A$68,Table1[Rnd],"&lt;="&amp;F$8)+COUNTIFS(Table1[Optioneel genre],'Legacy Berekeningen'!$A16,Table1[Meister],$A$68,Table1[Rnd],"&lt;="&amp;F$8)</f>
        <v>0</v>
      </c>
      <c r="G82">
        <f>COUNTIFS(Table1[Genre],'Legacy Berekeningen'!$A16,Table1[Meister],$A$68,Table1[Rnd],"&lt;="&amp;G$8)+COUNTIFS(Table1[Optioneel genre],'Legacy Berekeningen'!$A16,Table1[Meister],$A$68,Table1[Rnd],"&lt;="&amp;G$8)</f>
        <v>0</v>
      </c>
      <c r="H82">
        <f>COUNTIFS(Table1[Genre],'Legacy Berekeningen'!$A16,Table1[Meister],$A$68,Table1[Rnd],"&lt;="&amp;H$8)+COUNTIFS(Table1[Optioneel genre],'Legacy Berekeningen'!$A16,Table1[Meister],$A$68,Table1[Rnd],"&lt;="&amp;H$8)</f>
        <v>0</v>
      </c>
      <c r="I82">
        <f>COUNTIFS(Table1[Genre],'Legacy Berekeningen'!$A16,Table1[Meister],$A$68,Table1[Rnd],"&lt;="&amp;I$8)+COUNTIFS(Table1[Optioneel genre],'Legacy Berekeningen'!$A16,Table1[Meister],$A$68,Table1[Rnd],"&lt;="&amp;I$8)</f>
        <v>0</v>
      </c>
      <c r="J82">
        <f>COUNTIFS(Table1[Genre],'Legacy Berekeningen'!$A16,Table1[Meister],$A$68,Table1[Rnd],"&lt;="&amp;J$8)+COUNTIFS(Table1[Optioneel genre],'Legacy Berekeningen'!$A16,Table1[Meister],$A$68,Table1[Rnd],"&lt;="&amp;J$8)</f>
        <v>0</v>
      </c>
      <c r="K82">
        <f>COUNTIFS(Table1[Genre],'Legacy Berekeningen'!$A16,Table1[Meister],$A$68,Table1[Rnd],"&lt;="&amp;K$8)+COUNTIFS(Table1[Optioneel genre],'Legacy Berekeningen'!$A16,Table1[Meister],$A$68,Table1[Rnd],"&lt;="&amp;K$8)</f>
        <v>0</v>
      </c>
      <c r="L82">
        <f>COUNTIFS(Table1[Genre],'Legacy Berekeningen'!$A16,Table1[Meister],$A$68,Table1[Rnd],"&lt;="&amp;L$8)+COUNTIFS(Table1[Optioneel genre],'Legacy Berekeningen'!$A16,Table1[Meister],$A$68,Table1[Rnd],"&lt;="&amp;L$8)</f>
        <v>0</v>
      </c>
      <c r="M82">
        <f>COUNTIFS(Table1[Genre],'Legacy Berekeningen'!$A16,Table1[Meister],$A$68,Table1[Rnd],"&lt;="&amp;M$8)+COUNTIFS(Table1[Optioneel genre],'Legacy Berekeningen'!$A16,Table1[Meister],$A$68,Table1[Rnd],"&lt;="&amp;M$8)</f>
        <v>0</v>
      </c>
      <c r="N82">
        <f>COUNTIFS(Table1[Genre],'Legacy Berekeningen'!$A16,Table1[Meister],$A$68,Table1[Rnd],"&lt;="&amp;N$8)+COUNTIFS(Table1[Optioneel genre],'Legacy Berekeningen'!$A16,Table1[Meister],$A$68,Table1[Rnd],"&lt;="&amp;N$8)</f>
        <v>0</v>
      </c>
    </row>
    <row r="83" spans="1:14">
      <c r="A83" s="2" t="s">
        <v>21</v>
      </c>
      <c r="B83">
        <f>COUNTIFS(Table1[Genre],'Legacy Berekeningen'!$A17,Table1[Meister],$A$68,Table1[Rnd],"&lt;="&amp;B$8)+COUNTIFS(Table1[Optioneel genre],'Legacy Berekeningen'!$A17,Table1[Meister],$A$68,Table1[Rnd],"&lt;="&amp;B$8)</f>
        <v>1</v>
      </c>
      <c r="C83">
        <f>COUNTIFS(Table1[Genre],'Legacy Berekeningen'!$A17,Table1[Meister],$A$68,Table1[Rnd],"&lt;="&amp;C$8)+COUNTIFS(Table1[Optioneel genre],'Legacy Berekeningen'!$A17,Table1[Meister],$A$68,Table1[Rnd],"&lt;="&amp;C$8)</f>
        <v>2</v>
      </c>
      <c r="D83">
        <f>COUNTIFS(Table1[Genre],'Legacy Berekeningen'!$A17,Table1[Meister],$A$68,Table1[Rnd],"&lt;="&amp;D$8)+COUNTIFS(Table1[Optioneel genre],'Legacy Berekeningen'!$A17,Table1[Meister],$A$68,Table1[Rnd],"&lt;="&amp;D$8)</f>
        <v>3</v>
      </c>
      <c r="E83">
        <f>COUNTIFS(Table1[Genre],'Legacy Berekeningen'!$A17,Table1[Meister],$A$68,Table1[Rnd],"&lt;="&amp;E$8)+COUNTIFS(Table1[Optioneel genre],'Legacy Berekeningen'!$A17,Table1[Meister],$A$68,Table1[Rnd],"&lt;="&amp;E$8)</f>
        <v>3</v>
      </c>
      <c r="F83">
        <f>COUNTIFS(Table1[Genre],'Legacy Berekeningen'!$A17,Table1[Meister],$A$68,Table1[Rnd],"&lt;="&amp;F$8)+COUNTIFS(Table1[Optioneel genre],'Legacy Berekeningen'!$A17,Table1[Meister],$A$68,Table1[Rnd],"&lt;="&amp;F$8)</f>
        <v>4</v>
      </c>
      <c r="G83">
        <f>COUNTIFS(Table1[Genre],'Legacy Berekeningen'!$A17,Table1[Meister],$A$68,Table1[Rnd],"&lt;="&amp;G$8)+COUNTIFS(Table1[Optioneel genre],'Legacy Berekeningen'!$A17,Table1[Meister],$A$68,Table1[Rnd],"&lt;="&amp;G$8)</f>
        <v>4</v>
      </c>
      <c r="H83">
        <f>COUNTIFS(Table1[Genre],'Legacy Berekeningen'!$A17,Table1[Meister],$A$68,Table1[Rnd],"&lt;="&amp;H$8)+COUNTIFS(Table1[Optioneel genre],'Legacy Berekeningen'!$A17,Table1[Meister],$A$68,Table1[Rnd],"&lt;="&amp;H$8)</f>
        <v>4</v>
      </c>
      <c r="I83">
        <f>COUNTIFS(Table1[Genre],'Legacy Berekeningen'!$A17,Table1[Meister],$A$68,Table1[Rnd],"&lt;="&amp;I$8)+COUNTIFS(Table1[Optioneel genre],'Legacy Berekeningen'!$A17,Table1[Meister],$A$68,Table1[Rnd],"&lt;="&amp;I$8)</f>
        <v>4</v>
      </c>
      <c r="J83">
        <f>COUNTIFS(Table1[Genre],'Legacy Berekeningen'!$A17,Table1[Meister],$A$68,Table1[Rnd],"&lt;="&amp;J$8)+COUNTIFS(Table1[Optioneel genre],'Legacy Berekeningen'!$A17,Table1[Meister],$A$68,Table1[Rnd],"&lt;="&amp;J$8)</f>
        <v>4</v>
      </c>
      <c r="K83">
        <f>COUNTIFS(Table1[Genre],'Legacy Berekeningen'!$A17,Table1[Meister],$A$68,Table1[Rnd],"&lt;="&amp;K$8)+COUNTIFS(Table1[Optioneel genre],'Legacy Berekeningen'!$A17,Table1[Meister],$A$68,Table1[Rnd],"&lt;="&amp;K$8)</f>
        <v>4</v>
      </c>
      <c r="L83">
        <f>COUNTIFS(Table1[Genre],'Legacy Berekeningen'!$A17,Table1[Meister],$A$68,Table1[Rnd],"&lt;="&amp;L$8)+COUNTIFS(Table1[Optioneel genre],'Legacy Berekeningen'!$A17,Table1[Meister],$A$68,Table1[Rnd],"&lt;="&amp;L$8)</f>
        <v>4</v>
      </c>
      <c r="M83">
        <f>COUNTIFS(Table1[Genre],'Legacy Berekeningen'!$A17,Table1[Meister],$A$68,Table1[Rnd],"&lt;="&amp;M$8)+COUNTIFS(Table1[Optioneel genre],'Legacy Berekeningen'!$A17,Table1[Meister],$A$68,Table1[Rnd],"&lt;="&amp;M$8)</f>
        <v>4</v>
      </c>
      <c r="N83">
        <f>COUNTIFS(Table1[Genre],'Legacy Berekeningen'!$A17,Table1[Meister],$A$68,Table1[Rnd],"&lt;="&amp;N$8)+COUNTIFS(Table1[Optioneel genre],'Legacy Berekeningen'!$A17,Table1[Meister],$A$68,Table1[Rnd],"&lt;="&amp;N$8)</f>
        <v>4</v>
      </c>
    </row>
    <row r="84" spans="1:14">
      <c r="A84" s="2" t="s">
        <v>579</v>
      </c>
      <c r="B84">
        <f>COUNTIFS(Table1[Genre],'Legacy Berekeningen'!$A18,Table1[Meister],$A$68,Table1[Rnd],"&lt;="&amp;B$8)+COUNTIFS(Table1[Optioneel genre],'Legacy Berekeningen'!$A18,Table1[Meister],$A$68,Table1[Rnd],"&lt;="&amp;B$8)</f>
        <v>0</v>
      </c>
      <c r="C84">
        <f>COUNTIFS(Table1[Genre],'Legacy Berekeningen'!$A18,Table1[Meister],$A$68,Table1[Rnd],"&lt;="&amp;C$8)+COUNTIFS(Table1[Optioneel genre],'Legacy Berekeningen'!$A18,Table1[Meister],$A$68,Table1[Rnd],"&lt;="&amp;C$8)</f>
        <v>0</v>
      </c>
      <c r="D84">
        <f>COUNTIFS(Table1[Genre],'Legacy Berekeningen'!$A18,Table1[Meister],$A$68,Table1[Rnd],"&lt;="&amp;D$8)+COUNTIFS(Table1[Optioneel genre],'Legacy Berekeningen'!$A18,Table1[Meister],$A$68,Table1[Rnd],"&lt;="&amp;D$8)</f>
        <v>0</v>
      </c>
      <c r="E84">
        <f>COUNTIFS(Table1[Genre],'Legacy Berekeningen'!$A18,Table1[Meister],$A$68,Table1[Rnd],"&lt;="&amp;E$8)+COUNTIFS(Table1[Optioneel genre],'Legacy Berekeningen'!$A18,Table1[Meister],$A$68,Table1[Rnd],"&lt;="&amp;E$8)</f>
        <v>0</v>
      </c>
      <c r="F84">
        <f>COUNTIFS(Table1[Genre],'Legacy Berekeningen'!$A18,Table1[Meister],$A$68,Table1[Rnd],"&lt;="&amp;F$8)+COUNTIFS(Table1[Optioneel genre],'Legacy Berekeningen'!$A18,Table1[Meister],$A$68,Table1[Rnd],"&lt;="&amp;F$8)</f>
        <v>0</v>
      </c>
      <c r="G84">
        <f>COUNTIFS(Table1[Genre],'Legacy Berekeningen'!$A18,Table1[Meister],$A$68,Table1[Rnd],"&lt;="&amp;G$8)+COUNTIFS(Table1[Optioneel genre],'Legacy Berekeningen'!$A18,Table1[Meister],$A$68,Table1[Rnd],"&lt;="&amp;G$8)</f>
        <v>0</v>
      </c>
      <c r="H84">
        <f>COUNTIFS(Table1[Genre],'Legacy Berekeningen'!$A18,Table1[Meister],$A$68,Table1[Rnd],"&lt;="&amp;H$8)+COUNTIFS(Table1[Optioneel genre],'Legacy Berekeningen'!$A18,Table1[Meister],$A$68,Table1[Rnd],"&lt;="&amp;H$8)</f>
        <v>0</v>
      </c>
      <c r="I84">
        <f>COUNTIFS(Table1[Genre],'Legacy Berekeningen'!$A18,Table1[Meister],$A$68,Table1[Rnd],"&lt;="&amp;I$8)+COUNTIFS(Table1[Optioneel genre],'Legacy Berekeningen'!$A18,Table1[Meister],$A$68,Table1[Rnd],"&lt;="&amp;I$8)</f>
        <v>0</v>
      </c>
      <c r="J84">
        <f>COUNTIFS(Table1[Genre],'Legacy Berekeningen'!$A18,Table1[Meister],$A$68,Table1[Rnd],"&lt;="&amp;J$8)+COUNTIFS(Table1[Optioneel genre],'Legacy Berekeningen'!$A18,Table1[Meister],$A$68,Table1[Rnd],"&lt;="&amp;J$8)</f>
        <v>0</v>
      </c>
      <c r="K84">
        <f>COUNTIFS(Table1[Genre],'Legacy Berekeningen'!$A18,Table1[Meister],$A$68,Table1[Rnd],"&lt;="&amp;K$8)+COUNTIFS(Table1[Optioneel genre],'Legacy Berekeningen'!$A18,Table1[Meister],$A$68,Table1[Rnd],"&lt;="&amp;K$8)</f>
        <v>0</v>
      </c>
      <c r="L84">
        <f>COUNTIFS(Table1[Genre],'Legacy Berekeningen'!$A18,Table1[Meister],$A$68,Table1[Rnd],"&lt;="&amp;L$8)+COUNTIFS(Table1[Optioneel genre],'Legacy Berekeningen'!$A18,Table1[Meister],$A$68,Table1[Rnd],"&lt;="&amp;L$8)</f>
        <v>0</v>
      </c>
      <c r="M84">
        <f>COUNTIFS(Table1[Genre],'Legacy Berekeningen'!$A18,Table1[Meister],$A$68,Table1[Rnd],"&lt;="&amp;M$8)+COUNTIFS(Table1[Optioneel genre],'Legacy Berekeningen'!$A18,Table1[Meister],$A$68,Table1[Rnd],"&lt;="&amp;M$8)</f>
        <v>0</v>
      </c>
      <c r="N84">
        <f>COUNTIFS(Table1[Genre],'Legacy Berekeningen'!$A18,Table1[Meister],$A$68,Table1[Rnd],"&lt;="&amp;N$8)+COUNTIFS(Table1[Optioneel genre],'Legacy Berekeningen'!$A18,Table1[Meister],$A$68,Table1[Rnd],"&lt;="&amp;N$8)</f>
        <v>0</v>
      </c>
    </row>
    <row r="85" spans="1:14">
      <c r="A85" s="2" t="s">
        <v>13</v>
      </c>
      <c r="B85">
        <f>COUNTIFS(Table1[Genre],'Legacy Berekeningen'!$A19,Table1[Meister],$A$68,Table1[Rnd],"&lt;="&amp;B$8)+COUNTIFS(Table1[Optioneel genre],'Legacy Berekeningen'!$A19,Table1[Meister],$A$68,Table1[Rnd],"&lt;="&amp;B$8)</f>
        <v>0</v>
      </c>
      <c r="C85">
        <f>COUNTIFS(Table1[Genre],'Legacy Berekeningen'!$A19,Table1[Meister],$A$68,Table1[Rnd],"&lt;="&amp;C$8)+COUNTIFS(Table1[Optioneel genre],'Legacy Berekeningen'!$A19,Table1[Meister],$A$68,Table1[Rnd],"&lt;="&amp;C$8)</f>
        <v>0</v>
      </c>
      <c r="D85">
        <f>COUNTIFS(Table1[Genre],'Legacy Berekeningen'!$A19,Table1[Meister],$A$68,Table1[Rnd],"&lt;="&amp;D$8)+COUNTIFS(Table1[Optioneel genre],'Legacy Berekeningen'!$A19,Table1[Meister],$A$68,Table1[Rnd],"&lt;="&amp;D$8)</f>
        <v>0</v>
      </c>
      <c r="E85">
        <f>COUNTIFS(Table1[Genre],'Legacy Berekeningen'!$A19,Table1[Meister],$A$68,Table1[Rnd],"&lt;="&amp;E$8)+COUNTIFS(Table1[Optioneel genre],'Legacy Berekeningen'!$A19,Table1[Meister],$A$68,Table1[Rnd],"&lt;="&amp;E$8)</f>
        <v>0</v>
      </c>
      <c r="F85">
        <f>COUNTIFS(Table1[Genre],'Legacy Berekeningen'!$A19,Table1[Meister],$A$68,Table1[Rnd],"&lt;="&amp;F$8)+COUNTIFS(Table1[Optioneel genre],'Legacy Berekeningen'!$A19,Table1[Meister],$A$68,Table1[Rnd],"&lt;="&amp;F$8)</f>
        <v>0</v>
      </c>
      <c r="G85">
        <f>COUNTIFS(Table1[Genre],'Legacy Berekeningen'!$A19,Table1[Meister],$A$68,Table1[Rnd],"&lt;="&amp;G$8)+COUNTIFS(Table1[Optioneel genre],'Legacy Berekeningen'!$A19,Table1[Meister],$A$68,Table1[Rnd],"&lt;="&amp;G$8)</f>
        <v>0</v>
      </c>
      <c r="H85">
        <f>COUNTIFS(Table1[Genre],'Legacy Berekeningen'!$A19,Table1[Meister],$A$68,Table1[Rnd],"&lt;="&amp;H$8)+COUNTIFS(Table1[Optioneel genre],'Legacy Berekeningen'!$A19,Table1[Meister],$A$68,Table1[Rnd],"&lt;="&amp;H$8)</f>
        <v>0</v>
      </c>
      <c r="I85">
        <f>COUNTIFS(Table1[Genre],'Legacy Berekeningen'!$A19,Table1[Meister],$A$68,Table1[Rnd],"&lt;="&amp;I$8)+COUNTIFS(Table1[Optioneel genre],'Legacy Berekeningen'!$A19,Table1[Meister],$A$68,Table1[Rnd],"&lt;="&amp;I$8)</f>
        <v>0</v>
      </c>
      <c r="J85">
        <f>COUNTIFS(Table1[Genre],'Legacy Berekeningen'!$A19,Table1[Meister],$A$68,Table1[Rnd],"&lt;="&amp;J$8)+COUNTIFS(Table1[Optioneel genre],'Legacy Berekeningen'!$A19,Table1[Meister],$A$68,Table1[Rnd],"&lt;="&amp;J$8)</f>
        <v>0</v>
      </c>
      <c r="K85">
        <f>COUNTIFS(Table1[Genre],'Legacy Berekeningen'!$A19,Table1[Meister],$A$68,Table1[Rnd],"&lt;="&amp;K$8)+COUNTIFS(Table1[Optioneel genre],'Legacy Berekeningen'!$A19,Table1[Meister],$A$68,Table1[Rnd],"&lt;="&amp;K$8)</f>
        <v>0</v>
      </c>
      <c r="L85">
        <f>COUNTIFS(Table1[Genre],'Legacy Berekeningen'!$A19,Table1[Meister],$A$68,Table1[Rnd],"&lt;="&amp;L$8)+COUNTIFS(Table1[Optioneel genre],'Legacy Berekeningen'!$A19,Table1[Meister],$A$68,Table1[Rnd],"&lt;="&amp;L$8)</f>
        <v>0</v>
      </c>
      <c r="M85">
        <f>COUNTIFS(Table1[Genre],'Legacy Berekeningen'!$A19,Table1[Meister],$A$68,Table1[Rnd],"&lt;="&amp;M$8)+COUNTIFS(Table1[Optioneel genre],'Legacy Berekeningen'!$A19,Table1[Meister],$A$68,Table1[Rnd],"&lt;="&amp;M$8)</f>
        <v>0</v>
      </c>
      <c r="N85">
        <f>COUNTIFS(Table1[Genre],'Legacy Berekeningen'!$A19,Table1[Meister],$A$68,Table1[Rnd],"&lt;="&amp;N$8)+COUNTIFS(Table1[Optioneel genre],'Legacy Berekeningen'!$A19,Table1[Meister],$A$68,Table1[Rnd],"&lt;="&amp;N$8)</f>
        <v>0</v>
      </c>
    </row>
    <row r="86" spans="1:14">
      <c r="A86" s="2" t="s">
        <v>44</v>
      </c>
      <c r="B86">
        <f>COUNTIFS(Table1[Genre],'Legacy Berekeningen'!$A20,Table1[Meister],$A$68,Table1[Rnd],"&lt;="&amp;B$8)+COUNTIFS(Table1[Optioneel genre],'Legacy Berekeningen'!$A20,Table1[Meister],$A$68,Table1[Rnd],"&lt;="&amp;B$8)</f>
        <v>0</v>
      </c>
      <c r="C86">
        <f>COUNTIFS(Table1[Genre],'Legacy Berekeningen'!$A20,Table1[Meister],$A$68,Table1[Rnd],"&lt;="&amp;C$8)+COUNTIFS(Table1[Optioneel genre],'Legacy Berekeningen'!$A20,Table1[Meister],$A$68,Table1[Rnd],"&lt;="&amp;C$8)</f>
        <v>0</v>
      </c>
      <c r="D86">
        <f>COUNTIFS(Table1[Genre],'Legacy Berekeningen'!$A20,Table1[Meister],$A$68,Table1[Rnd],"&lt;="&amp;D$8)+COUNTIFS(Table1[Optioneel genre],'Legacy Berekeningen'!$A20,Table1[Meister],$A$68,Table1[Rnd],"&lt;="&amp;D$8)</f>
        <v>0</v>
      </c>
      <c r="E86">
        <f>COUNTIFS(Table1[Genre],'Legacy Berekeningen'!$A20,Table1[Meister],$A$68,Table1[Rnd],"&lt;="&amp;E$8)+COUNTIFS(Table1[Optioneel genre],'Legacy Berekeningen'!$A20,Table1[Meister],$A$68,Table1[Rnd],"&lt;="&amp;E$8)</f>
        <v>0</v>
      </c>
      <c r="F86">
        <f>COUNTIFS(Table1[Genre],'Legacy Berekeningen'!$A20,Table1[Meister],$A$68,Table1[Rnd],"&lt;="&amp;F$8)+COUNTIFS(Table1[Optioneel genre],'Legacy Berekeningen'!$A20,Table1[Meister],$A$68,Table1[Rnd],"&lt;="&amp;F$8)</f>
        <v>0</v>
      </c>
      <c r="G86">
        <f>COUNTIFS(Table1[Genre],'Legacy Berekeningen'!$A20,Table1[Meister],$A$68,Table1[Rnd],"&lt;="&amp;G$8)+COUNTIFS(Table1[Optioneel genre],'Legacy Berekeningen'!$A20,Table1[Meister],$A$68,Table1[Rnd],"&lt;="&amp;G$8)</f>
        <v>0</v>
      </c>
      <c r="H86">
        <f>COUNTIFS(Table1[Genre],'Legacy Berekeningen'!$A20,Table1[Meister],$A$68,Table1[Rnd],"&lt;="&amp;H$8)+COUNTIFS(Table1[Optioneel genre],'Legacy Berekeningen'!$A20,Table1[Meister],$A$68,Table1[Rnd],"&lt;="&amp;H$8)</f>
        <v>0</v>
      </c>
      <c r="I86">
        <f>COUNTIFS(Table1[Genre],'Legacy Berekeningen'!$A20,Table1[Meister],$A$68,Table1[Rnd],"&lt;="&amp;I$8)+COUNTIFS(Table1[Optioneel genre],'Legacy Berekeningen'!$A20,Table1[Meister],$A$68,Table1[Rnd],"&lt;="&amp;I$8)</f>
        <v>0</v>
      </c>
      <c r="J86">
        <f>COUNTIFS(Table1[Genre],'Legacy Berekeningen'!$A20,Table1[Meister],$A$68,Table1[Rnd],"&lt;="&amp;J$8)+COUNTIFS(Table1[Optioneel genre],'Legacy Berekeningen'!$A20,Table1[Meister],$A$68,Table1[Rnd],"&lt;="&amp;J$8)</f>
        <v>0</v>
      </c>
      <c r="K86">
        <f>COUNTIFS(Table1[Genre],'Legacy Berekeningen'!$A20,Table1[Meister],$A$68,Table1[Rnd],"&lt;="&amp;K$8)+COUNTIFS(Table1[Optioneel genre],'Legacy Berekeningen'!$A20,Table1[Meister],$A$68,Table1[Rnd],"&lt;="&amp;K$8)</f>
        <v>0</v>
      </c>
      <c r="L86">
        <f>COUNTIFS(Table1[Genre],'Legacy Berekeningen'!$A20,Table1[Meister],$A$68,Table1[Rnd],"&lt;="&amp;L$8)+COUNTIFS(Table1[Optioneel genre],'Legacy Berekeningen'!$A20,Table1[Meister],$A$68,Table1[Rnd],"&lt;="&amp;L$8)</f>
        <v>0</v>
      </c>
      <c r="M86">
        <f>COUNTIFS(Table1[Genre],'Legacy Berekeningen'!$A20,Table1[Meister],$A$68,Table1[Rnd],"&lt;="&amp;M$8)+COUNTIFS(Table1[Optioneel genre],'Legacy Berekeningen'!$A20,Table1[Meister],$A$68,Table1[Rnd],"&lt;="&amp;M$8)</f>
        <v>0</v>
      </c>
      <c r="N86">
        <f>COUNTIFS(Table1[Genre],'Legacy Berekeningen'!$A20,Table1[Meister],$A$68,Table1[Rnd],"&lt;="&amp;N$8)+COUNTIFS(Table1[Optioneel genre],'Legacy Berekeningen'!$A20,Table1[Meister],$A$68,Table1[Rnd],"&lt;="&amp;N$8)</f>
        <v>0</v>
      </c>
    </row>
    <row r="87" spans="1:14">
      <c r="A87" s="2" t="s">
        <v>58</v>
      </c>
      <c r="B87">
        <f>COUNTIFS(Table1[Genre],'Legacy Berekeningen'!$A21,Table1[Meister],$A$68,Table1[Rnd],"&lt;="&amp;B$8)+COUNTIFS(Table1[Optioneel genre],'Legacy Berekeningen'!$A21,Table1[Meister],$A$68,Table1[Rnd],"&lt;="&amp;B$8)</f>
        <v>0</v>
      </c>
      <c r="C87">
        <f>COUNTIFS(Table1[Genre],'Legacy Berekeningen'!$A21,Table1[Meister],$A$68,Table1[Rnd],"&lt;="&amp;C$8)+COUNTIFS(Table1[Optioneel genre],'Legacy Berekeningen'!$A21,Table1[Meister],$A$68,Table1[Rnd],"&lt;="&amp;C$8)</f>
        <v>0</v>
      </c>
      <c r="D87">
        <f>COUNTIFS(Table1[Genre],'Legacy Berekeningen'!$A21,Table1[Meister],$A$68,Table1[Rnd],"&lt;="&amp;D$8)+COUNTIFS(Table1[Optioneel genre],'Legacy Berekeningen'!$A21,Table1[Meister],$A$68,Table1[Rnd],"&lt;="&amp;D$8)</f>
        <v>0</v>
      </c>
      <c r="E87">
        <f>COUNTIFS(Table1[Genre],'Legacy Berekeningen'!$A21,Table1[Meister],$A$68,Table1[Rnd],"&lt;="&amp;E$8)+COUNTIFS(Table1[Optioneel genre],'Legacy Berekeningen'!$A21,Table1[Meister],$A$68,Table1[Rnd],"&lt;="&amp;E$8)</f>
        <v>0</v>
      </c>
      <c r="F87">
        <f>COUNTIFS(Table1[Genre],'Legacy Berekeningen'!$A21,Table1[Meister],$A$68,Table1[Rnd],"&lt;="&amp;F$8)+COUNTIFS(Table1[Optioneel genre],'Legacy Berekeningen'!$A21,Table1[Meister],$A$68,Table1[Rnd],"&lt;="&amp;F$8)</f>
        <v>0</v>
      </c>
      <c r="G87">
        <f>COUNTIFS(Table1[Genre],'Legacy Berekeningen'!$A21,Table1[Meister],$A$68,Table1[Rnd],"&lt;="&amp;G$8)+COUNTIFS(Table1[Optioneel genre],'Legacy Berekeningen'!$A21,Table1[Meister],$A$68,Table1[Rnd],"&lt;="&amp;G$8)</f>
        <v>0</v>
      </c>
      <c r="H87">
        <f>COUNTIFS(Table1[Genre],'Legacy Berekeningen'!$A21,Table1[Meister],$A$68,Table1[Rnd],"&lt;="&amp;H$8)+COUNTIFS(Table1[Optioneel genre],'Legacy Berekeningen'!$A21,Table1[Meister],$A$68,Table1[Rnd],"&lt;="&amp;H$8)</f>
        <v>0</v>
      </c>
      <c r="I87">
        <f>COUNTIFS(Table1[Genre],'Legacy Berekeningen'!$A21,Table1[Meister],$A$68,Table1[Rnd],"&lt;="&amp;I$8)+COUNTIFS(Table1[Optioneel genre],'Legacy Berekeningen'!$A21,Table1[Meister],$A$68,Table1[Rnd],"&lt;="&amp;I$8)</f>
        <v>0</v>
      </c>
      <c r="J87">
        <f>COUNTIFS(Table1[Genre],'Legacy Berekeningen'!$A21,Table1[Meister],$A$68,Table1[Rnd],"&lt;="&amp;J$8)+COUNTIFS(Table1[Optioneel genre],'Legacy Berekeningen'!$A21,Table1[Meister],$A$68,Table1[Rnd],"&lt;="&amp;J$8)</f>
        <v>0</v>
      </c>
      <c r="K87">
        <f>COUNTIFS(Table1[Genre],'Legacy Berekeningen'!$A21,Table1[Meister],$A$68,Table1[Rnd],"&lt;="&amp;K$8)+COUNTIFS(Table1[Optioneel genre],'Legacy Berekeningen'!$A21,Table1[Meister],$A$68,Table1[Rnd],"&lt;="&amp;K$8)</f>
        <v>0</v>
      </c>
      <c r="L87">
        <f>COUNTIFS(Table1[Genre],'Legacy Berekeningen'!$A21,Table1[Meister],$A$68,Table1[Rnd],"&lt;="&amp;L$8)+COUNTIFS(Table1[Optioneel genre],'Legacy Berekeningen'!$A21,Table1[Meister],$A$68,Table1[Rnd],"&lt;="&amp;L$8)</f>
        <v>0</v>
      </c>
      <c r="M87">
        <f>COUNTIFS(Table1[Genre],'Legacy Berekeningen'!$A21,Table1[Meister],$A$68,Table1[Rnd],"&lt;="&amp;M$8)+COUNTIFS(Table1[Optioneel genre],'Legacy Berekeningen'!$A21,Table1[Meister],$A$68,Table1[Rnd],"&lt;="&amp;M$8)</f>
        <v>0</v>
      </c>
      <c r="N87">
        <f>COUNTIFS(Table1[Genre],'Legacy Berekeningen'!$A21,Table1[Meister],$A$68,Table1[Rnd],"&lt;="&amp;N$8)+COUNTIFS(Table1[Optioneel genre],'Legacy Berekeningen'!$A21,Table1[Meister],$A$68,Table1[Rnd],"&lt;="&amp;N$8)</f>
        <v>0</v>
      </c>
    </row>
  </sheetData>
  <phoneticPr fontId="2" type="noConversion"/>
  <conditionalFormatting sqref="B2:J4 B3:K3 K2:K3">
    <cfRule type="colorScale" priority="91">
      <colorScale>
        <cfvo type="min"/>
        <cfvo type="percentile" val="50"/>
        <cfvo type="max"/>
        <color rgb="FFF8696B"/>
        <color rgb="FFFFEB84"/>
        <color rgb="FF63BE7B"/>
      </colorScale>
    </cfRule>
  </conditionalFormatting>
  <conditionalFormatting sqref="B2:J5 B3:K3 K2:K3">
    <cfRule type="colorScale" priority="88">
      <colorScale>
        <cfvo type="min"/>
        <cfvo type="percentile" val="50"/>
        <cfvo type="max"/>
        <color rgb="FFF8696B"/>
        <color rgb="FFFFEB84"/>
        <color rgb="FF63BE7B"/>
      </colorScale>
    </cfRule>
  </conditionalFormatting>
  <conditionalFormatting sqref="B9:J27">
    <cfRule type="colorScale" priority="104">
      <colorScale>
        <cfvo type="min"/>
        <cfvo type="percentile" val="50"/>
        <cfvo type="max"/>
        <color rgb="FFF8696B"/>
        <color rgb="FFFFEB84"/>
        <color rgb="FF63BE7B"/>
      </colorScale>
    </cfRule>
  </conditionalFormatting>
  <conditionalFormatting sqref="B29:J47">
    <cfRule type="colorScale" priority="94">
      <colorScale>
        <cfvo type="min"/>
        <cfvo type="percentile" val="50"/>
        <cfvo type="max"/>
        <color rgb="FFF8696B"/>
        <color rgb="FFFFEB84"/>
        <color rgb="FF63BE7B"/>
      </colorScale>
    </cfRule>
  </conditionalFormatting>
  <conditionalFormatting sqref="B49:J67">
    <cfRule type="colorScale" priority="92">
      <colorScale>
        <cfvo type="min"/>
        <cfvo type="percentile" val="50"/>
        <cfvo type="max"/>
        <color rgb="FFF8696B"/>
        <color rgb="FFFFEB84"/>
        <color rgb="FF63BE7B"/>
      </colorScale>
    </cfRule>
  </conditionalFormatting>
  <conditionalFormatting sqref="B69:J87">
    <cfRule type="colorScale" priority="89">
      <colorScale>
        <cfvo type="min"/>
        <cfvo type="percentile" val="50"/>
        <cfvo type="max"/>
        <color rgb="FFF8696B"/>
        <color rgb="FFFFEB84"/>
        <color rgb="FF63BE7B"/>
      </colorScale>
    </cfRule>
  </conditionalFormatting>
  <conditionalFormatting sqref="B2:K2">
    <cfRule type="colorScale" priority="107">
      <colorScale>
        <cfvo type="min"/>
        <cfvo type="percentile" val="50"/>
        <cfvo type="max"/>
        <color rgb="FFF8696B"/>
        <color rgb="FFFFEB84"/>
        <color rgb="FF63BE7B"/>
      </colorScale>
    </cfRule>
  </conditionalFormatting>
  <conditionalFormatting sqref="F9:J27">
    <cfRule type="colorScale" priority="105">
      <colorScale>
        <cfvo type="min"/>
        <cfvo type="percentile" val="50"/>
        <cfvo type="max"/>
        <color rgb="FFF8696B"/>
        <color rgb="FFFFEB84"/>
        <color rgb="FF63BE7B"/>
      </colorScale>
    </cfRule>
  </conditionalFormatting>
  <conditionalFormatting sqref="F29:J47">
    <cfRule type="colorScale" priority="95">
      <colorScale>
        <cfvo type="min"/>
        <cfvo type="percentile" val="50"/>
        <cfvo type="max"/>
        <color rgb="FFF8696B"/>
        <color rgb="FFFFEB84"/>
        <color rgb="FF63BE7B"/>
      </colorScale>
    </cfRule>
  </conditionalFormatting>
  <conditionalFormatting sqref="F49:J67">
    <cfRule type="colorScale" priority="93">
      <colorScale>
        <cfvo type="min"/>
        <cfvo type="percentile" val="50"/>
        <cfvo type="max"/>
        <color rgb="FFF8696B"/>
        <color rgb="FFFFEB84"/>
        <color rgb="FF63BE7B"/>
      </colorScale>
    </cfRule>
  </conditionalFormatting>
  <conditionalFormatting sqref="F69:J87">
    <cfRule type="colorScale" priority="90">
      <colorScale>
        <cfvo type="min"/>
        <cfvo type="percentile" val="50"/>
        <cfvo type="max"/>
        <color rgb="FFF8696B"/>
        <color rgb="FFFFEB84"/>
        <color rgb="FF63BE7B"/>
      </colorScale>
    </cfRule>
  </conditionalFormatting>
  <conditionalFormatting sqref="J5">
    <cfRule type="colorScale" priority="84">
      <colorScale>
        <cfvo type="min"/>
        <cfvo type="percentile" val="50"/>
        <cfvo type="max"/>
        <color rgb="FFF8696B"/>
        <color rgb="FFFFEB84"/>
        <color rgb="FF63BE7B"/>
      </colorScale>
    </cfRule>
  </conditionalFormatting>
  <conditionalFormatting sqref="K4">
    <cfRule type="colorScale" priority="57">
      <colorScale>
        <cfvo type="min"/>
        <cfvo type="percentile" val="50"/>
        <cfvo type="max"/>
        <color rgb="FFF8696B"/>
        <color rgb="FFFFEB84"/>
        <color rgb="FF63BE7B"/>
      </colorScale>
    </cfRule>
    <cfRule type="colorScale" priority="58">
      <colorScale>
        <cfvo type="min"/>
        <cfvo type="percentile" val="50"/>
        <cfvo type="max"/>
        <color rgb="FFF8696B"/>
        <color rgb="FFFFEB84"/>
        <color rgb="FF63BE7B"/>
      </colorScale>
    </cfRule>
  </conditionalFormatting>
  <conditionalFormatting sqref="K5">
    <cfRule type="colorScale" priority="53">
      <colorScale>
        <cfvo type="min"/>
        <cfvo type="percentile" val="50"/>
        <cfvo type="max"/>
        <color rgb="FFF8696B"/>
        <color rgb="FFFFEB84"/>
        <color rgb="FF63BE7B"/>
      </colorScale>
    </cfRule>
    <cfRule type="colorScale" priority="54">
      <colorScale>
        <cfvo type="min"/>
        <cfvo type="percentile" val="50"/>
        <cfvo type="max"/>
        <color rgb="FFF8696B"/>
        <color rgb="FFFFEB84"/>
        <color rgb="FF63BE7B"/>
      </colorScale>
    </cfRule>
  </conditionalFormatting>
  <conditionalFormatting sqref="K9:K27">
    <cfRule type="colorScale" priority="82">
      <colorScale>
        <cfvo type="min"/>
        <cfvo type="percentile" val="50"/>
        <cfvo type="max"/>
        <color rgb="FFF8696B"/>
        <color rgb="FFFFEB84"/>
        <color rgb="FF63BE7B"/>
      </colorScale>
    </cfRule>
    <cfRule type="colorScale" priority="83">
      <colorScale>
        <cfvo type="min"/>
        <cfvo type="percentile" val="50"/>
        <cfvo type="max"/>
        <color rgb="FFF8696B"/>
        <color rgb="FFFFEB84"/>
        <color rgb="FF63BE7B"/>
      </colorScale>
    </cfRule>
  </conditionalFormatting>
  <conditionalFormatting sqref="K29:K47">
    <cfRule type="colorScale" priority="80">
      <colorScale>
        <cfvo type="min"/>
        <cfvo type="percentile" val="50"/>
        <cfvo type="max"/>
        <color rgb="FFF8696B"/>
        <color rgb="FFFFEB84"/>
        <color rgb="FF63BE7B"/>
      </colorScale>
    </cfRule>
    <cfRule type="colorScale" priority="81">
      <colorScale>
        <cfvo type="min"/>
        <cfvo type="percentile" val="50"/>
        <cfvo type="max"/>
        <color rgb="FFF8696B"/>
        <color rgb="FFFFEB84"/>
        <color rgb="FF63BE7B"/>
      </colorScale>
    </cfRule>
  </conditionalFormatting>
  <conditionalFormatting sqref="K49:K67">
    <cfRule type="colorScale" priority="78">
      <colorScale>
        <cfvo type="min"/>
        <cfvo type="percentile" val="50"/>
        <cfvo type="max"/>
        <color rgb="FFF8696B"/>
        <color rgb="FFFFEB84"/>
        <color rgb="FF63BE7B"/>
      </colorScale>
    </cfRule>
    <cfRule type="colorScale" priority="79">
      <colorScale>
        <cfvo type="min"/>
        <cfvo type="percentile" val="50"/>
        <cfvo type="max"/>
        <color rgb="FFF8696B"/>
        <color rgb="FFFFEB84"/>
        <color rgb="FF63BE7B"/>
      </colorScale>
    </cfRule>
  </conditionalFormatting>
  <conditionalFormatting sqref="K69:K87">
    <cfRule type="colorScale" priority="76">
      <colorScale>
        <cfvo type="min"/>
        <cfvo type="percentile" val="50"/>
        <cfvo type="max"/>
        <color rgb="FFF8696B"/>
        <color rgb="FFFFEB84"/>
        <color rgb="FF63BE7B"/>
      </colorScale>
    </cfRule>
    <cfRule type="colorScale" priority="77">
      <colorScale>
        <cfvo type="min"/>
        <cfvo type="percentile" val="50"/>
        <cfvo type="max"/>
        <color rgb="FFF8696B"/>
        <color rgb="FFFFEB84"/>
        <color rgb="FF63BE7B"/>
      </colorScale>
    </cfRule>
  </conditionalFormatting>
  <conditionalFormatting sqref="L9:L27">
    <cfRule type="colorScale" priority="51">
      <colorScale>
        <cfvo type="min"/>
        <cfvo type="percentile" val="50"/>
        <cfvo type="max"/>
        <color rgb="FFF8696B"/>
        <color rgb="FFFFEB84"/>
        <color rgb="FF63BE7B"/>
      </colorScale>
    </cfRule>
    <cfRule type="colorScale" priority="52">
      <colorScale>
        <cfvo type="min"/>
        <cfvo type="percentile" val="50"/>
        <cfvo type="max"/>
        <color rgb="FFF8696B"/>
        <color rgb="FFFFEB84"/>
        <color rgb="FF63BE7B"/>
      </colorScale>
    </cfRule>
  </conditionalFormatting>
  <conditionalFormatting sqref="L29:L47">
    <cfRule type="colorScale" priority="49">
      <colorScale>
        <cfvo type="min"/>
        <cfvo type="percentile" val="50"/>
        <cfvo type="max"/>
        <color rgb="FFF8696B"/>
        <color rgb="FFFFEB84"/>
        <color rgb="FF63BE7B"/>
      </colorScale>
    </cfRule>
    <cfRule type="colorScale" priority="50">
      <colorScale>
        <cfvo type="min"/>
        <cfvo type="percentile" val="50"/>
        <cfvo type="max"/>
        <color rgb="FFF8696B"/>
        <color rgb="FFFFEB84"/>
        <color rgb="FF63BE7B"/>
      </colorScale>
    </cfRule>
  </conditionalFormatting>
  <conditionalFormatting sqref="L49:L67">
    <cfRule type="colorScale" priority="47">
      <colorScale>
        <cfvo type="min"/>
        <cfvo type="percentile" val="50"/>
        <cfvo type="max"/>
        <color rgb="FFF8696B"/>
        <color rgb="FFFFEB84"/>
        <color rgb="FF63BE7B"/>
      </colorScale>
    </cfRule>
    <cfRule type="colorScale" priority="48">
      <colorScale>
        <cfvo type="min"/>
        <cfvo type="percentile" val="50"/>
        <cfvo type="max"/>
        <color rgb="FFF8696B"/>
        <color rgb="FFFFEB84"/>
        <color rgb="FF63BE7B"/>
      </colorScale>
    </cfRule>
  </conditionalFormatting>
  <conditionalFormatting sqref="L69:L87">
    <cfRule type="colorScale" priority="45">
      <colorScale>
        <cfvo type="min"/>
        <cfvo type="percentile" val="50"/>
        <cfvo type="max"/>
        <color rgb="FFF8696B"/>
        <color rgb="FFFFEB84"/>
        <color rgb="FF63BE7B"/>
      </colorScale>
    </cfRule>
    <cfRule type="colorScale" priority="46">
      <colorScale>
        <cfvo type="min"/>
        <cfvo type="percentile" val="50"/>
        <cfvo type="max"/>
        <color rgb="FFF8696B"/>
        <color rgb="FFFFEB84"/>
        <color rgb="FF63BE7B"/>
      </colorScale>
    </cfRule>
  </conditionalFormatting>
  <conditionalFormatting sqref="L2:N2">
    <cfRule type="colorScale" priority="21">
      <colorScale>
        <cfvo type="min"/>
        <cfvo type="percentile" val="50"/>
        <cfvo type="max"/>
        <color rgb="FFF8696B"/>
        <color rgb="FFFFEB84"/>
        <color rgb="FF63BE7B"/>
      </colorScale>
    </cfRule>
    <cfRule type="colorScale" priority="22">
      <colorScale>
        <cfvo type="min"/>
        <cfvo type="percentile" val="50"/>
        <cfvo type="max"/>
        <color rgb="FFF8696B"/>
        <color rgb="FFFFEB84"/>
        <color rgb="FF63BE7B"/>
      </colorScale>
    </cfRule>
    <cfRule type="colorScale" priority="23">
      <colorScale>
        <cfvo type="min"/>
        <cfvo type="percentile" val="50"/>
        <cfvo type="max"/>
        <color rgb="FFF8696B"/>
        <color rgb="FFFFEB84"/>
        <color rgb="FF63BE7B"/>
      </colorScale>
    </cfRule>
  </conditionalFormatting>
  <conditionalFormatting sqref="L3:N3">
    <cfRule type="colorScale" priority="24">
      <colorScale>
        <cfvo type="min"/>
        <cfvo type="percentile" val="50"/>
        <cfvo type="max"/>
        <color rgb="FFF8696B"/>
        <color rgb="FFFFEB84"/>
        <color rgb="FF63BE7B"/>
      </colorScale>
    </cfRule>
    <cfRule type="colorScale" priority="25">
      <colorScale>
        <cfvo type="min"/>
        <cfvo type="percentile" val="50"/>
        <cfvo type="max"/>
        <color rgb="FFF8696B"/>
        <color rgb="FFFFEB84"/>
        <color rgb="FF63BE7B"/>
      </colorScale>
    </cfRule>
  </conditionalFormatting>
  <conditionalFormatting sqref="L4:N4">
    <cfRule type="colorScale" priority="28">
      <colorScale>
        <cfvo type="min"/>
        <cfvo type="percentile" val="50"/>
        <cfvo type="max"/>
        <color rgb="FFF8696B"/>
        <color rgb="FFFFEB84"/>
        <color rgb="FF63BE7B"/>
      </colorScale>
    </cfRule>
    <cfRule type="colorScale" priority="29">
      <colorScale>
        <cfvo type="min"/>
        <cfvo type="percentile" val="50"/>
        <cfvo type="max"/>
        <color rgb="FFF8696B"/>
        <color rgb="FFFFEB84"/>
        <color rgb="FF63BE7B"/>
      </colorScale>
    </cfRule>
  </conditionalFormatting>
  <conditionalFormatting sqref="L5:N5">
    <cfRule type="colorScale" priority="26">
      <colorScale>
        <cfvo type="min"/>
        <cfvo type="percentile" val="50"/>
        <cfvo type="max"/>
        <color rgb="FFF8696B"/>
        <color rgb="FFFFEB84"/>
        <color rgb="FF63BE7B"/>
      </colorScale>
    </cfRule>
    <cfRule type="colorScale" priority="27">
      <colorScale>
        <cfvo type="min"/>
        <cfvo type="percentile" val="50"/>
        <cfvo type="max"/>
        <color rgb="FFF8696B"/>
        <color rgb="FFFFEB84"/>
        <color rgb="FF63BE7B"/>
      </colorScale>
    </cfRule>
  </conditionalFormatting>
  <conditionalFormatting sqref="M9:M27">
    <cfRule type="colorScale" priority="19">
      <colorScale>
        <cfvo type="min"/>
        <cfvo type="percentile" val="50"/>
        <cfvo type="max"/>
        <color rgb="FFF8696B"/>
        <color rgb="FFFFEB84"/>
        <color rgb="FF63BE7B"/>
      </colorScale>
    </cfRule>
    <cfRule type="colorScale" priority="20">
      <colorScale>
        <cfvo type="min"/>
        <cfvo type="percentile" val="50"/>
        <cfvo type="max"/>
        <color rgb="FFF8696B"/>
        <color rgb="FFFFEB84"/>
        <color rgb="FF63BE7B"/>
      </colorScale>
    </cfRule>
  </conditionalFormatting>
  <conditionalFormatting sqref="M29:M47">
    <cfRule type="colorScale" priority="17">
      <colorScale>
        <cfvo type="min"/>
        <cfvo type="percentile" val="50"/>
        <cfvo type="max"/>
        <color rgb="FFF8696B"/>
        <color rgb="FFFFEB84"/>
        <color rgb="FF63BE7B"/>
      </colorScale>
    </cfRule>
    <cfRule type="colorScale" priority="18">
      <colorScale>
        <cfvo type="min"/>
        <cfvo type="percentile" val="50"/>
        <cfvo type="max"/>
        <color rgb="FFF8696B"/>
        <color rgb="FFFFEB84"/>
        <color rgb="FF63BE7B"/>
      </colorScale>
    </cfRule>
  </conditionalFormatting>
  <conditionalFormatting sqref="M49:M67">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onditionalFormatting>
  <conditionalFormatting sqref="M69:M87">
    <cfRule type="colorScale" priority="13">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onditionalFormatting>
  <conditionalFormatting sqref="N9:N27">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conditionalFormatting sqref="N29:N47">
    <cfRule type="colorScale" priority="9">
      <colorScale>
        <cfvo type="min"/>
        <cfvo type="percentile" val="50"/>
        <cfvo type="max"/>
        <color rgb="FFF8696B"/>
        <color rgb="FFFFEB84"/>
        <color rgb="FF63BE7B"/>
      </colorScale>
    </cfRule>
    <cfRule type="colorScale" priority="10">
      <colorScale>
        <cfvo type="min"/>
        <cfvo type="percentile" val="50"/>
        <cfvo type="max"/>
        <color rgb="FFF8696B"/>
        <color rgb="FFFFEB84"/>
        <color rgb="FF63BE7B"/>
      </colorScale>
    </cfRule>
  </conditionalFormatting>
  <conditionalFormatting sqref="N49:N67">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onditionalFormatting>
  <conditionalFormatting sqref="N69:N87">
    <cfRule type="colorScale" priority="5">
      <colorScale>
        <cfvo type="min"/>
        <cfvo type="percentile" val="50"/>
        <cfvo type="max"/>
        <color rgb="FFF8696B"/>
        <color rgb="FFFFEB84"/>
        <color rgb="FF63BE7B"/>
      </colorScale>
    </cfRule>
    <cfRule type="colorScale" priority="6">
      <colorScale>
        <cfvo type="min"/>
        <cfvo type="percentile" val="50"/>
        <cfvo type="max"/>
        <color rgb="FFF8696B"/>
        <color rgb="FFFFEB84"/>
        <color rgb="FF63BE7B"/>
      </colorScale>
    </cfRule>
  </conditionalFormatting>
  <hyperlinks>
    <hyperlink ref="A9" r:id="rId1" display="https://www.imdb.com/search/title?genres=action&amp;title_type=feature&amp;explore=genres&amp;pf_rd_m=A2FGELUUNOQJNL&amp;pf_rd_p=facfbd0c-6f3d-4c05-9348-22eebd58852e&amp;pf_rd_r=VXXS2S9P42HEPBZR3X4E&amp;pf_rd_s=center-6&amp;pf_rd_t=15051&amp;pf_rd_i=genre&amp;ref_=ft_gnr_mvpop_1" xr:uid="{11ED77F9-4112-4131-A6F0-859F18982B3B}"/>
    <hyperlink ref="A10" r:id="rId2" display="https://www.imdb.com/search/title?genres=adventure&amp;title_type=feature&amp;explore=genres&amp;pf_rd_m=A2FGELUUNOQJNL&amp;pf_rd_p=facfbd0c-6f3d-4c05-9348-22eebd58852e&amp;pf_rd_r=VXXS2S9P42HEPBZR3X4E&amp;pf_rd_s=center-6&amp;pf_rd_t=15051&amp;pf_rd_i=genre&amp;ref_=ft_gnr_mvpop_2" xr:uid="{26A69DC5-D699-447B-994A-C6154F6EC02A}"/>
    <hyperlink ref="A11" r:id="rId3" display="https://www.imdb.com/search/title?genres=animation&amp;title_type=feature&amp;explore=genres&amp;pf_rd_m=A2FGELUUNOQJNL&amp;pf_rd_p=facfbd0c-6f3d-4c05-9348-22eebd58852e&amp;pf_rd_r=VXXS2S9P42HEPBZR3X4E&amp;pf_rd_s=center-6&amp;pf_rd_t=15051&amp;pf_rd_i=genre&amp;ref_=ft_gnr_mvpop_3" xr:uid="{EA26B023-2AF6-4439-BE19-6B00A19A9EA5}"/>
    <hyperlink ref="A12" r:id="rId4" display="https://www.imdb.com/search/title?genres=biography&amp;title_type=feature&amp;explore=genres&amp;pf_rd_m=A2FGELUUNOQJNL&amp;pf_rd_p=facfbd0c-6f3d-4c05-9348-22eebd58852e&amp;pf_rd_r=VXXS2S9P42HEPBZR3X4E&amp;pf_rd_s=center-6&amp;pf_rd_t=15051&amp;pf_rd_i=genre&amp;ref_=ft_gnr_mvpop_4" xr:uid="{0FFCC229-44EA-434D-A8A6-9208AC0668EB}"/>
    <hyperlink ref="A13" r:id="rId5" display="https://www.imdb.com/search/title?genres=comedy&amp;title_type=feature&amp;explore=genres&amp;pf_rd_m=A2FGELUUNOQJNL&amp;pf_rd_p=facfbd0c-6f3d-4c05-9348-22eebd58852e&amp;pf_rd_r=VXXS2S9P42HEPBZR3X4E&amp;pf_rd_s=center-6&amp;pf_rd_t=15051&amp;pf_rd_i=genre&amp;ref_=ft_gnr_mvpop_5" xr:uid="{CEB41747-C8D4-45E4-9C9F-50C61E28AE71}"/>
    <hyperlink ref="A14" r:id="rId6" display="https://www.imdb.com/search/title?genres=crime&amp;title_type=feature&amp;explore=genres&amp;pf_rd_m=A2FGELUUNOQJNL&amp;pf_rd_p=facfbd0c-6f3d-4c05-9348-22eebd58852e&amp;pf_rd_r=VXXS2S9P42HEPBZR3X4E&amp;pf_rd_s=center-6&amp;pf_rd_t=15051&amp;pf_rd_i=genre&amp;ref_=ft_gnr_mvpop_6" xr:uid="{98F6ED5B-3E96-46DB-B914-A7B767F1BEB9}"/>
    <hyperlink ref="A15" r:id="rId7" display="https://www.imdb.com/search/title?genres=documentary&amp;explore=genres&amp;pf_rd_m=A2FGELUUNOQJNL&amp;pf_rd_p=facfbd0c-6f3d-4c05-9348-22eebd58852e&amp;pf_rd_r=VXXS2S9P42HEPBZR3X4E&amp;pf_rd_s=center-6&amp;pf_rd_t=15051&amp;pf_rd_i=genre&amp;ref_=ft_gnr_mvpop_7" xr:uid="{A7F6F972-494B-40BE-BF01-B72C00E1DD65}"/>
    <hyperlink ref="A16" r:id="rId8" display="https://www.imdb.com/search/title?genres=drama&amp;title_type=feature&amp;explore=genres&amp;pf_rd_m=A2FGELUUNOQJNL&amp;pf_rd_p=facfbd0c-6f3d-4c05-9348-22eebd58852e&amp;pf_rd_r=VXXS2S9P42HEPBZR3X4E&amp;pf_rd_s=center-6&amp;pf_rd_t=15051&amp;pf_rd_i=genre&amp;ref_=ft_gnr_mvpop_8" xr:uid="{2AD62661-6006-482E-BF2F-1A32A876D423}"/>
    <hyperlink ref="A18" r:id="rId9" display="https://www.imdb.com/search/title?genres=fantasy&amp;title_type=feature&amp;explore=genres&amp;pf_rd_m=A2FGELUUNOQJNL&amp;pf_rd_p=facfbd0c-6f3d-4c05-9348-22eebd58852e&amp;pf_rd_r=VXXS2S9P42HEPBZR3X4E&amp;pf_rd_s=center-6&amp;pf_rd_t=15051&amp;pf_rd_i=genre&amp;ref_=ft_gnr_mvpop_10" xr:uid="{D9F1C896-2FC5-4BCA-B236-FD54D8369ABA}"/>
    <hyperlink ref="A19" r:id="rId10" display="https://www.imdb.com/search/title?genres=horror&amp;title_type=feature&amp;explore=genres&amp;pf_rd_m=A2FGELUUNOQJNL&amp;pf_rd_p=facfbd0c-6f3d-4c05-9348-22eebd58852e&amp;pf_rd_r=VXXS2S9P42HEPBZR3X4E&amp;pf_rd_s=center-6&amp;pf_rd_t=15051&amp;pf_rd_i=genre&amp;ref_=ft_gnr_mvpop_13" xr:uid="{164FD619-E46E-4229-9D95-D5EB222D0747}"/>
    <hyperlink ref="A20" r:id="rId11" display="https://www.imdb.com/search/title?genres=music&amp;title_type=feature&amp;explore=genres&amp;pf_rd_m=A2FGELUUNOQJNL&amp;pf_rd_p=facfbd0c-6f3d-4c05-9348-22eebd58852e&amp;pf_rd_r=VXXS2S9P42HEPBZR3X4E&amp;pf_rd_s=center-6&amp;pf_rd_t=15051&amp;pf_rd_i=genre&amp;ref_=ft_gnr_mvpop_14" xr:uid="{D8FCEF0E-7C3C-4FA9-9FA7-477DFABC0E84}"/>
    <hyperlink ref="A21" r:id="rId12" display="https://www.imdb.com/search/title?genres=mystery&amp;title_type=feature&amp;explore=genres&amp;pf_rd_m=A2FGELUUNOQJNL&amp;pf_rd_p=facfbd0c-6f3d-4c05-9348-22eebd58852e&amp;pf_rd_r=VXXS2S9P42HEPBZR3X4E&amp;pf_rd_s=center-6&amp;pf_rd_t=15051&amp;pf_rd_i=genre&amp;ref_=ft_gnr_mvpop_16" xr:uid="{892F4E48-6101-4EE9-9EA8-D8770FA12261}"/>
    <hyperlink ref="A22" r:id="rId13" display="https://www.imdb.com/search/title?genres=romance&amp;title_type=feature&amp;explore=genres&amp;pf_rd_m=A2FGELUUNOQJNL&amp;pf_rd_p=facfbd0c-6f3d-4c05-9348-22eebd58852e&amp;pf_rd_r=VXXS2S9P42HEPBZR3X4E&amp;pf_rd_s=center-6&amp;pf_rd_t=15051&amp;pf_rd_i=genre&amp;ref_=ft_gnr_mvpop_17" xr:uid="{1C19DEB2-0EF7-4745-A86A-55389B1158D5}"/>
    <hyperlink ref="A23" r:id="rId14" display="https://www.imdb.com/search/title?genres=sci-fi&amp;title_type=feature&amp;explore=genres&amp;pf_rd_m=A2FGELUUNOQJNL&amp;pf_rd_p=facfbd0c-6f3d-4c05-9348-22eebd58852e&amp;pf_rd_r=VXXS2S9P42HEPBZR3X4E&amp;pf_rd_s=center-6&amp;pf_rd_t=15051&amp;pf_rd_i=genre&amp;ref_=ft_gnr_mvpop_18" xr:uid="{494C0705-F938-451D-A5E1-C4409A21F41A}"/>
    <hyperlink ref="A24" r:id="rId15" display="https://www.imdb.com/search/title?genres=sport&amp;title_type=feature&amp;explore=genres&amp;pf_rd_m=A2FGELUUNOQJNL&amp;pf_rd_p=facfbd0c-6f3d-4c05-9348-22eebd58852e&amp;pf_rd_r=VXXS2S9P42HEPBZR3X4E&amp;pf_rd_s=center-6&amp;pf_rd_t=15051&amp;pf_rd_i=genre&amp;ref_=ft_gnr_mvpop_20" xr:uid="{7A819C96-B306-4DB5-9DFE-A6C40B8BAA4D}"/>
    <hyperlink ref="A25" r:id="rId16" display="https://www.imdb.com/search/title?genres=thriller&amp;title_type=feature&amp;explore=genres&amp;pf_rd_m=A2FGELUUNOQJNL&amp;pf_rd_p=facfbd0c-6f3d-4c05-9348-22eebd58852e&amp;pf_rd_r=VXXS2S9P42HEPBZR3X4E&amp;pf_rd_s=center-6&amp;pf_rd_t=15051&amp;pf_rd_i=genre&amp;ref_=ft_gnr_mvpop_22" xr:uid="{6F7E860F-19A5-4BD6-A067-3A71A167D3A9}"/>
    <hyperlink ref="A26" r:id="rId17" display="https://www.imdb.com/search/title?genres=war&amp;title_type=feature&amp;explore=genres&amp;pf_rd_m=A2FGELUUNOQJNL&amp;pf_rd_p=facfbd0c-6f3d-4c05-9348-22eebd58852e&amp;pf_rd_r=VXXS2S9P42HEPBZR3X4E&amp;pf_rd_s=center-6&amp;pf_rd_t=15051&amp;pf_rd_i=genre&amp;ref_=ft_gnr_mvpop_23" xr:uid="{364C21DF-32FA-40C4-BF1D-ED8A7DB83181}"/>
    <hyperlink ref="A27" r:id="rId18" display="https://www.imdb.com/search/title?genres=western&amp;title_type=feature&amp;explore=genres&amp;pf_rd_m=A2FGELUUNOQJNL&amp;pf_rd_p=facfbd0c-6f3d-4c05-9348-22eebd58852e&amp;pf_rd_r=VXXS2S9P42HEPBZR3X4E&amp;pf_rd_s=center-6&amp;pf_rd_t=15051&amp;pf_rd_i=genre&amp;ref_=ft_gnr_mvpop_24" xr:uid="{3FE22995-87BD-4C96-9FFA-46CA649D4DA5}"/>
    <hyperlink ref="A17" r:id="rId19" display="https://www.imdb.com/search/title?genres=family&amp;title_type=feature&amp;explore=genres&amp;pf_rd_m=A2FGELUUNOQJNL&amp;pf_rd_p=facfbd0c-6f3d-4c05-9348-22eebd58852e&amp;pf_rd_r=VXXS2S9P42HEPBZR3X4E&amp;pf_rd_s=center-6&amp;pf_rd_t=15051&amp;pf_rd_i=genre&amp;ref_=ft_gnr_mvpop_9" xr:uid="{4EA51BF6-23DA-4FFF-A864-2133E3886203}"/>
    <hyperlink ref="A29" r:id="rId20" display="https://www.imdb.com/search/title?genres=action&amp;title_type=feature&amp;explore=genres&amp;pf_rd_m=A2FGELUUNOQJNL&amp;pf_rd_p=facfbd0c-6f3d-4c05-9348-22eebd58852e&amp;pf_rd_r=VXXS2S9P42HEPBZR3X4E&amp;pf_rd_s=center-6&amp;pf_rd_t=15051&amp;pf_rd_i=genre&amp;ref_=ft_gnr_mvpop_1" xr:uid="{F8A39161-3A87-4921-AAFD-23F51A8EA106}"/>
    <hyperlink ref="A30" r:id="rId21" display="https://www.imdb.com/search/title?genres=adventure&amp;title_type=feature&amp;explore=genres&amp;pf_rd_m=A2FGELUUNOQJNL&amp;pf_rd_p=facfbd0c-6f3d-4c05-9348-22eebd58852e&amp;pf_rd_r=VXXS2S9P42HEPBZR3X4E&amp;pf_rd_s=center-6&amp;pf_rd_t=15051&amp;pf_rd_i=genre&amp;ref_=ft_gnr_mvpop_2" xr:uid="{8BE4343A-067E-4098-8872-6F5C978B4DCD}"/>
    <hyperlink ref="A31" r:id="rId22" display="https://www.imdb.com/search/title?genres=animation&amp;title_type=feature&amp;explore=genres&amp;pf_rd_m=A2FGELUUNOQJNL&amp;pf_rd_p=facfbd0c-6f3d-4c05-9348-22eebd58852e&amp;pf_rd_r=VXXS2S9P42HEPBZR3X4E&amp;pf_rd_s=center-6&amp;pf_rd_t=15051&amp;pf_rd_i=genre&amp;ref_=ft_gnr_mvpop_3" xr:uid="{B9E3149E-398F-4ABE-82A3-1832368939AC}"/>
    <hyperlink ref="A32" r:id="rId23" display="https://www.imdb.com/search/title?genres=biography&amp;title_type=feature&amp;explore=genres&amp;pf_rd_m=A2FGELUUNOQJNL&amp;pf_rd_p=facfbd0c-6f3d-4c05-9348-22eebd58852e&amp;pf_rd_r=VXXS2S9P42HEPBZR3X4E&amp;pf_rd_s=center-6&amp;pf_rd_t=15051&amp;pf_rd_i=genre&amp;ref_=ft_gnr_mvpop_4" xr:uid="{BB0015D4-DFDD-4099-9DF4-EBBFE9E834D1}"/>
    <hyperlink ref="A33" r:id="rId24" display="https://www.imdb.com/search/title?genres=comedy&amp;title_type=feature&amp;explore=genres&amp;pf_rd_m=A2FGELUUNOQJNL&amp;pf_rd_p=facfbd0c-6f3d-4c05-9348-22eebd58852e&amp;pf_rd_r=VXXS2S9P42HEPBZR3X4E&amp;pf_rd_s=center-6&amp;pf_rd_t=15051&amp;pf_rd_i=genre&amp;ref_=ft_gnr_mvpop_5" xr:uid="{B14F48F9-4EDE-494F-A9C4-87A29CE1E93D}"/>
    <hyperlink ref="A34" r:id="rId25" display="https://www.imdb.com/search/title?genres=crime&amp;title_type=feature&amp;explore=genres&amp;pf_rd_m=A2FGELUUNOQJNL&amp;pf_rd_p=facfbd0c-6f3d-4c05-9348-22eebd58852e&amp;pf_rd_r=VXXS2S9P42HEPBZR3X4E&amp;pf_rd_s=center-6&amp;pf_rd_t=15051&amp;pf_rd_i=genre&amp;ref_=ft_gnr_mvpop_6" xr:uid="{9AFA33D7-A6D1-47CC-96B5-E2A5837305F2}"/>
    <hyperlink ref="A35" r:id="rId26" display="https://www.imdb.com/search/title?genres=documentary&amp;explore=genres&amp;pf_rd_m=A2FGELUUNOQJNL&amp;pf_rd_p=facfbd0c-6f3d-4c05-9348-22eebd58852e&amp;pf_rd_r=VXXS2S9P42HEPBZR3X4E&amp;pf_rd_s=center-6&amp;pf_rd_t=15051&amp;pf_rd_i=genre&amp;ref_=ft_gnr_mvpop_7" xr:uid="{F04A2B5D-22CF-4BAA-AC93-988ED29B9F3C}"/>
    <hyperlink ref="A36" r:id="rId27" display="https://www.imdb.com/search/title?genres=drama&amp;title_type=feature&amp;explore=genres&amp;pf_rd_m=A2FGELUUNOQJNL&amp;pf_rd_p=facfbd0c-6f3d-4c05-9348-22eebd58852e&amp;pf_rd_r=VXXS2S9P42HEPBZR3X4E&amp;pf_rd_s=center-6&amp;pf_rd_t=15051&amp;pf_rd_i=genre&amp;ref_=ft_gnr_mvpop_8" xr:uid="{C10FAB27-E496-4A0E-A92D-B3E10B7D1512}"/>
    <hyperlink ref="A38" r:id="rId28" display="https://www.imdb.com/search/title?genres=fantasy&amp;title_type=feature&amp;explore=genres&amp;pf_rd_m=A2FGELUUNOQJNL&amp;pf_rd_p=facfbd0c-6f3d-4c05-9348-22eebd58852e&amp;pf_rd_r=VXXS2S9P42HEPBZR3X4E&amp;pf_rd_s=center-6&amp;pf_rd_t=15051&amp;pf_rd_i=genre&amp;ref_=ft_gnr_mvpop_10" xr:uid="{95F55ADE-FD2C-4D7B-8C87-1CF577231D46}"/>
    <hyperlink ref="A39" r:id="rId29" display="https://www.imdb.com/search/title?genres=horror&amp;title_type=feature&amp;explore=genres&amp;pf_rd_m=A2FGELUUNOQJNL&amp;pf_rd_p=facfbd0c-6f3d-4c05-9348-22eebd58852e&amp;pf_rd_r=VXXS2S9P42HEPBZR3X4E&amp;pf_rd_s=center-6&amp;pf_rd_t=15051&amp;pf_rd_i=genre&amp;ref_=ft_gnr_mvpop_13" xr:uid="{4BD6A4F9-8641-4185-A3AF-0B93B9AB50A2}"/>
    <hyperlink ref="A40" r:id="rId30" display="https://www.imdb.com/search/title?genres=music&amp;title_type=feature&amp;explore=genres&amp;pf_rd_m=A2FGELUUNOQJNL&amp;pf_rd_p=facfbd0c-6f3d-4c05-9348-22eebd58852e&amp;pf_rd_r=VXXS2S9P42HEPBZR3X4E&amp;pf_rd_s=center-6&amp;pf_rd_t=15051&amp;pf_rd_i=genre&amp;ref_=ft_gnr_mvpop_14" xr:uid="{4F6F1067-80D9-463D-BAEC-A4A6EF0826A4}"/>
    <hyperlink ref="A41" r:id="rId31" display="https://www.imdb.com/search/title?genres=mystery&amp;title_type=feature&amp;explore=genres&amp;pf_rd_m=A2FGELUUNOQJNL&amp;pf_rd_p=facfbd0c-6f3d-4c05-9348-22eebd58852e&amp;pf_rd_r=VXXS2S9P42HEPBZR3X4E&amp;pf_rd_s=center-6&amp;pf_rd_t=15051&amp;pf_rd_i=genre&amp;ref_=ft_gnr_mvpop_16" xr:uid="{729635A9-0821-4791-B090-7E4131606900}"/>
    <hyperlink ref="A42" r:id="rId32" display="https://www.imdb.com/search/title?genres=romance&amp;title_type=feature&amp;explore=genres&amp;pf_rd_m=A2FGELUUNOQJNL&amp;pf_rd_p=facfbd0c-6f3d-4c05-9348-22eebd58852e&amp;pf_rd_r=VXXS2S9P42HEPBZR3X4E&amp;pf_rd_s=center-6&amp;pf_rd_t=15051&amp;pf_rd_i=genre&amp;ref_=ft_gnr_mvpop_17" xr:uid="{DB1E435A-2424-4DD4-8704-67CE70C03C1C}"/>
    <hyperlink ref="A43" r:id="rId33" display="https://www.imdb.com/search/title?genres=sci-fi&amp;title_type=feature&amp;explore=genres&amp;pf_rd_m=A2FGELUUNOQJNL&amp;pf_rd_p=facfbd0c-6f3d-4c05-9348-22eebd58852e&amp;pf_rd_r=VXXS2S9P42HEPBZR3X4E&amp;pf_rd_s=center-6&amp;pf_rd_t=15051&amp;pf_rd_i=genre&amp;ref_=ft_gnr_mvpop_18" xr:uid="{3AA60DAF-96F7-498E-A34A-07ED2595105C}"/>
    <hyperlink ref="A44" r:id="rId34" display="https://www.imdb.com/search/title?genres=sport&amp;title_type=feature&amp;explore=genres&amp;pf_rd_m=A2FGELUUNOQJNL&amp;pf_rd_p=facfbd0c-6f3d-4c05-9348-22eebd58852e&amp;pf_rd_r=VXXS2S9P42HEPBZR3X4E&amp;pf_rd_s=center-6&amp;pf_rd_t=15051&amp;pf_rd_i=genre&amp;ref_=ft_gnr_mvpop_20" xr:uid="{8583EE20-1050-431A-B586-CC4FD5B71C96}"/>
    <hyperlink ref="A45" r:id="rId35" display="https://www.imdb.com/search/title?genres=thriller&amp;title_type=feature&amp;explore=genres&amp;pf_rd_m=A2FGELUUNOQJNL&amp;pf_rd_p=facfbd0c-6f3d-4c05-9348-22eebd58852e&amp;pf_rd_r=VXXS2S9P42HEPBZR3X4E&amp;pf_rd_s=center-6&amp;pf_rd_t=15051&amp;pf_rd_i=genre&amp;ref_=ft_gnr_mvpop_22" xr:uid="{4157F95C-5EC6-4C0A-A85E-53A2CDE27D4F}"/>
    <hyperlink ref="A46" r:id="rId36" display="https://www.imdb.com/search/title?genres=war&amp;title_type=feature&amp;explore=genres&amp;pf_rd_m=A2FGELUUNOQJNL&amp;pf_rd_p=facfbd0c-6f3d-4c05-9348-22eebd58852e&amp;pf_rd_r=VXXS2S9P42HEPBZR3X4E&amp;pf_rd_s=center-6&amp;pf_rd_t=15051&amp;pf_rd_i=genre&amp;ref_=ft_gnr_mvpop_23" xr:uid="{33CB6D0C-14D6-45F0-BDC3-6C23541642EE}"/>
    <hyperlink ref="A47" r:id="rId37" display="https://www.imdb.com/search/title?genres=western&amp;title_type=feature&amp;explore=genres&amp;pf_rd_m=A2FGELUUNOQJNL&amp;pf_rd_p=facfbd0c-6f3d-4c05-9348-22eebd58852e&amp;pf_rd_r=VXXS2S9P42HEPBZR3X4E&amp;pf_rd_s=center-6&amp;pf_rd_t=15051&amp;pf_rd_i=genre&amp;ref_=ft_gnr_mvpop_24" xr:uid="{539D71FB-2DCC-44F9-8119-76C0FACF9924}"/>
    <hyperlink ref="A37" r:id="rId38" display="https://www.imdb.com/search/title?genres=family&amp;title_type=feature&amp;explore=genres&amp;pf_rd_m=A2FGELUUNOQJNL&amp;pf_rd_p=facfbd0c-6f3d-4c05-9348-22eebd58852e&amp;pf_rd_r=VXXS2S9P42HEPBZR3X4E&amp;pf_rd_s=center-6&amp;pf_rd_t=15051&amp;pf_rd_i=genre&amp;ref_=ft_gnr_mvpop_9" xr:uid="{8F7B1987-2E80-4AF1-969F-A1056944DCA7}"/>
    <hyperlink ref="A49" r:id="rId39" display="https://www.imdb.com/search/title?genres=action&amp;title_type=feature&amp;explore=genres&amp;pf_rd_m=A2FGELUUNOQJNL&amp;pf_rd_p=facfbd0c-6f3d-4c05-9348-22eebd58852e&amp;pf_rd_r=VXXS2S9P42HEPBZR3X4E&amp;pf_rd_s=center-6&amp;pf_rd_t=15051&amp;pf_rd_i=genre&amp;ref_=ft_gnr_mvpop_1" xr:uid="{09E41D27-7E74-437F-AD73-54F9B9C0FADB}"/>
    <hyperlink ref="A50" r:id="rId40" display="https://www.imdb.com/search/title?genres=adventure&amp;title_type=feature&amp;explore=genres&amp;pf_rd_m=A2FGELUUNOQJNL&amp;pf_rd_p=facfbd0c-6f3d-4c05-9348-22eebd58852e&amp;pf_rd_r=VXXS2S9P42HEPBZR3X4E&amp;pf_rd_s=center-6&amp;pf_rd_t=15051&amp;pf_rd_i=genre&amp;ref_=ft_gnr_mvpop_2" xr:uid="{524AD030-3C00-4E4B-AEF8-A7BFE764B76C}"/>
    <hyperlink ref="A51" r:id="rId41" display="https://www.imdb.com/search/title?genres=animation&amp;title_type=feature&amp;explore=genres&amp;pf_rd_m=A2FGELUUNOQJNL&amp;pf_rd_p=facfbd0c-6f3d-4c05-9348-22eebd58852e&amp;pf_rd_r=VXXS2S9P42HEPBZR3X4E&amp;pf_rd_s=center-6&amp;pf_rd_t=15051&amp;pf_rd_i=genre&amp;ref_=ft_gnr_mvpop_3" xr:uid="{FF096F43-43BD-43DC-B167-C02D5F2CD578}"/>
    <hyperlink ref="A52" r:id="rId42" display="https://www.imdb.com/search/title?genres=biography&amp;title_type=feature&amp;explore=genres&amp;pf_rd_m=A2FGELUUNOQJNL&amp;pf_rd_p=facfbd0c-6f3d-4c05-9348-22eebd58852e&amp;pf_rd_r=VXXS2S9P42HEPBZR3X4E&amp;pf_rd_s=center-6&amp;pf_rd_t=15051&amp;pf_rd_i=genre&amp;ref_=ft_gnr_mvpop_4" xr:uid="{F06E3019-D8B4-4D6C-BFAB-FCD3C3467D55}"/>
    <hyperlink ref="A53" r:id="rId43" display="https://www.imdb.com/search/title?genres=comedy&amp;title_type=feature&amp;explore=genres&amp;pf_rd_m=A2FGELUUNOQJNL&amp;pf_rd_p=facfbd0c-6f3d-4c05-9348-22eebd58852e&amp;pf_rd_r=VXXS2S9P42HEPBZR3X4E&amp;pf_rd_s=center-6&amp;pf_rd_t=15051&amp;pf_rd_i=genre&amp;ref_=ft_gnr_mvpop_5" xr:uid="{4DD96852-4E57-472D-AAD2-CE06065AF142}"/>
    <hyperlink ref="A54" r:id="rId44" display="https://www.imdb.com/search/title?genres=crime&amp;title_type=feature&amp;explore=genres&amp;pf_rd_m=A2FGELUUNOQJNL&amp;pf_rd_p=facfbd0c-6f3d-4c05-9348-22eebd58852e&amp;pf_rd_r=VXXS2S9P42HEPBZR3X4E&amp;pf_rd_s=center-6&amp;pf_rd_t=15051&amp;pf_rd_i=genre&amp;ref_=ft_gnr_mvpop_6" xr:uid="{2180475A-632C-49CD-9D94-5209570A70FB}"/>
    <hyperlink ref="A55" r:id="rId45" display="https://www.imdb.com/search/title?genres=documentary&amp;explore=genres&amp;pf_rd_m=A2FGELUUNOQJNL&amp;pf_rd_p=facfbd0c-6f3d-4c05-9348-22eebd58852e&amp;pf_rd_r=VXXS2S9P42HEPBZR3X4E&amp;pf_rd_s=center-6&amp;pf_rd_t=15051&amp;pf_rd_i=genre&amp;ref_=ft_gnr_mvpop_7" xr:uid="{EFA1FE9E-0CE0-4264-8BFC-A4DF760639C2}"/>
    <hyperlink ref="A56" r:id="rId46" display="https://www.imdb.com/search/title?genres=drama&amp;title_type=feature&amp;explore=genres&amp;pf_rd_m=A2FGELUUNOQJNL&amp;pf_rd_p=facfbd0c-6f3d-4c05-9348-22eebd58852e&amp;pf_rd_r=VXXS2S9P42HEPBZR3X4E&amp;pf_rd_s=center-6&amp;pf_rd_t=15051&amp;pf_rd_i=genre&amp;ref_=ft_gnr_mvpop_8" xr:uid="{BF26475E-3F48-4BBF-88B8-DFB20CC557A3}"/>
    <hyperlink ref="A58" r:id="rId47" display="https://www.imdb.com/search/title?genres=fantasy&amp;title_type=feature&amp;explore=genres&amp;pf_rd_m=A2FGELUUNOQJNL&amp;pf_rd_p=facfbd0c-6f3d-4c05-9348-22eebd58852e&amp;pf_rd_r=VXXS2S9P42HEPBZR3X4E&amp;pf_rd_s=center-6&amp;pf_rd_t=15051&amp;pf_rd_i=genre&amp;ref_=ft_gnr_mvpop_10" xr:uid="{E54B5CEF-6FA6-40CB-9571-3A449329DB62}"/>
    <hyperlink ref="A59" r:id="rId48" display="https://www.imdb.com/search/title?genres=horror&amp;title_type=feature&amp;explore=genres&amp;pf_rd_m=A2FGELUUNOQJNL&amp;pf_rd_p=facfbd0c-6f3d-4c05-9348-22eebd58852e&amp;pf_rd_r=VXXS2S9P42HEPBZR3X4E&amp;pf_rd_s=center-6&amp;pf_rd_t=15051&amp;pf_rd_i=genre&amp;ref_=ft_gnr_mvpop_13" xr:uid="{3660A525-A9D7-45EB-856F-EC3A94D477F6}"/>
    <hyperlink ref="A60" r:id="rId49" display="https://www.imdb.com/search/title?genres=music&amp;title_type=feature&amp;explore=genres&amp;pf_rd_m=A2FGELUUNOQJNL&amp;pf_rd_p=facfbd0c-6f3d-4c05-9348-22eebd58852e&amp;pf_rd_r=VXXS2S9P42HEPBZR3X4E&amp;pf_rd_s=center-6&amp;pf_rd_t=15051&amp;pf_rd_i=genre&amp;ref_=ft_gnr_mvpop_14" xr:uid="{DC707819-1912-46E1-8E9E-E5F58AFE6DFD}"/>
    <hyperlink ref="A61" r:id="rId50" display="https://www.imdb.com/search/title?genres=mystery&amp;title_type=feature&amp;explore=genres&amp;pf_rd_m=A2FGELUUNOQJNL&amp;pf_rd_p=facfbd0c-6f3d-4c05-9348-22eebd58852e&amp;pf_rd_r=VXXS2S9P42HEPBZR3X4E&amp;pf_rd_s=center-6&amp;pf_rd_t=15051&amp;pf_rd_i=genre&amp;ref_=ft_gnr_mvpop_16" xr:uid="{A086ECED-AA48-41A6-AE75-035DAFDCEE54}"/>
    <hyperlink ref="A62" r:id="rId51" display="https://www.imdb.com/search/title?genres=romance&amp;title_type=feature&amp;explore=genres&amp;pf_rd_m=A2FGELUUNOQJNL&amp;pf_rd_p=facfbd0c-6f3d-4c05-9348-22eebd58852e&amp;pf_rd_r=VXXS2S9P42HEPBZR3X4E&amp;pf_rd_s=center-6&amp;pf_rd_t=15051&amp;pf_rd_i=genre&amp;ref_=ft_gnr_mvpop_17" xr:uid="{7C5CE01F-E591-4B3C-8404-7DE12EFA2612}"/>
    <hyperlink ref="A63" r:id="rId52" display="https://www.imdb.com/search/title?genres=sci-fi&amp;title_type=feature&amp;explore=genres&amp;pf_rd_m=A2FGELUUNOQJNL&amp;pf_rd_p=facfbd0c-6f3d-4c05-9348-22eebd58852e&amp;pf_rd_r=VXXS2S9P42HEPBZR3X4E&amp;pf_rd_s=center-6&amp;pf_rd_t=15051&amp;pf_rd_i=genre&amp;ref_=ft_gnr_mvpop_18" xr:uid="{AE378701-E4D8-49B9-9621-D3F44F614F06}"/>
    <hyperlink ref="A64" r:id="rId53" display="https://www.imdb.com/search/title?genres=sport&amp;title_type=feature&amp;explore=genres&amp;pf_rd_m=A2FGELUUNOQJNL&amp;pf_rd_p=facfbd0c-6f3d-4c05-9348-22eebd58852e&amp;pf_rd_r=VXXS2S9P42HEPBZR3X4E&amp;pf_rd_s=center-6&amp;pf_rd_t=15051&amp;pf_rd_i=genre&amp;ref_=ft_gnr_mvpop_20" xr:uid="{5D0A33D2-94E4-476C-AE1F-CFDA2682AAA6}"/>
    <hyperlink ref="A65" r:id="rId54" display="https://www.imdb.com/search/title?genres=thriller&amp;title_type=feature&amp;explore=genres&amp;pf_rd_m=A2FGELUUNOQJNL&amp;pf_rd_p=facfbd0c-6f3d-4c05-9348-22eebd58852e&amp;pf_rd_r=VXXS2S9P42HEPBZR3X4E&amp;pf_rd_s=center-6&amp;pf_rd_t=15051&amp;pf_rd_i=genre&amp;ref_=ft_gnr_mvpop_22" xr:uid="{22C4D154-7E4E-4B7B-A13B-F92C57653BA3}"/>
    <hyperlink ref="A66" r:id="rId55" display="https://www.imdb.com/search/title?genres=war&amp;title_type=feature&amp;explore=genres&amp;pf_rd_m=A2FGELUUNOQJNL&amp;pf_rd_p=facfbd0c-6f3d-4c05-9348-22eebd58852e&amp;pf_rd_r=VXXS2S9P42HEPBZR3X4E&amp;pf_rd_s=center-6&amp;pf_rd_t=15051&amp;pf_rd_i=genre&amp;ref_=ft_gnr_mvpop_23" xr:uid="{72CC86CB-45DF-437C-BBBE-369F626D8D0F}"/>
    <hyperlink ref="A67" r:id="rId56" display="https://www.imdb.com/search/title?genres=western&amp;title_type=feature&amp;explore=genres&amp;pf_rd_m=A2FGELUUNOQJNL&amp;pf_rd_p=facfbd0c-6f3d-4c05-9348-22eebd58852e&amp;pf_rd_r=VXXS2S9P42HEPBZR3X4E&amp;pf_rd_s=center-6&amp;pf_rd_t=15051&amp;pf_rd_i=genre&amp;ref_=ft_gnr_mvpop_24" xr:uid="{1D4F23E4-BB78-4815-888C-A51417F41879}"/>
    <hyperlink ref="A57" r:id="rId57" display="https://www.imdb.com/search/title?genres=family&amp;title_type=feature&amp;explore=genres&amp;pf_rd_m=A2FGELUUNOQJNL&amp;pf_rd_p=facfbd0c-6f3d-4c05-9348-22eebd58852e&amp;pf_rd_r=VXXS2S9P42HEPBZR3X4E&amp;pf_rd_s=center-6&amp;pf_rd_t=15051&amp;pf_rd_i=genre&amp;ref_=ft_gnr_mvpop_9" xr:uid="{36B89CAA-A4E1-455B-95B4-DFECB660A462}"/>
    <hyperlink ref="A69" r:id="rId58" display="https://www.imdb.com/search/title?genres=action&amp;title_type=feature&amp;explore=genres&amp;pf_rd_m=A2FGELUUNOQJNL&amp;pf_rd_p=facfbd0c-6f3d-4c05-9348-22eebd58852e&amp;pf_rd_r=VXXS2S9P42HEPBZR3X4E&amp;pf_rd_s=center-6&amp;pf_rd_t=15051&amp;pf_rd_i=genre&amp;ref_=ft_gnr_mvpop_1" xr:uid="{FF570BF6-5801-4303-9B3A-794BCEE5ACC9}"/>
    <hyperlink ref="A70" r:id="rId59" display="https://www.imdb.com/search/title?genres=adventure&amp;title_type=feature&amp;explore=genres&amp;pf_rd_m=A2FGELUUNOQJNL&amp;pf_rd_p=facfbd0c-6f3d-4c05-9348-22eebd58852e&amp;pf_rd_r=VXXS2S9P42HEPBZR3X4E&amp;pf_rd_s=center-6&amp;pf_rd_t=15051&amp;pf_rd_i=genre&amp;ref_=ft_gnr_mvpop_2" xr:uid="{0CA93A76-792C-4D38-B46D-C3CC56100044}"/>
    <hyperlink ref="A71" r:id="rId60" display="https://www.imdb.com/search/title?genres=animation&amp;title_type=feature&amp;explore=genres&amp;pf_rd_m=A2FGELUUNOQJNL&amp;pf_rd_p=facfbd0c-6f3d-4c05-9348-22eebd58852e&amp;pf_rd_r=VXXS2S9P42HEPBZR3X4E&amp;pf_rd_s=center-6&amp;pf_rd_t=15051&amp;pf_rd_i=genre&amp;ref_=ft_gnr_mvpop_3" xr:uid="{020352B8-E9D9-4AA5-94D1-7AFB64C21738}"/>
    <hyperlink ref="A72" r:id="rId61" display="https://www.imdb.com/search/title?genres=biography&amp;title_type=feature&amp;explore=genres&amp;pf_rd_m=A2FGELUUNOQJNL&amp;pf_rd_p=facfbd0c-6f3d-4c05-9348-22eebd58852e&amp;pf_rd_r=VXXS2S9P42HEPBZR3X4E&amp;pf_rd_s=center-6&amp;pf_rd_t=15051&amp;pf_rd_i=genre&amp;ref_=ft_gnr_mvpop_4" xr:uid="{9A8A6F58-6044-42BC-ACBC-951B688319AD}"/>
    <hyperlink ref="A73" r:id="rId62" display="https://www.imdb.com/search/title?genres=comedy&amp;title_type=feature&amp;explore=genres&amp;pf_rd_m=A2FGELUUNOQJNL&amp;pf_rd_p=facfbd0c-6f3d-4c05-9348-22eebd58852e&amp;pf_rd_r=VXXS2S9P42HEPBZR3X4E&amp;pf_rd_s=center-6&amp;pf_rd_t=15051&amp;pf_rd_i=genre&amp;ref_=ft_gnr_mvpop_5" xr:uid="{D088DC70-D8FF-442A-8127-A67432E3BD40}"/>
    <hyperlink ref="A74" r:id="rId63" display="https://www.imdb.com/search/title?genres=crime&amp;title_type=feature&amp;explore=genres&amp;pf_rd_m=A2FGELUUNOQJNL&amp;pf_rd_p=facfbd0c-6f3d-4c05-9348-22eebd58852e&amp;pf_rd_r=VXXS2S9P42HEPBZR3X4E&amp;pf_rd_s=center-6&amp;pf_rd_t=15051&amp;pf_rd_i=genre&amp;ref_=ft_gnr_mvpop_6" xr:uid="{3E13CAF0-C054-47F3-87C1-7B5D45CA8A55}"/>
    <hyperlink ref="A75" r:id="rId64" display="https://www.imdb.com/search/title?genres=documentary&amp;explore=genres&amp;pf_rd_m=A2FGELUUNOQJNL&amp;pf_rd_p=facfbd0c-6f3d-4c05-9348-22eebd58852e&amp;pf_rd_r=VXXS2S9P42HEPBZR3X4E&amp;pf_rd_s=center-6&amp;pf_rd_t=15051&amp;pf_rd_i=genre&amp;ref_=ft_gnr_mvpop_7" xr:uid="{963E9F95-EC48-4B93-A63D-D324EC0AB2A6}"/>
    <hyperlink ref="A76" r:id="rId65" display="https://www.imdb.com/search/title?genres=drama&amp;title_type=feature&amp;explore=genres&amp;pf_rd_m=A2FGELUUNOQJNL&amp;pf_rd_p=facfbd0c-6f3d-4c05-9348-22eebd58852e&amp;pf_rd_r=VXXS2S9P42HEPBZR3X4E&amp;pf_rd_s=center-6&amp;pf_rd_t=15051&amp;pf_rd_i=genre&amp;ref_=ft_gnr_mvpop_8" xr:uid="{FF1DFA0B-9516-41E1-B09D-BED86BF2D0A8}"/>
    <hyperlink ref="A78" r:id="rId66" display="https://www.imdb.com/search/title?genres=fantasy&amp;title_type=feature&amp;explore=genres&amp;pf_rd_m=A2FGELUUNOQJNL&amp;pf_rd_p=facfbd0c-6f3d-4c05-9348-22eebd58852e&amp;pf_rd_r=VXXS2S9P42HEPBZR3X4E&amp;pf_rd_s=center-6&amp;pf_rd_t=15051&amp;pf_rd_i=genre&amp;ref_=ft_gnr_mvpop_10" xr:uid="{1367EC26-D5E1-475F-8546-B572F52A2383}"/>
    <hyperlink ref="A79" r:id="rId67" display="https://www.imdb.com/search/title?genres=horror&amp;title_type=feature&amp;explore=genres&amp;pf_rd_m=A2FGELUUNOQJNL&amp;pf_rd_p=facfbd0c-6f3d-4c05-9348-22eebd58852e&amp;pf_rd_r=VXXS2S9P42HEPBZR3X4E&amp;pf_rd_s=center-6&amp;pf_rd_t=15051&amp;pf_rd_i=genre&amp;ref_=ft_gnr_mvpop_13" xr:uid="{36A81138-A721-4ED5-A686-7662B7190607}"/>
    <hyperlink ref="A80" r:id="rId68" display="https://www.imdb.com/search/title?genres=music&amp;title_type=feature&amp;explore=genres&amp;pf_rd_m=A2FGELUUNOQJNL&amp;pf_rd_p=facfbd0c-6f3d-4c05-9348-22eebd58852e&amp;pf_rd_r=VXXS2S9P42HEPBZR3X4E&amp;pf_rd_s=center-6&amp;pf_rd_t=15051&amp;pf_rd_i=genre&amp;ref_=ft_gnr_mvpop_14" xr:uid="{31D2ACFF-7462-40B0-8A19-29812D67DC21}"/>
    <hyperlink ref="A81" r:id="rId69" display="https://www.imdb.com/search/title?genres=mystery&amp;title_type=feature&amp;explore=genres&amp;pf_rd_m=A2FGELUUNOQJNL&amp;pf_rd_p=facfbd0c-6f3d-4c05-9348-22eebd58852e&amp;pf_rd_r=VXXS2S9P42HEPBZR3X4E&amp;pf_rd_s=center-6&amp;pf_rd_t=15051&amp;pf_rd_i=genre&amp;ref_=ft_gnr_mvpop_16" xr:uid="{65C6E21E-4713-4377-9BFE-172029068776}"/>
    <hyperlink ref="A82" r:id="rId70" display="https://www.imdb.com/search/title?genres=romance&amp;title_type=feature&amp;explore=genres&amp;pf_rd_m=A2FGELUUNOQJNL&amp;pf_rd_p=facfbd0c-6f3d-4c05-9348-22eebd58852e&amp;pf_rd_r=VXXS2S9P42HEPBZR3X4E&amp;pf_rd_s=center-6&amp;pf_rd_t=15051&amp;pf_rd_i=genre&amp;ref_=ft_gnr_mvpop_17" xr:uid="{D60FDB91-AAC8-465E-9421-023BF8DBCF71}"/>
    <hyperlink ref="A83" r:id="rId71" display="https://www.imdb.com/search/title?genres=sci-fi&amp;title_type=feature&amp;explore=genres&amp;pf_rd_m=A2FGELUUNOQJNL&amp;pf_rd_p=facfbd0c-6f3d-4c05-9348-22eebd58852e&amp;pf_rd_r=VXXS2S9P42HEPBZR3X4E&amp;pf_rd_s=center-6&amp;pf_rd_t=15051&amp;pf_rd_i=genre&amp;ref_=ft_gnr_mvpop_18" xr:uid="{5EB26B29-ABA7-4ACD-A81B-9A397EAD04F2}"/>
    <hyperlink ref="A84" r:id="rId72" display="https://www.imdb.com/search/title?genres=sport&amp;title_type=feature&amp;explore=genres&amp;pf_rd_m=A2FGELUUNOQJNL&amp;pf_rd_p=facfbd0c-6f3d-4c05-9348-22eebd58852e&amp;pf_rd_r=VXXS2S9P42HEPBZR3X4E&amp;pf_rd_s=center-6&amp;pf_rd_t=15051&amp;pf_rd_i=genre&amp;ref_=ft_gnr_mvpop_20" xr:uid="{82116BE3-4124-4A0C-BC76-9789E2B61B5A}"/>
    <hyperlink ref="A85" r:id="rId73" display="https://www.imdb.com/search/title?genres=thriller&amp;title_type=feature&amp;explore=genres&amp;pf_rd_m=A2FGELUUNOQJNL&amp;pf_rd_p=facfbd0c-6f3d-4c05-9348-22eebd58852e&amp;pf_rd_r=VXXS2S9P42HEPBZR3X4E&amp;pf_rd_s=center-6&amp;pf_rd_t=15051&amp;pf_rd_i=genre&amp;ref_=ft_gnr_mvpop_22" xr:uid="{ED2E1457-F7FB-42FA-9F37-295DE6F49C2E}"/>
    <hyperlink ref="A86" r:id="rId74" display="https://www.imdb.com/search/title?genres=war&amp;title_type=feature&amp;explore=genres&amp;pf_rd_m=A2FGELUUNOQJNL&amp;pf_rd_p=facfbd0c-6f3d-4c05-9348-22eebd58852e&amp;pf_rd_r=VXXS2S9P42HEPBZR3X4E&amp;pf_rd_s=center-6&amp;pf_rd_t=15051&amp;pf_rd_i=genre&amp;ref_=ft_gnr_mvpop_23" xr:uid="{73E23DA9-2FFD-4827-9441-87BCDF3346F8}"/>
    <hyperlink ref="A87" r:id="rId75" display="https://www.imdb.com/search/title?genres=western&amp;title_type=feature&amp;explore=genres&amp;pf_rd_m=A2FGELUUNOQJNL&amp;pf_rd_p=facfbd0c-6f3d-4c05-9348-22eebd58852e&amp;pf_rd_r=VXXS2S9P42HEPBZR3X4E&amp;pf_rd_s=center-6&amp;pf_rd_t=15051&amp;pf_rd_i=genre&amp;ref_=ft_gnr_mvpop_24" xr:uid="{25C5165E-3329-41D2-B1BC-6EA96ACADAE4}"/>
    <hyperlink ref="A77" r:id="rId76" display="https://www.imdb.com/search/title?genres=family&amp;title_type=feature&amp;explore=genres&amp;pf_rd_m=A2FGELUUNOQJNL&amp;pf_rd_p=facfbd0c-6f3d-4c05-9348-22eebd58852e&amp;pf_rd_r=VXXS2S9P42HEPBZR3X4E&amp;pf_rd_s=center-6&amp;pf_rd_t=15051&amp;pf_rd_i=genre&amp;ref_=ft_gnr_mvpop_9" xr:uid="{42992290-5271-421D-97D5-A0F61656166F}"/>
  </hyperlinks>
  <pageMargins left="0.7" right="0.7" top="0.75" bottom="0.75" header="0.3" footer="0.3"/>
  <pageSetup paperSize="9" orientation="portrait" r:id="rId77"/>
  <tableParts count="1">
    <tablePart r:id="rId7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C86ED-F053-4A53-A9F2-C39E637C110D}">
  <dimension ref="A1:O30"/>
  <sheetViews>
    <sheetView zoomScaleNormal="100" workbookViewId="0">
      <selection activeCell="I25" sqref="I25"/>
    </sheetView>
  </sheetViews>
  <sheetFormatPr defaultRowHeight="15"/>
  <cols>
    <col min="1" max="1" width="19.140625" bestFit="1" customWidth="1"/>
    <col min="2" max="2" width="8.42578125" customWidth="1"/>
    <col min="3" max="3" width="8.7109375" customWidth="1"/>
    <col min="4" max="4" width="9.140625" customWidth="1"/>
    <col min="5" max="5" width="8.7109375" customWidth="1"/>
    <col min="6" max="6" width="9.28515625" customWidth="1"/>
    <col min="7" max="7" width="8.85546875" customWidth="1"/>
    <col min="8" max="8" width="15" bestFit="1" customWidth="1"/>
    <col min="9" max="9" width="17.7109375" customWidth="1"/>
    <col min="10" max="10" width="13.85546875" customWidth="1"/>
    <col min="11" max="11" width="11.5703125" customWidth="1"/>
    <col min="12" max="13" width="10.5703125" bestFit="1" customWidth="1"/>
    <col min="14" max="14" width="12.28515625" bestFit="1" customWidth="1"/>
    <col min="15" max="15" width="10.5703125" bestFit="1" customWidth="1"/>
  </cols>
  <sheetData>
    <row r="1" spans="1:15">
      <c r="A1" s="38" t="s">
        <v>606</v>
      </c>
      <c r="B1" s="38"/>
      <c r="C1" s="38"/>
      <c r="D1" s="38"/>
      <c r="E1" s="38"/>
      <c r="F1" s="38"/>
      <c r="G1" s="38"/>
      <c r="I1" s="35" t="s">
        <v>581</v>
      </c>
      <c r="J1" s="35"/>
      <c r="K1" s="35"/>
      <c r="L1" s="35"/>
      <c r="M1" s="35"/>
      <c r="N1" s="35"/>
      <c r="O1" s="35"/>
    </row>
    <row r="2" spans="1:15">
      <c r="A2" s="1" t="s">
        <v>6</v>
      </c>
      <c r="B2" s="1" t="s">
        <v>607</v>
      </c>
      <c r="C2" s="1" t="s">
        <v>18</v>
      </c>
      <c r="D2" s="1" t="s">
        <v>23</v>
      </c>
      <c r="E2" s="1" t="s">
        <v>27</v>
      </c>
      <c r="F2" s="1" t="s">
        <v>29</v>
      </c>
      <c r="G2" s="1" t="s">
        <v>3</v>
      </c>
      <c r="I2" s="1" t="s">
        <v>3</v>
      </c>
      <c r="J2" s="1" t="s">
        <v>18</v>
      </c>
      <c r="K2" s="1" t="s">
        <v>23</v>
      </c>
      <c r="L2" s="1" t="s">
        <v>27</v>
      </c>
      <c r="M2" s="1" t="s">
        <v>29</v>
      </c>
      <c r="N2" s="1" t="s">
        <v>585</v>
      </c>
      <c r="O2" s="1" t="s">
        <v>608</v>
      </c>
    </row>
    <row r="3" spans="1:15">
      <c r="A3" s="2" t="s">
        <v>12</v>
      </c>
      <c r="B3" s="22">
        <f>SUMIFS(master2[Weging],master2[Genres],"*"&amp;A3&amp;"*")</f>
        <v>19.334523809523816</v>
      </c>
      <c r="C3" s="32">
        <f>SUMIFS(master2[Weging],master2[Genres],"*"&amp;$A3&amp;"*",master2[Meister],C$2)</f>
        <v>4.3166666666666664</v>
      </c>
      <c r="D3" s="22">
        <f>SUMIFS(master2[Weging],master2[Genres],"*"&amp;$A3&amp;"*",master2[Meister],D$2)</f>
        <v>5.0083333333333337</v>
      </c>
      <c r="E3" s="22">
        <f>SUMIFS(master2[Weging],master2[Genres],"*"&amp;$A3&amp;"*",master2[Meister],E$2)</f>
        <v>3.416666666666667</v>
      </c>
      <c r="F3" s="22">
        <f>SUMIFS(master2[Weging],master2[Genres],"*"&amp;$A3&amp;"*",master2[Meister],F$2)</f>
        <v>4.5095238095238095</v>
      </c>
      <c r="G3" t="str">
        <f>IF(SUM(C3:F3)=0,"geen",IF(COUNTIF(C3:F3,MAX(C3:F3))&gt;1,"Betwist",_xlfn.XLOOKUP(MAX(C3:F3),C3:F3,$C$2:$F$2)))</f>
        <v>Berend</v>
      </c>
      <c r="I3" t="s">
        <v>586</v>
      </c>
      <c r="J3" s="3">
        <f>_xlfn.MINIFS(master2[Jaar2],master2[Meister],J2)</f>
        <v>1960</v>
      </c>
      <c r="K3" s="3">
        <f>_xlfn.MINIFS(master2[Jaar2],master2[Meister],K2)</f>
        <v>1967</v>
      </c>
      <c r="L3" s="3">
        <f>_xlfn.MINIFS(master2[Jaar2],master2[Meister],L2)</f>
        <v>1980</v>
      </c>
      <c r="M3" s="3">
        <f>_xlfn.MINIFS(master2[Jaar2],master2[Meister],M2)</f>
        <v>1942</v>
      </c>
      <c r="N3" s="3">
        <f>AVERAGE(J3:M3)</f>
        <v>1962.25</v>
      </c>
      <c r="O3" s="3">
        <f>MIN(master2[Jaar2])</f>
        <v>1942</v>
      </c>
    </row>
    <row r="4" spans="1:15">
      <c r="A4" s="2" t="s">
        <v>34</v>
      </c>
      <c r="B4" s="22">
        <f>SUMIFS(master2[Weging],master2[Genres],"*"&amp;A4&amp;"*")</f>
        <v>9.3511904761904745</v>
      </c>
      <c r="C4" s="22">
        <f>SUMIFS(master2[Weging],master2[Genres],"*"&amp;$A4&amp;"*",master2[Meister],C$2)</f>
        <v>2.9666666666666668</v>
      </c>
      <c r="D4" s="22">
        <f>SUMIFS(master2[Weging],master2[Genres],"*"&amp;$A4&amp;"*",master2[Meister],D$2)</f>
        <v>1.5083333333333333</v>
      </c>
      <c r="E4" s="22">
        <f>SUMIFS(master2[Weging],master2[Genres],"*"&amp;$A4&amp;"*",master2[Meister],E$2)</f>
        <v>1.4833333333333334</v>
      </c>
      <c r="F4" s="22">
        <f>SUMIFS(master2[Weging],master2[Genres],"*"&amp;$A4&amp;"*",master2[Meister],F$2)</f>
        <v>2.3928571428571428</v>
      </c>
      <c r="G4" t="str">
        <f>IF(SUM(C4:F4)=0,"geen",IF(COUNTIF(C4:F4,MAX(C4:F4))&gt;1,"Betwist",_xlfn.XLOOKUP(MAX(C4:F4),C4:F4,$C$2:$F$2)))</f>
        <v>Rick</v>
      </c>
      <c r="I4" t="s">
        <v>587</v>
      </c>
      <c r="J4" s="3">
        <f>_xlfn.MAXIFS(master2[Jaar2],master2[Meister],J2)</f>
        <v>2024</v>
      </c>
      <c r="K4" s="3">
        <f>_xlfn.MAXIFS(master2[Jaar2],master2[Meister],K2)</f>
        <v>2024</v>
      </c>
      <c r="L4" s="3">
        <f>_xlfn.MAXIFS(master2[Jaar2],master2[Meister],L2)</f>
        <v>2023</v>
      </c>
      <c r="M4" s="3">
        <f>_xlfn.MAXIFS(master2[Jaar2],master2[Meister],M2)</f>
        <v>2023</v>
      </c>
      <c r="N4" s="3">
        <f>AVERAGE(J4:M4)</f>
        <v>2023.5</v>
      </c>
      <c r="O4" s="3">
        <f>MAX(master2[Jaar2])</f>
        <v>2024</v>
      </c>
    </row>
    <row r="5" spans="1:15">
      <c r="A5" s="2" t="s">
        <v>16</v>
      </c>
      <c r="B5" s="22">
        <f>SUMIFS(master2[Weging],master2[Genres],"*"&amp;A5&amp;"*")</f>
        <v>2.4750000000000001</v>
      </c>
      <c r="C5" s="22">
        <f>SUMIFS(master2[Weging],master2[Genres],"*"&amp;$A5&amp;"*",master2[Meister],C$2)</f>
        <v>0</v>
      </c>
      <c r="D5" s="22">
        <f>SUMIFS(master2[Weging],master2[Genres],"*"&amp;$A5&amp;"*",master2[Meister],D$2)</f>
        <v>0.77499999999999991</v>
      </c>
      <c r="E5" s="22">
        <f>SUMIFS(master2[Weging],master2[Genres],"*"&amp;$A5&amp;"*",master2[Meister],E$2)</f>
        <v>0.7</v>
      </c>
      <c r="F5" s="22">
        <f>SUMIFS(master2[Weging],master2[Genres],"*"&amp;$A5&amp;"*",master2[Meister],F$2)</f>
        <v>0</v>
      </c>
      <c r="G5" t="str">
        <f>IF(SUM(C5:F5)=0,"geen",IF(COUNTIF(C5:F5,MAX(C5:F5))&gt;1,"Betwist",_xlfn.XLOOKUP(MAX(C5:F5),C5:F5,$C$2:$F$2)))</f>
        <v>Berend</v>
      </c>
      <c r="I5" t="s">
        <v>585</v>
      </c>
      <c r="J5" s="3" cm="1">
        <f t="array" ref="J5">ROUND(AVERAGE(IF(Table1[Meister]=J2,Table1[Jaar])),0)</f>
        <v>2016</v>
      </c>
      <c r="K5" s="3" cm="1">
        <f t="array" ref="K5">ROUND(AVERAGE(IF(Table1[Meister]=K2,Table1[Jaar])),0)</f>
        <v>2013</v>
      </c>
      <c r="L5" s="3" cm="1">
        <f t="array" ref="L5">ROUND(AVERAGE(IF(Table1[Meister]=L2,Table1[Jaar])),0)</f>
        <v>2007</v>
      </c>
      <c r="M5" s="3" cm="1">
        <f t="array" ref="M5">ROUND(AVERAGE(IF(Table1[Meister]=M2,Table1[Jaar])),0)</f>
        <v>2004</v>
      </c>
      <c r="N5" s="3">
        <f>AVERAGE(J5:M5)</f>
        <v>2010</v>
      </c>
      <c r="O5" s="3">
        <f>AVERAGE(master2[Jaar2])</f>
        <v>2006.6139240506329</v>
      </c>
    </row>
    <row r="6" spans="1:15">
      <c r="A6" s="2" t="s">
        <v>41</v>
      </c>
      <c r="B6" s="22">
        <f>SUMIFS(master2[Weging],master2[Genres],"*"&amp;A6&amp;"*")</f>
        <v>3.666666666666667</v>
      </c>
      <c r="C6" s="22">
        <f>SUMIFS(master2[Weging],master2[Genres],"*"&amp;$A6&amp;"*",master2[Meister],C$2)</f>
        <v>0.66666666666666663</v>
      </c>
      <c r="D6" s="22">
        <f>SUMIFS(master2[Weging],master2[Genres],"*"&amp;$A6&amp;"*",master2[Meister],D$2)</f>
        <v>0.66666666666666663</v>
      </c>
      <c r="E6" s="22">
        <f>SUMIFS(master2[Weging],master2[Genres],"*"&amp;$A6&amp;"*",master2[Meister],E$2)</f>
        <v>1.7499999999999998</v>
      </c>
      <c r="F6" s="22">
        <f>SUMIFS(master2[Weging],master2[Genres],"*"&amp;$A6&amp;"*",master2[Meister],F$2)</f>
        <v>0.58333333333333326</v>
      </c>
      <c r="G6" t="str">
        <f>IF(SUM(C6:F6)=0,"geen",IF(COUNTIF(C6:F6,MAX(C6:F6))&gt;1,"Betwist",_xlfn.XLOOKUP(MAX(C6:F6),C6:F6,$C$2:$F$2)))</f>
        <v>Joris</v>
      </c>
      <c r="I6" s="35" t="s">
        <v>588</v>
      </c>
      <c r="J6" s="35"/>
      <c r="K6" s="35"/>
      <c r="L6" s="35"/>
      <c r="M6" s="35"/>
      <c r="N6" s="35"/>
      <c r="O6" s="35"/>
    </row>
    <row r="7" spans="1:15">
      <c r="A7" s="2" t="s">
        <v>17</v>
      </c>
      <c r="B7" s="22">
        <f>SUMIFS(master2[Weging],master2[Genres],"*"&amp;A7&amp;"*")</f>
        <v>25.259523809523806</v>
      </c>
      <c r="C7" s="22">
        <f>SUMIFS(master2[Weging],master2[Genres],"*"&amp;$A7&amp;"*",master2[Meister],C$2)</f>
        <v>5.5833333333333321</v>
      </c>
      <c r="D7" s="22">
        <f>SUMIFS(master2[Weging],master2[Genres],"*"&amp;$A7&amp;"*",master2[Meister],D$2)</f>
        <v>4.4000000000000004</v>
      </c>
      <c r="E7" s="22">
        <f>SUMIFS(master2[Weging],master2[Genres],"*"&amp;$A7&amp;"*",master2[Meister],E$2)</f>
        <v>4.9833333333333343</v>
      </c>
      <c r="F7" s="22">
        <f>SUMIFS(master2[Weging],master2[Genres],"*"&amp;$A7&amp;"*",master2[Meister],F$2)</f>
        <v>5.3428571428571425</v>
      </c>
      <c r="G7" t="str">
        <f>IF(SUM(C7:F7)=0,"geen",IF(COUNTIF(C7:F7,MAX(C7:F7))&gt;1,"Betwist",_xlfn.XLOOKUP(MAX(C7:F7),C7:F7,$C$2:$F$2)))</f>
        <v>Rick</v>
      </c>
      <c r="I7" s="1" t="s">
        <v>3</v>
      </c>
      <c r="J7" s="1" t="s">
        <v>18</v>
      </c>
      <c r="K7" s="1" t="s">
        <v>23</v>
      </c>
      <c r="L7" s="1" t="s">
        <v>27</v>
      </c>
      <c r="M7" s="1" t="s">
        <v>29</v>
      </c>
      <c r="N7" s="1" t="s">
        <v>585</v>
      </c>
      <c r="O7" s="1" t="s">
        <v>608</v>
      </c>
    </row>
    <row r="8" spans="1:15">
      <c r="A8" s="2" t="s">
        <v>25</v>
      </c>
      <c r="B8" s="22">
        <f>SUMIFS(master2[Weging],master2[Genres],"*"&amp;A8&amp;"*")</f>
        <v>11.3</v>
      </c>
      <c r="C8" s="22">
        <f>SUMIFS(master2[Weging],master2[Genres],"*"&amp;$A8&amp;"*",master2[Meister],C$2)</f>
        <v>2.6166666666666663</v>
      </c>
      <c r="D8" s="22">
        <f>SUMIFS(master2[Weging],master2[Genres],"*"&amp;$A8&amp;"*",master2[Meister],D$2)</f>
        <v>5.5166666666666666</v>
      </c>
      <c r="E8" s="22">
        <f>SUMIFS(master2[Weging],master2[Genres],"*"&amp;$A8&amp;"*",master2[Meister],E$2)</f>
        <v>1.25</v>
      </c>
      <c r="F8" s="22">
        <f>SUMIFS(master2[Weging],master2[Genres],"*"&amp;$A8&amp;"*",master2[Meister],F$2)</f>
        <v>1.4166666666666665</v>
      </c>
      <c r="G8" t="str">
        <f>IF(SUM(C8:F8)=0,"geen",IF(COUNTIF(C8:F8,MAX(C8:F8))&gt;1,"Betwist",_xlfn.XLOOKUP(MAX(C8:F8),C8:F8,$C$2:$F$2)))</f>
        <v>Berend</v>
      </c>
      <c r="I8" t="s">
        <v>586</v>
      </c>
      <c r="J8">
        <f>_xlfn.MINIFS(Table1[Tijdsduur in min],Table1[Meister],J7)</f>
        <v>95</v>
      </c>
      <c r="K8">
        <f>_xlfn.MINIFS(Table1[Tijdsduur in min],Table1[Meister],K7)</f>
        <v>87</v>
      </c>
      <c r="L8">
        <f>_xlfn.MINIFS(Table1[Tijdsduur in min],Table1[Meister],L7)</f>
        <v>88</v>
      </c>
      <c r="M8">
        <f>_xlfn.MINIFS(Table1[Tijdsduur in min],Table1[Meister],M7)</f>
        <v>75</v>
      </c>
      <c r="N8" s="3">
        <f>AVERAGE(J8:M8)</f>
        <v>86.25</v>
      </c>
    </row>
    <row r="9" spans="1:15">
      <c r="A9" s="2" t="s">
        <v>81</v>
      </c>
      <c r="B9" s="22">
        <f>SUMIFS(master2[Weging],master2[Genres],"*"&amp;A9&amp;"*")</f>
        <v>0.33333333333333331</v>
      </c>
      <c r="C9" s="22">
        <f>SUMIFS(master2[Weging],master2[Genres],"*"&amp;$A9&amp;"*",master2[Meister],C$2)</f>
        <v>0</v>
      </c>
      <c r="D9" s="22">
        <f>SUMIFS(master2[Weging],master2[Genres],"*"&amp;$A9&amp;"*",master2[Meister],D$2)</f>
        <v>0.33333333333333331</v>
      </c>
      <c r="E9" s="22">
        <f>SUMIFS(master2[Weging],master2[Genres],"*"&amp;$A9&amp;"*",master2[Meister],E$2)</f>
        <v>0</v>
      </c>
      <c r="F9" s="22">
        <f>SUMIFS(master2[Weging],master2[Genres],"*"&amp;$A9&amp;"*",master2[Meister],F$2)</f>
        <v>0</v>
      </c>
      <c r="G9" t="str">
        <f>IF(SUM(C9:F9)=0,"geen",IF(COUNTIF(C9:F9,MAX(C9:F9))&gt;1,"Betwist",_xlfn.XLOOKUP(MAX(C9:F9),C9:F9,$C$2:$F$2)))</f>
        <v>Berend</v>
      </c>
      <c r="I9" t="s">
        <v>587</v>
      </c>
      <c r="J9">
        <f>_xlfn.MAXIFS(Table1[Tijdsduur in min],Table1[Meister],J7)</f>
        <v>172</v>
      </c>
      <c r="K9">
        <f>_xlfn.MAXIFS(Table1[Tijdsduur in min],Table1[Meister],K7)</f>
        <v>165</v>
      </c>
      <c r="L9">
        <f>_xlfn.MAXIFS(Table1[Tijdsduur in min],Table1[Meister],L7)</f>
        <v>194</v>
      </c>
      <c r="M9">
        <f>_xlfn.MAXIFS(Table1[Tijdsduur in min],Table1[Meister],M7)</f>
        <v>164</v>
      </c>
      <c r="N9" s="3">
        <f>AVERAGE(J9:M9)</f>
        <v>173.75</v>
      </c>
    </row>
    <row r="10" spans="1:15">
      <c r="A10" s="2" t="s">
        <v>26</v>
      </c>
      <c r="B10" s="22">
        <f>SUMIFS(master2[Weging],master2[Genres],"*"&amp;A10&amp;"*")</f>
        <v>28.141666666666648</v>
      </c>
      <c r="C10" s="22">
        <f>SUMIFS(master2[Weging],master2[Genres],"*"&amp;$A10&amp;"*",master2[Meister],C$2)</f>
        <v>6.4999999999999982</v>
      </c>
      <c r="D10" s="22">
        <f>SUMIFS(master2[Weging],master2[Genres],"*"&amp;$A10&amp;"*",master2[Meister],D$2)</f>
        <v>8.1749999999999989</v>
      </c>
      <c r="E10" s="22">
        <f>SUMIFS(master2[Weging],master2[Genres],"*"&amp;$A10&amp;"*",master2[Meister],E$2)</f>
        <v>5.9499999999999993</v>
      </c>
      <c r="F10" s="22">
        <f>SUMIFS(master2[Weging],master2[Genres],"*"&amp;$A10&amp;"*",master2[Meister],F$2)</f>
        <v>6.0666666666666655</v>
      </c>
      <c r="G10" t="str">
        <f>IF(SUM(C10:F10)=0,"geen",IF(COUNTIF(C10:F10,MAX(C10:F10))&gt;1,"Betwist",_xlfn.XLOOKUP(MAX(C10:F10),C10:F10,$C$2:$F$2)))</f>
        <v>Berend</v>
      </c>
      <c r="I10" t="s">
        <v>585</v>
      </c>
      <c r="J10" s="3" cm="1">
        <f t="array" ref="J10">ROUND(AVERAGE(IF(Table1[Meister]=J7,Table1[Tijdsduur in min])),0)</f>
        <v>136</v>
      </c>
      <c r="K10" s="3" cm="1">
        <f t="array" ref="K10">ROUND(AVERAGE(IF(Table1[Meister]=K7,Table1[Tijdsduur in min])),0)</f>
        <v>116</v>
      </c>
      <c r="L10" s="3" cm="1">
        <f t="array" ref="L10">ROUND(AVERAGE(IF(Table1[Meister]=L7,Table1[Tijdsduur in min])),0)</f>
        <v>122</v>
      </c>
      <c r="M10" s="3" cm="1">
        <f t="array" ref="M10">ROUND(AVERAGE(IF(Table1[Meister]=M7,Table1[Tijdsduur in min])),0)</f>
        <v>120</v>
      </c>
      <c r="N10" s="3">
        <f>AVERAGE(J10:M10)</f>
        <v>123.5</v>
      </c>
    </row>
    <row r="11" spans="1:15">
      <c r="A11" s="2" t="s">
        <v>74</v>
      </c>
      <c r="B11" s="22">
        <f>SUMIFS(master2[Weging],master2[Genres],"*"&amp;A11&amp;"*")</f>
        <v>2.6333333333333333</v>
      </c>
      <c r="C11" s="22">
        <f>SUMIFS(master2[Weging],master2[Genres],"*"&amp;$A11&amp;"*",master2[Meister],C$2)</f>
        <v>0.33333333333333331</v>
      </c>
      <c r="D11" s="22">
        <f>SUMIFS(master2[Weging],master2[Genres],"*"&amp;$A11&amp;"*",master2[Meister],D$2)</f>
        <v>0.98333333333333339</v>
      </c>
      <c r="E11" s="22">
        <f>SUMIFS(master2[Weging],master2[Genres],"*"&amp;$A11&amp;"*",master2[Meister],E$2)</f>
        <v>0.53333333333333333</v>
      </c>
      <c r="F11" s="22">
        <f>SUMIFS(master2[Weging],master2[Genres],"*"&amp;$A11&amp;"*",master2[Meister],F$2)</f>
        <v>0.33333333333333331</v>
      </c>
      <c r="G11" t="str">
        <f>IF(SUM(C11:F11)=0,"geen",IF(COUNTIF(C11:F11,MAX(C11:F11))&gt;1,"Betwist",_xlfn.XLOOKUP(MAX(C11:F11),C11:F11,$C$2:$F$2)))</f>
        <v>Berend</v>
      </c>
      <c r="I11" s="35" t="s">
        <v>589</v>
      </c>
      <c r="J11" s="35"/>
      <c r="K11" s="35"/>
      <c r="L11" s="35"/>
      <c r="M11" s="35"/>
      <c r="N11" s="35"/>
      <c r="O11" s="35"/>
    </row>
    <row r="12" spans="1:15">
      <c r="A12" s="2" t="s">
        <v>62</v>
      </c>
      <c r="B12" s="22">
        <f>SUMIFS(master2[Weging],master2[Genres],"*"&amp;A12&amp;"*")</f>
        <v>3.8011904761904769</v>
      </c>
      <c r="C12" s="22">
        <f>SUMIFS(master2[Weging],master2[Genres],"*"&amp;$A12&amp;"*",master2[Meister],C$2)</f>
        <v>1.2333333333333332</v>
      </c>
      <c r="D12" s="22">
        <f>SUMIFS(master2[Weging],master2[Genres],"*"&amp;$A12&amp;"*",master2[Meister],D$2)</f>
        <v>0.32500000000000001</v>
      </c>
      <c r="E12" s="22">
        <f>SUMIFS(master2[Weging],master2[Genres],"*"&amp;$A12&amp;"*",master2[Meister],E$2)</f>
        <v>0.53333333333333333</v>
      </c>
      <c r="F12" s="22">
        <f>SUMIFS(master2[Weging],master2[Genres],"*"&amp;$A12&amp;"*",master2[Meister],F$2)</f>
        <v>1.2595238095238095</v>
      </c>
      <c r="G12" t="str">
        <f t="shared" ref="G4:G22" si="0">IF(SUM(C12:F12)=0,"geen",IF(COUNTIF(C12:F12,MAX(C12:F12))&gt;1,"Betwist",_xlfn.XLOOKUP(MAX(C12:F12),C12:F12,$C$2:$F$2)))</f>
        <v>Jan</v>
      </c>
      <c r="I12" s="1" t="s">
        <v>3</v>
      </c>
      <c r="J12" s="1" t="s">
        <v>18</v>
      </c>
      <c r="K12" s="1" t="s">
        <v>23</v>
      </c>
      <c r="L12" s="1" t="s">
        <v>27</v>
      </c>
      <c r="M12" s="1" t="s">
        <v>29</v>
      </c>
      <c r="N12" s="1" t="s">
        <v>585</v>
      </c>
      <c r="O12" s="1" t="s">
        <v>608</v>
      </c>
    </row>
    <row r="13" spans="1:15" ht="14.25" customHeight="1">
      <c r="A13" s="2" t="s">
        <v>578</v>
      </c>
      <c r="B13" s="22">
        <f>SUMIFS(master2[Weging],master2[Genres],"*"&amp;A13&amp;"*")</f>
        <v>2.6666666666666665</v>
      </c>
      <c r="C13" s="22">
        <f>SUMIFS(master2[Weging],master2[Genres],"*"&amp;$A13&amp;"*",master2[Meister],C$2)</f>
        <v>1.4999999999999998</v>
      </c>
      <c r="D13" s="22">
        <f>SUMIFS(master2[Weging],master2[Genres],"*"&amp;$A13&amp;"*",master2[Meister],D$2)</f>
        <v>0</v>
      </c>
      <c r="E13" s="22">
        <f>SUMIFS(master2[Weging],master2[Genres],"*"&amp;$A13&amp;"*",master2[Meister],E$2)</f>
        <v>0.25</v>
      </c>
      <c r="F13" s="22">
        <f>SUMIFS(master2[Weging],master2[Genres],"*"&amp;$A13&amp;"*",master2[Meister],F$2)</f>
        <v>0.91666666666666652</v>
      </c>
      <c r="G13" t="str">
        <f t="shared" si="0"/>
        <v>Rick</v>
      </c>
      <c r="I13" t="s">
        <v>590</v>
      </c>
      <c r="J13" s="23">
        <f>(IF((C3/AVERAGE(C$3:C$22))&gt;1,IF((1+(1-(C3/AVERAGE(C$3:C$22))))&lt;0,0,1+(1-(C3/AVERAGE(C$3:C$22)))),(C3/AVERAGE(C$3:C$22)))+IF((C4/AVERAGE(C$3:C$22))&gt;1,IF((1+(1-(C4/AVERAGE(C$3:C$22))))&lt;0,0,1+(1-(C4/AVERAGE(C$3:C$22)))),(C4/AVERAGE(C$3:C$22)))+IF((C5/AVERAGE(C$3:C$22))&gt;1,IF((1+(1-(C5/AVERAGE(C$3:C$22))))&lt;0,0,1+(1-(C5/AVERAGE(C$3:C$22)))),(C5/AVERAGE(C$3:C$22)))+IF((C6/AVERAGE(C$3:C$22))&gt;1,IF((1+(1-(C6/AVERAGE(C$3:C$22))))&lt;0,0,1+(1-(C6/AVERAGE(C$3:C$22)))),(C6/AVERAGE(C$3:C$22)))+IF((C7/AVERAGE(C$3:C$22))&gt;1,IF((1+(1-(C7/AVERAGE(C$3:C$22))))&lt;0,0,1+(1-(C7/AVERAGE(C$3:C$22)))),(C7/AVERAGE(C$3:C$22)))+IF((C8/AVERAGE(C$3:C$22))&gt;1,IF((1+(1-(C8/AVERAGE(C$3:C$22))))&lt;0,0,1+(1-(C8/AVERAGE(C$3:C$22)))),(C8/AVERAGE(C$3:C$22)))+IF((C9/AVERAGE(C$3:C$22))&gt;1,IF((1+(1-(C9/AVERAGE(C$3:C$22))))&lt;0,0,1+(1-(C9/AVERAGE(C$3:C$22)))),(C9/AVERAGE(C$3:C$22)))+IF((C10/AVERAGE(C$3:C$22))&gt;1,IF((1+(1-(C10/AVERAGE(C$3:C$22))))&lt;0,0,1+(1-(C10/AVERAGE(C$3:C$22)))),(C10/AVERAGE(C$3:C$22)))+IF((C11/AVERAGE(C$3:C$22))&gt;1,IF((1+(1-(C11/AVERAGE(C$3:C$22))))&lt;0,0,1+(1-(C11/AVERAGE(C$3:C$22)))),(C11/AVERAGE(C$3:C$22)))+IF((C12/AVERAGE(C$3:C$22))&gt;1,IF((1+(1-(C12/AVERAGE(C$3:C$22))))&lt;0,0,1+(1-(C12/AVERAGE(C$3:C$22)))),(C12/AVERAGE(C$3:C$22)))+IF((C13/AVERAGE(C$3:C$22))&gt;1,IF((1+(1-(C13/AVERAGE(C$3:C$22))))&lt;0,0,1+(1-(C13/AVERAGE(C$3:C$22)))),(C13/AVERAGE(C$3:C$22)))+IF((C14/AVERAGE(C$3:C$22))&gt;1,IF((1+(1-(C14/AVERAGE(C$3:C$22))))&lt;0,0,1+(1-(C14/AVERAGE(C$3:C$22)))),(C14/AVERAGE(C$3:C$22)))+IF((C15/AVERAGE(C$3:C$22))&gt;1,IF((1+(1-(C15/AVERAGE(C$3:C$22))))&lt;0,0,1+(1-(C15/AVERAGE(C$3:C$22)))),(C15/AVERAGE(C$3:C$22)))+IF((C16/AVERAGE(C$3:C$22))&gt;1,IF((1+(1-(C16/AVERAGE(C$3:C$22))))&lt;0,0,1+(1-(C16/AVERAGE(C$3:C$22)))),(C16/AVERAGE(C$3:C$22)))+IF((C17/AVERAGE(C$3:C$22))&gt;1,IF((1+(1-(C17/AVERAGE(C$3:C$22))))&lt;0,0,1+(1-(C17/AVERAGE(C$3:C$22)))),(C17/AVERAGE(C$3:C$22)))+IF((C18/AVERAGE(C$3:C$22))&gt;1,IF((1+(1-(C18/AVERAGE(C$3:C$22))))&lt;0,0,1+(1-(C18/AVERAGE(C$3:C$22)))),(C18/AVERAGE(C$3:C$22)))+IF((C19/AVERAGE(C$3:C$22))&gt;1,IF((1+(1-(C19/AVERAGE(C$3:C$22))))&lt;0,0,1+(1-(C19/AVERAGE(C$3:C$22)))),(C19/AVERAGE(C$3:C$22)))+IF((C20/AVERAGE(C$3:C$22))&gt;1,IF((1+(1-(C20/AVERAGE(C$3:C$22))))&lt;0,0,1+(1-(C20/AVERAGE(C$3:C$22)))),(C20/AVERAGE(C$3:C$22)))+IF((C21/AVERAGE(C$3:C$22))&gt;1,IF((1+(1-(C21/AVERAGE(C$3:C$22))))&lt;0,0,1+(1-(C21/AVERAGE(C$3:C$22)))),(C21/AVERAGE(C$3:C$22)))+IF((C22/AVERAGE(C$3:C$22))&gt;1,IF((1+(1-(C22/AVERAGE(C$3:C$22))))&lt;0,0,1+(1-(C22/AVERAGE(C$3:C$22)))),(C22/AVERAGE(C$3:C$22))))/20</f>
        <v>0.31451077943615258</v>
      </c>
      <c r="K13" s="23">
        <f>(IF((D3/AVERAGE(D$3:D$22))&gt;1,IF((1+(1-(D3/AVERAGE(D$3:D$22))))&lt;0,0,1+(1-(D3/AVERAGE(D$3:D$22)))),(D3/AVERAGE(D$3:D$22)))+IF((D4/AVERAGE(D$3:D$22))&gt;1,IF((1+(1-(D4/AVERAGE(D$3:D$22))))&lt;0,0,1+(1-(D4/AVERAGE(D$3:D$22)))),(D4/AVERAGE(D$3:D$22)))+IF((D5/AVERAGE(D$3:D$22))&gt;1,IF((1+(1-(D5/AVERAGE(D$3:D$22))))&lt;0,0,1+(1-(D5/AVERAGE(D$3:D$22)))),(D5/AVERAGE(D$3:D$22)))+IF((D6/AVERAGE(D$3:D$22))&gt;1,IF((1+(1-(D6/AVERAGE(D$3:D$22))))&lt;0,0,1+(1-(D6/AVERAGE(D$3:D$22)))),(D6/AVERAGE(D$3:D$22)))+IF((D7/AVERAGE(D$3:D$22))&gt;1,IF((1+(1-(D7/AVERAGE(D$3:D$22))))&lt;0,0,1+(1-(D7/AVERAGE(D$3:D$22)))),(D7/AVERAGE(D$3:D$22)))+IF((D8/AVERAGE(D$3:D$22))&gt;1,IF((1+(1-(D8/AVERAGE(D$3:D$22))))&lt;0,0,1+(1-(D8/AVERAGE(D$3:D$22)))),(D8/AVERAGE(D$3:D$22)))+IF((D9/AVERAGE(D$3:D$22))&gt;1,IF((1+(1-(D9/AVERAGE(D$3:D$22))))&lt;0,0,1+(1-(D9/AVERAGE(D$3:D$22)))),(D9/AVERAGE(D$3:D$22)))+IF((D10/AVERAGE(D$3:D$22))&gt;1,IF((1+(1-(D10/AVERAGE(D$3:D$22))))&lt;0,0,1+(1-(D10/AVERAGE(D$3:D$22)))),(D10/AVERAGE(D$3:D$22)))+IF((D11/AVERAGE(D$3:D$22))&gt;1,IF((1+(1-(D11/AVERAGE(D$3:D$22))))&lt;0,0,1+(1-(D11/AVERAGE(D$3:D$22)))),(D11/AVERAGE(D$3:D$22)))+IF((D12/AVERAGE(D$3:D$22))&gt;1,IF((1+(1-(D12/AVERAGE(D$3:D$22))))&lt;0,0,1+(1-(D12/AVERAGE(D$3:D$22)))),(D12/AVERAGE(D$3:D$22)))+IF((D13/AVERAGE(D$3:D$22))&gt;1,IF((1+(1-(D13/AVERAGE(D$3:D$22))))&lt;0,0,1+(1-(D13/AVERAGE(D$3:D$22)))),(D13/AVERAGE(D$3:D$22)))+IF((D14/AVERAGE(D$3:D$22))&gt;1,IF((1+(1-(D14/AVERAGE(D$3:D$22))))&lt;0,0,1+(1-(D14/AVERAGE(D$3:D$22)))),(D14/AVERAGE(D$3:D$22)))+IF((D15/AVERAGE(D$3:D$22))&gt;1,IF((1+(1-(D15/AVERAGE(D$3:D$22))))&lt;0,0,1+(1-(D15/AVERAGE(D$3:D$22)))),(D15/AVERAGE(D$3:D$22)))+IF((D16/AVERAGE(D$3:D$22))&gt;1,IF((1+(1-(D16/AVERAGE(D$3:D$22))))&lt;0,0,1+(1-(D16/AVERAGE(D$3:D$22)))),(D16/AVERAGE(D$3:D$22)))+IF((D17/AVERAGE(D$3:D$22))&gt;1,IF((1+(1-(D17/AVERAGE(D$3:D$22))))&lt;0,0,1+(1-(D17/AVERAGE(D$3:D$22)))),(D17/AVERAGE(D$3:D$22)))+IF((D18/AVERAGE(D$3:D$22))&gt;1,IF((1+(1-(D18/AVERAGE(D$3:D$22))))&lt;0,0,1+(1-(D18/AVERAGE(D$3:D$22)))),(D18/AVERAGE(D$3:D$22)))+IF((D19/AVERAGE(D$3:D$22))&gt;1,IF((1+(1-(D19/AVERAGE(D$3:D$22))))&lt;0,0,1+(1-(D19/AVERAGE(D$3:D$22)))),(D19/AVERAGE(D$3:D$22)))+IF((D20/AVERAGE(D$3:D$22))&gt;1,IF((1+(1-(D20/AVERAGE(D$3:D$22))))&lt;0,0,1+(1-(D20/AVERAGE(D$3:D$22)))),(D20/AVERAGE(D$3:D$22)))+IF((D21/AVERAGE(D$3:D$22))&gt;1,IF((1+(1-(D21/AVERAGE(D$3:D$22))))&lt;0,0,1+(1-(D21/AVERAGE(D$3:D$22)))),(D21/AVERAGE(D$3:D$22)))+IF((D22/AVERAGE(D$3:D$22))&gt;1,IF((1+(1-(D22/AVERAGE(D$3:D$22))))&lt;0,0,1+(1-(D22/AVERAGE(D$3:D$22)))),(D22/AVERAGE(D$3:D$22))))/20</f>
        <v>0.28687499999999988</v>
      </c>
      <c r="L13" s="23">
        <f>(IF((E3/AVERAGE(E$3:E$22))&gt;1,IF((1+(1-(E3/AVERAGE(E$3:E$22))))&lt;0,0,1+(1-(E3/AVERAGE(E$3:E$22)))),(E3/AVERAGE(E$3:E$22)))+IF((E4/AVERAGE(E$3:E$22))&gt;1,IF((1+(1-(E4/AVERAGE(E$3:E$22))))&lt;0,0,1+(1-(E4/AVERAGE(E$3:E$22)))),(E4/AVERAGE(E$3:E$22)))+IF((E5/AVERAGE(E$3:E$22))&gt;1,IF((1+(1-(E5/AVERAGE(E$3:E$22))))&lt;0,0,1+(1-(E5/AVERAGE(E$3:E$22)))),(E5/AVERAGE(E$3:E$22)))+IF((E6/AVERAGE(E$3:E$22))&gt;1,IF((1+(1-(E6/AVERAGE(E$3:E$22))))&lt;0,0,1+(1-(E6/AVERAGE(E$3:E$22)))),(E6/AVERAGE(E$3:E$22)))+IF((E7/AVERAGE(E$3:E$22))&gt;1,IF((1+(1-(E7/AVERAGE(E$3:E$22))))&lt;0,0,1+(1-(E7/AVERAGE(E$3:E$22)))),(E7/AVERAGE(E$3:E$22)))+IF((E8/AVERAGE(E$3:E$22))&gt;1,IF((1+(1-(E8/AVERAGE(E$3:E$22))))&lt;0,0,1+(1-(E8/AVERAGE(E$3:E$22)))),(E8/AVERAGE(E$3:E$22)))+IF((E9/AVERAGE(E$3:E$22))&gt;1,IF((1+(1-(E9/AVERAGE(E$3:E$22))))&lt;0,0,1+(1-(E9/AVERAGE(E$3:E$22)))),(E9/AVERAGE(E$3:E$22)))+IF((E10/AVERAGE(E$3:E$22))&gt;1,IF((1+(1-(E10/AVERAGE(E$3:E$22))))&lt;0,0,1+(1-(E10/AVERAGE(E$3:E$22)))),(E10/AVERAGE(E$3:E$22)))+IF((E11/AVERAGE(E$3:E$22))&gt;1,IF((1+(1-(E11/AVERAGE(E$3:E$22))))&lt;0,0,1+(1-(E11/AVERAGE(E$3:E$22)))),(E11/AVERAGE(E$3:E$22)))+IF((E12/AVERAGE(E$3:E$22))&gt;1,IF((1+(1-(E12/AVERAGE(E$3:E$22))))&lt;0,0,1+(1-(E12/AVERAGE(E$3:E$22)))),(E12/AVERAGE(E$3:E$22)))+IF((E13/AVERAGE(E$3:E$22))&gt;1,IF((1+(1-(E13/AVERAGE(E$3:E$22))))&lt;0,0,1+(1-(E13/AVERAGE(E$3:E$22)))),(E13/AVERAGE(E$3:E$22)))+IF((E14/AVERAGE(E$3:E$22))&gt;1,IF((1+(1-(E14/AVERAGE(E$3:E$22))))&lt;0,0,1+(1-(E14/AVERAGE(E$3:E$22)))),(E14/AVERAGE(E$3:E$22)))+IF((E15/AVERAGE(E$3:E$22))&gt;1,IF((1+(1-(E15/AVERAGE(E$3:E$22))))&lt;0,0,1+(1-(E15/AVERAGE(E$3:E$22)))),(E15/AVERAGE(E$3:E$22)))+IF((E16/AVERAGE(E$3:E$22))&gt;1,IF((1+(1-(E16/AVERAGE(E$3:E$22))))&lt;0,0,1+(1-(E16/AVERAGE(E$3:E$22)))),(E16/AVERAGE(E$3:E$22)))+IF((E17/AVERAGE(E$3:E$22))&gt;1,IF((1+(1-(E17/AVERAGE(E$3:E$22))))&lt;0,0,1+(1-(E17/AVERAGE(E$3:E$22)))),(E17/AVERAGE(E$3:E$22)))+IF((E18/AVERAGE(E$3:E$22))&gt;1,IF((1+(1-(E18/AVERAGE(E$3:E$22))))&lt;0,0,1+(1-(E18/AVERAGE(E$3:E$22)))),(E18/AVERAGE(E$3:E$22)))+IF((E19/AVERAGE(E$3:E$22))&gt;1,IF((1+(1-(E19/AVERAGE(E$3:E$22))))&lt;0,0,1+(1-(E19/AVERAGE(E$3:E$22)))),(E19/AVERAGE(E$3:E$22)))+IF((E20/AVERAGE(E$3:E$22))&gt;1,IF((1+(1-(E20/AVERAGE(E$3:E$22))))&lt;0,0,1+(1-(E20/AVERAGE(E$3:E$22)))),(E20/AVERAGE(E$3:E$22)))+IF((E21/AVERAGE(E$3:E$22))&gt;1,IF((1+(1-(E21/AVERAGE(E$3:E$22))))&lt;0,0,1+(1-(E21/AVERAGE(E$3:E$22)))),(E21/AVERAGE(E$3:E$22)))+IF((E22/AVERAGE(E$3:E$22))&gt;1,IF((1+(1-(E22/AVERAGE(E$3:E$22))))&lt;0,0,1+(1-(E22/AVERAGE(E$3:E$22)))),(E22/AVERAGE(E$3:E$22))))/20</f>
        <v>0.36611111111111116</v>
      </c>
      <c r="M13" s="23">
        <f>(IF((F3/AVERAGE(F$3:F$22))&gt;1,IF((1+(1-(F3/AVERAGE(F$3:F$22))))&lt;0,0,1+(1-(F3/AVERAGE(F$3:F$22)))),(F3/AVERAGE(F$3:F$22)))+IF((F4/AVERAGE(F$3:F$22))&gt;1,IF((1+(1-(F4/AVERAGE(F$3:F$22))))&lt;0,0,1+(1-(F4/AVERAGE(F$3:F$22)))),(F4/AVERAGE(F$3:F$22)))+IF((F5/AVERAGE(F$3:F$22))&gt;1,IF((1+(1-(F5/AVERAGE(F$3:F$22))))&lt;0,0,1+(1-(F5/AVERAGE(F$3:F$22)))),(F5/AVERAGE(F$3:F$22)))+IF((F6/AVERAGE(F$3:F$22))&gt;1,IF((1+(1-(F6/AVERAGE(F$3:F$22))))&lt;0,0,1+(1-(F6/AVERAGE(F$3:F$22)))),(F6/AVERAGE(F$3:F$22)))+IF((F7/AVERAGE(F$3:F$22))&gt;1,IF((1+(1-(F7/AVERAGE(F$3:F$22))))&lt;0,0,1+(1-(F7/AVERAGE(F$3:F$22)))),(F7/AVERAGE(F$3:F$22)))+IF((F8/AVERAGE(F$3:F$22))&gt;1,IF((1+(1-(F8/AVERAGE(F$3:F$22))))&lt;0,0,1+(1-(F8/AVERAGE(F$3:F$22)))),(F8/AVERAGE(F$3:F$22)))+IF((F9/AVERAGE(F$3:F$22))&gt;1,IF((1+(1-(F9/AVERAGE(F$3:F$22))))&lt;0,0,1+(1-(F9/AVERAGE(F$3:F$22)))),(F9/AVERAGE(F$3:F$22)))+IF((F10/AVERAGE(F$3:F$22))&gt;1,IF((1+(1-(F10/AVERAGE(F$3:F$22))))&lt;0,0,1+(1-(F10/AVERAGE(F$3:F$22)))),(F10/AVERAGE(F$3:F$22)))+IF((F11/AVERAGE(F$3:F$22))&gt;1,IF((1+(1-(F11/AVERAGE(F$3:F$22))))&lt;0,0,1+(1-(F11/AVERAGE(F$3:F$22)))),(F11/AVERAGE(F$3:F$22)))+IF((F12/AVERAGE(F$3:F$22))&gt;1,IF((1+(1-(F12/AVERAGE(F$3:F$22))))&lt;0,0,1+(1-(F12/AVERAGE(F$3:F$22)))),(F12/AVERAGE(F$3:F$22)))+IF((F13/AVERAGE(F$3:F$22))&gt;1,IF((1+(1-(F13/AVERAGE(F$3:F$22))))&lt;0,0,1+(1-(F13/AVERAGE(F$3:F$22)))),(F13/AVERAGE(F$3:F$22)))+IF((F14/AVERAGE(F$3:F$22))&gt;1,IF((1+(1-(F14/AVERAGE(F$3:F$22))))&lt;0,0,1+(1-(F14/AVERAGE(F$3:F$22)))),(F14/AVERAGE(F$3:F$22)))+IF((F15/AVERAGE(F$3:F$22))&gt;1,IF((1+(1-(F15/AVERAGE(F$3:F$22))))&lt;0,0,1+(1-(F15/AVERAGE(F$3:F$22)))),(F15/AVERAGE(F$3:F$22)))+IF((F16/AVERAGE(F$3:F$22))&gt;1,IF((1+(1-(F16/AVERAGE(F$3:F$22))))&lt;0,0,1+(1-(F16/AVERAGE(F$3:F$22)))),(F16/AVERAGE(F$3:F$22)))+IF((F17/AVERAGE(F$3:F$22))&gt;1,IF((1+(1-(F17/AVERAGE(F$3:F$22))))&lt;0,0,1+(1-(F17/AVERAGE(F$3:F$22)))),(F17/AVERAGE(F$3:F$22)))+IF((F18/AVERAGE(F$3:F$22))&gt;1,IF((1+(1-(F18/AVERAGE(F$3:F$22))))&lt;0,0,1+(1-(F18/AVERAGE(F$3:F$22)))),(F18/AVERAGE(F$3:F$22)))+IF((F19/AVERAGE(F$3:F$22))&gt;1,IF((1+(1-(F19/AVERAGE(F$3:F$22))))&lt;0,0,1+(1-(F19/AVERAGE(F$3:F$22)))),(F19/AVERAGE(F$3:F$22)))+IF((F20/AVERAGE(F$3:F$22))&gt;1,IF((1+(1-(F20/AVERAGE(F$3:F$22))))&lt;0,0,1+(1-(F20/AVERAGE(F$3:F$22)))),(F20/AVERAGE(F$3:F$22)))+IF((F21/AVERAGE(F$3:F$22))&gt;1,IF((1+(1-(F21/AVERAGE(F$3:F$22))))&lt;0,0,1+(1-(F21/AVERAGE(F$3:F$22)))),(F21/AVERAGE(F$3:F$22)))+IF((F22/AVERAGE(F$3:F$22))&gt;1,IF((1+(1-(F22/AVERAGE(F$3:F$22))))&lt;0,0,1+(1-(F22/AVERAGE(F$3:F$22)))),(F22/AVERAGE(F$3:F$22))))/20</f>
        <v>0.40183150183150185</v>
      </c>
      <c r="N13" s="23">
        <f>AVERAGE(J13:M13)</f>
        <v>0.34233209809469134</v>
      </c>
      <c r="O13" s="23" cm="1">
        <f t="array" ref="O13">(1-(STDEV(IF(B3:B22&lt;&gt;0,B3:B22))/AVERAGEIF(B3:B22,"&lt;&gt;0")))*(COUNTIF(B3:B22,"&gt;"&amp;0)/COUNT(B3:B22))</f>
        <v>5.4184393235371386E-3</v>
      </c>
    </row>
    <row r="14" spans="1:15">
      <c r="A14" s="2" t="s">
        <v>63</v>
      </c>
      <c r="B14" s="22">
        <f>SUMIFS(master2[Weging],master2[Genres],"*"&amp;A14&amp;"*")</f>
        <v>5.8928571428571423</v>
      </c>
      <c r="C14" s="22">
        <f>SUMIFS(master2[Weging],master2[Genres],"*"&amp;$A14&amp;"*",master2[Meister],C$2)</f>
        <v>1.3333333333333333</v>
      </c>
      <c r="D14" s="22">
        <f>SUMIFS(master2[Weging],master2[Genres],"*"&amp;$A14&amp;"*",master2[Meister],D$2)</f>
        <v>0.33333333333333331</v>
      </c>
      <c r="E14" s="22">
        <f>SUMIFS(master2[Weging],master2[Genres],"*"&amp;$A14&amp;"*",master2[Meister],E$2)</f>
        <v>0.83333333333333326</v>
      </c>
      <c r="F14" s="22">
        <f>SUMIFS(master2[Weging],master2[Genres],"*"&amp;$A14&amp;"*",master2[Meister],F$2)</f>
        <v>2.5595238095238093</v>
      </c>
      <c r="G14" t="str">
        <f>IF(SUM(C14:F14)=0,"geen",IF(COUNTIF(C14:F14,MAX(C14:F14))&gt;1,"Betwist",_xlfn.XLOOKUP(MAX(C14:F14),C14:F14,$C$2:$F$2)))</f>
        <v>Jan</v>
      </c>
      <c r="I14" t="s">
        <v>591</v>
      </c>
      <c r="J14" s="19">
        <f>((COUNT(C3:C22)-COUNTIF(C3:C22,0)))</f>
        <v>17</v>
      </c>
      <c r="K14" s="19">
        <f>((COUNT(D3:D22)-COUNTIF(D3:D22,0)))</f>
        <v>18</v>
      </c>
      <c r="L14" s="19">
        <f>((COUNT(E3:E22)-COUNTIF(E3:E22,0)))</f>
        <v>19</v>
      </c>
      <c r="M14" s="19">
        <f>((COUNT(F3:F22)-COUNTIF(F3:F22,0)))</f>
        <v>18</v>
      </c>
      <c r="N14" s="3">
        <f>AVERAGE(J14:M14)</f>
        <v>18</v>
      </c>
      <c r="O14" s="19">
        <f>((COUNT(B3:B22)-COUNTIF(B3:B22,0)))</f>
        <v>20</v>
      </c>
    </row>
    <row r="15" spans="1:15">
      <c r="A15" s="2" t="s">
        <v>46</v>
      </c>
      <c r="B15" s="22">
        <f>SUMIFS(master2[Weging],master2[Genres],"*"&amp;A15&amp;"*")</f>
        <v>3.5666666666666669</v>
      </c>
      <c r="C15" s="22">
        <f>SUMIFS(master2[Weging],master2[Genres],"*"&amp;$A15&amp;"*",master2[Meister],C$2)</f>
        <v>0.2</v>
      </c>
      <c r="D15" s="22">
        <f>SUMIFS(master2[Weging],master2[Genres],"*"&amp;$A15&amp;"*",master2[Meister],D$2)</f>
        <v>1.4166666666666665</v>
      </c>
      <c r="E15" s="22">
        <f>SUMIFS(master2[Weging],master2[Genres],"*"&amp;$A15&amp;"*",master2[Meister],E$2)</f>
        <v>0.33333333333333331</v>
      </c>
      <c r="F15" s="22">
        <f>SUMIFS(master2[Weging],master2[Genres],"*"&amp;$A15&amp;"*",master2[Meister],F$2)</f>
        <v>0.91666666666666652</v>
      </c>
      <c r="G15" t="str">
        <f t="shared" si="0"/>
        <v>Berend</v>
      </c>
      <c r="I15" t="s">
        <v>592</v>
      </c>
      <c r="J15" s="3">
        <f>COUNTIF($G$3:$G$22,J12)</f>
        <v>5</v>
      </c>
      <c r="K15" s="3">
        <f>COUNTIF($G$3:$G$22,K12)</f>
        <v>8</v>
      </c>
      <c r="L15" s="3">
        <f>COUNTIF($G$3:$G$22,L12)</f>
        <v>2</v>
      </c>
      <c r="M15" s="3">
        <f>COUNTIF($G$3:$G$22,M12)</f>
        <v>5</v>
      </c>
      <c r="N15" s="3">
        <f>COUNTIF($G$3:$G$22,N12)</f>
        <v>0</v>
      </c>
      <c r="O15" s="3">
        <f>COUNTIF($G$3:$G$22,O12)</f>
        <v>0</v>
      </c>
    </row>
    <row r="16" spans="1:15">
      <c r="A16" s="2" t="s">
        <v>20</v>
      </c>
      <c r="B16" s="22">
        <f>SUMIFS(master2[Weging],master2[Genres],"*"&amp;A16&amp;"*")</f>
        <v>4.9166666666666661</v>
      </c>
      <c r="C16" s="22">
        <f>SUMIFS(master2[Weging],master2[Genres],"*"&amp;$A16&amp;"*",master2[Meister],C$2)</f>
        <v>1.5333333333333332</v>
      </c>
      <c r="D16" s="22">
        <f>SUMIFS(master2[Weging],master2[Genres],"*"&amp;$A16&amp;"*",master2[Meister],D$2)</f>
        <v>1.4833333333333332</v>
      </c>
      <c r="E16" s="22">
        <f>SUMIFS(master2[Weging],master2[Genres],"*"&amp;$A16&amp;"*",master2[Meister],E$2)</f>
        <v>0.33333333333333331</v>
      </c>
      <c r="F16" s="22">
        <f>SUMIFS(master2[Weging],master2[Genres],"*"&amp;$A16&amp;"*",master2[Meister],F$2)</f>
        <v>1.2333333333333332</v>
      </c>
      <c r="G16" t="str">
        <f t="shared" si="0"/>
        <v>Rick</v>
      </c>
    </row>
    <row r="17" spans="1:15">
      <c r="A17" s="2" t="s">
        <v>68</v>
      </c>
      <c r="B17" s="22">
        <f>SUMIFS(master2[Weging],master2[Genres],"*"&amp;A17&amp;"*")</f>
        <v>5.9916666666666654</v>
      </c>
      <c r="C17" s="22">
        <f>SUMIFS(master2[Weging],master2[Genres],"*"&amp;$A17&amp;"*",master2[Meister],C$2)</f>
        <v>1.583333333333333</v>
      </c>
      <c r="D17" s="22">
        <f>SUMIFS(master2[Weging],master2[Genres],"*"&amp;$A17&amp;"*",master2[Meister],D$2)</f>
        <v>1.7916666666666665</v>
      </c>
      <c r="E17" s="22">
        <f>SUMIFS(master2[Weging],master2[Genres],"*"&amp;$A17&amp;"*",master2[Meister],E$2)</f>
        <v>1.0333333333333332</v>
      </c>
      <c r="F17" s="22">
        <f>SUMIFS(master2[Weging],master2[Genres],"*"&amp;$A17&amp;"*",master2[Meister],F$2)</f>
        <v>1.583333333333333</v>
      </c>
      <c r="G17" t="str">
        <f t="shared" si="0"/>
        <v>Berend</v>
      </c>
    </row>
    <row r="18" spans="1:15">
      <c r="A18" s="2" t="s">
        <v>21</v>
      </c>
      <c r="B18" s="22">
        <f>SUMIFS(master2[Weging],master2[Genres],"*"&amp;A18&amp;"*")</f>
        <v>8.742857142857142</v>
      </c>
      <c r="C18" s="22">
        <f>SUMIFS(master2[Weging],master2[Genres],"*"&amp;$A18&amp;"*",master2[Meister],C$2)</f>
        <v>3.3</v>
      </c>
      <c r="D18" s="22">
        <f>SUMIFS(master2[Weging],master2[Genres],"*"&amp;$A18&amp;"*",master2[Meister],D$2)</f>
        <v>0.73333333333333339</v>
      </c>
      <c r="E18" s="22">
        <f>SUMIFS(master2[Weging],master2[Genres],"*"&amp;$A18&amp;"*",master2[Meister],E$2)</f>
        <v>0.7</v>
      </c>
      <c r="F18" s="22">
        <f>SUMIFS(master2[Weging],master2[Genres],"*"&amp;$A18&amp;"*",master2[Meister],F$2)</f>
        <v>3.4261904761904765</v>
      </c>
      <c r="G18" t="str">
        <f t="shared" si="0"/>
        <v>Jan</v>
      </c>
      <c r="J18" s="33" t="s">
        <v>593</v>
      </c>
      <c r="K18" s="33"/>
      <c r="L18" s="33"/>
      <c r="M18" s="33"/>
      <c r="N18" s="33"/>
    </row>
    <row r="19" spans="1:15">
      <c r="A19" s="2" t="s">
        <v>579</v>
      </c>
      <c r="B19" s="22">
        <f>SUMIFS(master2[Weging],master2[Genres],"*"&amp;A19&amp;"*")</f>
        <v>2.0416666666666665</v>
      </c>
      <c r="C19" s="22">
        <f>SUMIFS(master2[Weging],master2[Genres],"*"&amp;$A19&amp;"*",master2[Meister],C$2)</f>
        <v>0</v>
      </c>
      <c r="D19" s="22">
        <f>SUMIFS(master2[Weging],master2[Genres],"*"&amp;$A19&amp;"*",master2[Meister],D$2)</f>
        <v>0.45833333333333331</v>
      </c>
      <c r="E19" s="22">
        <f>SUMIFS(master2[Weging],master2[Genres],"*"&amp;$A19&amp;"*",master2[Meister],E$2)</f>
        <v>0.58333333333333326</v>
      </c>
      <c r="F19" s="22">
        <f>SUMIFS(master2[Weging],master2[Genres],"*"&amp;$A19&amp;"*",master2[Meister],F$2)</f>
        <v>0.5</v>
      </c>
      <c r="G19" t="str">
        <f t="shared" si="0"/>
        <v>Joris</v>
      </c>
      <c r="J19" s="10" t="s">
        <v>18</v>
      </c>
      <c r="K19" s="10" t="s">
        <v>23</v>
      </c>
      <c r="L19" s="10" t="s">
        <v>27</v>
      </c>
      <c r="M19" s="10" t="s">
        <v>29</v>
      </c>
      <c r="N19" s="10" t="s">
        <v>594</v>
      </c>
    </row>
    <row r="20" spans="1:15">
      <c r="A20" s="2" t="s">
        <v>13</v>
      </c>
      <c r="B20" s="22">
        <f>SUMIFS(master2[Weging],master2[Genres],"*"&amp;A20&amp;"*")</f>
        <v>19.334523809523812</v>
      </c>
      <c r="C20" s="22">
        <f>SUMIFS(master2[Weging],master2[Genres],"*"&amp;$A20&amp;"*",master2[Meister],C$2)</f>
        <v>5.45</v>
      </c>
      <c r="D20" s="22">
        <f>SUMIFS(master2[Weging],master2[Genres],"*"&amp;$A20&amp;"*",master2[Meister],D$2)</f>
        <v>5.4250000000000007</v>
      </c>
      <c r="E20" s="22">
        <f>SUMIFS(master2[Weging],master2[Genres],"*"&amp;$A20&amp;"*",master2[Meister],E$2)</f>
        <v>4.166666666666667</v>
      </c>
      <c r="F20" s="22">
        <f>SUMIFS(master2[Weging],master2[Genres],"*"&amp;$A20&amp;"*",master2[Meister],F$2)</f>
        <v>3.1261904761904766</v>
      </c>
      <c r="G20" t="str">
        <f t="shared" si="0"/>
        <v>Rick</v>
      </c>
      <c r="J20" s="23">
        <f>COUNTIFS(master2[Al gezien?],"Nee",master2[Meister],J19)/COUNTIF(master2[Meister],J19)</f>
        <v>0.9</v>
      </c>
      <c r="K20" s="23">
        <f>COUNTIFS(master2[Al gezien?],"Nee",master2[Meister],K19)/COUNTIF(master2[Meister],K19)</f>
        <v>0.8</v>
      </c>
      <c r="L20" s="23">
        <f>COUNTIFS(master2[Al gezien?],"Nee",master2[Meister],L19)/COUNTIF(master2[Meister],L19)</f>
        <v>0.23333333333333334</v>
      </c>
      <c r="M20" s="23">
        <f>COUNTIFS(master2[Al gezien?],"Nee",master2[Meister],M19)/COUNTIF(master2[Meister],M19)</f>
        <v>0.66666666666666663</v>
      </c>
      <c r="N20" s="23">
        <f>AVERAGE(J20:M20)</f>
        <v>0.65</v>
      </c>
    </row>
    <row r="21" spans="1:15">
      <c r="A21" s="2" t="s">
        <v>44</v>
      </c>
      <c r="B21" s="22">
        <f>SUMIFS(master2[Weging],master2[Genres],"*"&amp;A21&amp;"*")</f>
        <v>3.666666666666667</v>
      </c>
      <c r="C21" s="22">
        <f>SUMIFS(master2[Weging],master2[Genres],"*"&amp;$A21&amp;"*",master2[Meister],C$2)</f>
        <v>0.58333333333333326</v>
      </c>
      <c r="D21" s="22">
        <f>SUMIFS(master2[Weging],master2[Genres],"*"&amp;$A21&amp;"*",master2[Meister],D$2)</f>
        <v>0.66666666666666663</v>
      </c>
      <c r="E21" s="22">
        <f>SUMIFS(master2[Weging],master2[Genres],"*"&amp;$A21&amp;"*",master2[Meister],E$2)</f>
        <v>0.83333333333333326</v>
      </c>
      <c r="F21" s="22">
        <f>SUMIFS(master2[Weging],master2[Genres],"*"&amp;$A21&amp;"*",master2[Meister],F$2)</f>
        <v>1.5833333333333333</v>
      </c>
      <c r="G21" t="str">
        <f>IF(SUM(C21:F21)=0,"geen",IF(COUNTIF(C21:F21,MAX(C21:F21))&gt;1,"Betwist",_xlfn.XLOOKUP(MAX(C21:F21),C21:F21,$C$2:$F$2)))</f>
        <v>Jan</v>
      </c>
      <c r="J21" s="33" t="s">
        <v>595</v>
      </c>
      <c r="K21" s="33"/>
      <c r="L21" s="33"/>
      <c r="M21" s="33"/>
      <c r="N21" s="33"/>
    </row>
    <row r="22" spans="1:15">
      <c r="A22" s="2" t="s">
        <v>58</v>
      </c>
      <c r="B22" s="22">
        <f>SUMIFS(master2[Weging],master2[Genres],"*"&amp;A22&amp;"*")</f>
        <v>2.083333333333333</v>
      </c>
      <c r="C22" s="22">
        <f>SUMIFS(master2[Weging],master2[Genres],"*"&amp;$A22&amp;"*",master2[Meister],C$2)</f>
        <v>0.5</v>
      </c>
      <c r="D22" s="22">
        <f>SUMIFS(master2[Weging],master2[Genres],"*"&amp;$A22&amp;"*",master2[Meister],D$2)</f>
        <v>0</v>
      </c>
      <c r="E22" s="22">
        <f>SUMIFS(master2[Weging],master2[Genres],"*"&amp;$A22&amp;"*",master2[Meister],E$2)</f>
        <v>0.33333333333333331</v>
      </c>
      <c r="F22" s="22">
        <f>SUMIFS(master2[Weging],master2[Genres],"*"&amp;$A22&amp;"*",master2[Meister],F$2)</f>
        <v>1.25</v>
      </c>
      <c r="G22" t="str">
        <f t="shared" si="0"/>
        <v>Jan</v>
      </c>
      <c r="J22" s="23">
        <f>1-J20</f>
        <v>9.9999999999999978E-2</v>
      </c>
      <c r="K22" s="23">
        <f t="shared" ref="K22:M22" si="1">1-K20</f>
        <v>0.19999999999999996</v>
      </c>
      <c r="L22" s="23">
        <f>1-L20</f>
        <v>0.76666666666666661</v>
      </c>
      <c r="M22" s="23">
        <f t="shared" si="1"/>
        <v>0.33333333333333337</v>
      </c>
      <c r="N22" s="23">
        <f>AVERAGE(J22:M22)</f>
        <v>0.35</v>
      </c>
    </row>
    <row r="23" spans="1:15">
      <c r="A23" t="s">
        <v>609</v>
      </c>
      <c r="B23" s="25" cm="1">
        <f t="array" ref="B23">STDEV(IF(B3:B22&lt;&gt;0,B3:B22))</f>
        <v>8.215243691187581</v>
      </c>
      <c r="C23" s="25" cm="1">
        <f t="array" ref="C23">STDEV(IF(C3:C22&lt;&gt;0,C3:C22))</f>
        <v>2.0129173338243311</v>
      </c>
      <c r="D23" s="25" cm="1">
        <f t="array" ref="D23">STDEV(IF(D3:D22&lt;&gt;0,D3:D22))</f>
        <v>2.369833561900732</v>
      </c>
      <c r="E23" s="25" cm="1">
        <f t="array" ref="E23">STDEV(IF(E3:E22&lt;&gt;0,E3:E22))</f>
        <v>1.7235196018797343</v>
      </c>
      <c r="F23" s="25" cm="1">
        <f t="array" ref="F23">STDEV(IF(F3:F22&lt;&gt;0,F3:F22))</f>
        <v>1.698579623026536</v>
      </c>
    </row>
    <row r="24" spans="1:15">
      <c r="O24" s="1"/>
    </row>
    <row r="25" spans="1:15">
      <c r="M25" t="s">
        <v>610</v>
      </c>
    </row>
    <row r="26" spans="1:15">
      <c r="B26" s="19"/>
      <c r="C26" s="19"/>
      <c r="G26" s="18"/>
    </row>
    <row r="27" spans="1:15">
      <c r="H27" s="12"/>
    </row>
    <row r="28" spans="1:15">
      <c r="G28" s="12"/>
    </row>
    <row r="30" spans="1:15">
      <c r="H30" s="12"/>
    </row>
  </sheetData>
  <mergeCells count="6">
    <mergeCell ref="A1:G1"/>
    <mergeCell ref="J18:N18"/>
    <mergeCell ref="J21:N21"/>
    <mergeCell ref="I1:O1"/>
    <mergeCell ref="I11:O11"/>
    <mergeCell ref="I6:O6"/>
  </mergeCells>
  <phoneticPr fontId="2" type="noConversion"/>
  <conditionalFormatting sqref="B3:B22 B23:F23">
    <cfRule type="colorScale" priority="14">
      <colorScale>
        <cfvo type="min"/>
        <cfvo type="percentile" val="50"/>
        <cfvo type="max"/>
        <color rgb="FFF8696B"/>
        <color rgb="FFFFEB84"/>
        <color rgb="FF63BE7B"/>
      </colorScale>
    </cfRule>
  </conditionalFormatting>
  <conditionalFormatting sqref="C3:C22">
    <cfRule type="colorScale" priority="15">
      <colorScale>
        <cfvo type="min"/>
        <cfvo type="percentile" val="50"/>
        <cfvo type="max"/>
        <color rgb="FFF8696B"/>
        <color rgb="FFFFEB84"/>
        <color rgb="FF63BE7B"/>
      </colorScale>
    </cfRule>
  </conditionalFormatting>
  <conditionalFormatting sqref="C23">
    <cfRule type="colorScale" priority="9">
      <colorScale>
        <cfvo type="min"/>
        <cfvo type="percentile" val="50"/>
        <cfvo type="max"/>
        <color rgb="FFF8696B"/>
        <color rgb="FFFFEB84"/>
        <color rgb="FF63BE7B"/>
      </colorScale>
    </cfRule>
  </conditionalFormatting>
  <conditionalFormatting sqref="C24">
    <cfRule type="colorScale" priority="17">
      <colorScale>
        <cfvo type="min"/>
        <cfvo type="percentile" val="50"/>
        <cfvo type="max"/>
        <color rgb="FFF8696B"/>
        <color rgb="FFFFEB84"/>
        <color rgb="FF63BE7B"/>
      </colorScale>
    </cfRule>
  </conditionalFormatting>
  <conditionalFormatting sqref="B23:F23">
    <cfRule type="colorScale" priority="4">
      <colorScale>
        <cfvo type="min"/>
        <cfvo type="max"/>
        <color rgb="FF63BE7B"/>
        <color rgb="FFFCFCFF"/>
      </colorScale>
    </cfRule>
  </conditionalFormatting>
  <conditionalFormatting sqref="D23">
    <cfRule type="colorScale" priority="8">
      <colorScale>
        <cfvo type="min"/>
        <cfvo type="percentile" val="50"/>
        <cfvo type="max"/>
        <color rgb="FFF8696B"/>
        <color rgb="FFFFEB84"/>
        <color rgb="FF63BE7B"/>
      </colorScale>
    </cfRule>
  </conditionalFormatting>
  <conditionalFormatting sqref="D3:F21">
    <cfRule type="colorScale" priority="27">
      <colorScale>
        <cfvo type="min"/>
        <cfvo type="percentile" val="50"/>
        <cfvo type="max"/>
        <color rgb="FFF8696B"/>
        <color rgb="FFFFEB84"/>
        <color rgb="FF63BE7B"/>
      </colorScale>
    </cfRule>
  </conditionalFormatting>
  <conditionalFormatting sqref="E23">
    <cfRule type="colorScale" priority="7">
      <colorScale>
        <cfvo type="min"/>
        <cfvo type="percentile" val="50"/>
        <cfvo type="max"/>
        <color rgb="FFF8696B"/>
        <color rgb="FFFFEB84"/>
        <color rgb="FF63BE7B"/>
      </colorScale>
    </cfRule>
  </conditionalFormatting>
  <conditionalFormatting sqref="B23:F23">
    <cfRule type="colorScale" priority="6">
      <colorScale>
        <cfvo type="min"/>
        <cfvo type="percentile" val="50"/>
        <cfvo type="max"/>
        <color rgb="FFF8696B"/>
        <color rgb="FFFFEB84"/>
        <color rgb="FF63BE7B"/>
      </colorScale>
    </cfRule>
  </conditionalFormatting>
  <conditionalFormatting sqref="J13:N13">
    <cfRule type="colorScale" priority="26">
      <colorScale>
        <cfvo type="min"/>
        <cfvo type="percentile" val="50"/>
        <cfvo type="max"/>
        <color rgb="FFF8696B"/>
        <color rgb="FFFFEB84"/>
        <color rgb="FF63BE7B"/>
      </colorScale>
    </cfRule>
  </conditionalFormatting>
  <conditionalFormatting sqref="J27:N32">
    <cfRule type="dataBar" priority="5">
      <dataBar>
        <cfvo type="min"/>
        <cfvo type="max"/>
        <color rgb="FF63C384"/>
      </dataBar>
      <extLst>
        <ext xmlns:x14="http://schemas.microsoft.com/office/spreadsheetml/2009/9/main" uri="{B025F937-C7B1-47D3-B67F-A62EFF666E3E}">
          <x14:id>{0F7511BB-FA5E-436C-861D-518E74122FAE}</x14:id>
        </ext>
      </extLst>
    </cfRule>
  </conditionalFormatting>
  <conditionalFormatting sqref="O13">
    <cfRule type="colorScale" priority="16">
      <colorScale>
        <cfvo type="min"/>
        <cfvo type="percentile" val="50"/>
        <cfvo type="max"/>
        <color rgb="FFF8696B"/>
        <color rgb="FFFFEB84"/>
        <color rgb="FF63BE7B"/>
      </colorScale>
    </cfRule>
  </conditionalFormatting>
  <conditionalFormatting sqref="D22:F22">
    <cfRule type="colorScale" priority="3">
      <colorScale>
        <cfvo type="min"/>
        <cfvo type="percentile" val="50"/>
        <cfvo type="max"/>
        <color rgb="FFF8696B"/>
        <color rgb="FFFFEB84"/>
        <color rgb="FF63BE7B"/>
      </colorScale>
    </cfRule>
  </conditionalFormatting>
  <conditionalFormatting sqref="J20:N20">
    <cfRule type="colorScale" priority="2">
      <colorScale>
        <cfvo type="min"/>
        <cfvo type="percentile" val="50"/>
        <cfvo type="max"/>
        <color rgb="FFF8696B"/>
        <color rgb="FFFFEB84"/>
        <color rgb="FF63BE7B"/>
      </colorScale>
    </cfRule>
  </conditionalFormatting>
  <conditionalFormatting sqref="J22:N22">
    <cfRule type="colorScale" priority="1">
      <colorScale>
        <cfvo type="min"/>
        <cfvo type="percentile" val="50"/>
        <cfvo type="max"/>
        <color rgb="FFF8696B"/>
        <color rgb="FFFFEB84"/>
        <color rgb="FF63BE7B"/>
      </colorScale>
    </cfRule>
  </conditionalFormatting>
  <hyperlinks>
    <hyperlink ref="A3" r:id="rId1" xr:uid="{C888D071-2923-40CE-8686-8F8BF4EE500C}"/>
    <hyperlink ref="A4" r:id="rId2" xr:uid="{0A30FBA8-59BE-4B3D-AA47-6F756222E295}"/>
    <hyperlink ref="A5" r:id="rId3" xr:uid="{5DA3A586-1D43-4D41-B925-18650FBE18A1}"/>
    <hyperlink ref="A6" r:id="rId4" xr:uid="{9DF99F13-D157-4D8A-A8AE-5B2B2A4DFBCF}"/>
    <hyperlink ref="A7" r:id="rId5" xr:uid="{65D1F75D-21E4-4F12-A378-E0577349E055}"/>
    <hyperlink ref="A8" r:id="rId6" xr:uid="{C094F252-B46E-4665-A6F7-72F8FEDE35D5}"/>
    <hyperlink ref="A9" r:id="rId7" xr:uid="{B2CB641E-AD51-4094-9FA8-3869E3A549A0}"/>
    <hyperlink ref="A10" r:id="rId8" xr:uid="{95210307-2159-40E6-BF84-FA3CAF22547F}"/>
    <hyperlink ref="A12" r:id="rId9" xr:uid="{1A135130-FE41-4E78-998D-5D51096F33FB}"/>
    <hyperlink ref="A14" r:id="rId10" xr:uid="{C2D00336-9A60-4C7A-96A3-F347BF612D40}"/>
    <hyperlink ref="A15" r:id="rId11" xr:uid="{3B234975-2C63-4B9D-B7F7-A682C14C96F1}"/>
    <hyperlink ref="A16" r:id="rId12" xr:uid="{B4A697B9-741E-4C0B-B33C-6205B2796F8D}"/>
    <hyperlink ref="A17" r:id="rId13" xr:uid="{EBEA0D38-4BB0-4320-BDA6-273A1B886D35}"/>
    <hyperlink ref="A18" r:id="rId14" xr:uid="{69F589CE-99DE-4C12-A6D0-FAE5B11285C2}"/>
    <hyperlink ref="A19" r:id="rId15" xr:uid="{3BF36420-F0D5-4721-A167-D4CF927CE09F}"/>
    <hyperlink ref="A20" r:id="rId16" xr:uid="{3E241FE9-6596-4983-A3BE-65A3F34DE6DA}"/>
    <hyperlink ref="A21" r:id="rId17" xr:uid="{C37BE649-2ABC-4277-B804-70786D8F866E}"/>
    <hyperlink ref="A22" r:id="rId18" xr:uid="{005D0290-994F-453E-A09C-96039DDE719B}"/>
    <hyperlink ref="A13" r:id="rId19" xr:uid="{E44562C8-A037-4D90-896B-CC5EEC9E33BB}"/>
  </hyperlinks>
  <pageMargins left="0.7" right="0.7" top="0.75" bottom="0.75" header="0.3" footer="0.3"/>
  <pageSetup orientation="portrait" r:id="rId20"/>
  <extLst>
    <ext xmlns:x14="http://schemas.microsoft.com/office/spreadsheetml/2009/9/main" uri="{78C0D931-6437-407d-A8EE-F0AAD7539E65}">
      <x14:conditionalFormattings>
        <x14:conditionalFormatting xmlns:xm="http://schemas.microsoft.com/office/excel/2006/main">
          <x14:cfRule type="dataBar" id="{0F7511BB-FA5E-436C-861D-518E74122FAE}">
            <x14:dataBar minLength="0" maxLength="100" border="1" negativeBarBorderColorSameAsPositive="0">
              <x14:cfvo type="autoMin"/>
              <x14:cfvo type="autoMax"/>
              <x14:borderColor rgb="FF63C384"/>
              <x14:negativeFillColor rgb="FFFF0000"/>
              <x14:negativeBorderColor rgb="FFFF0000"/>
              <x14:axisColor rgb="FF000000"/>
            </x14:dataBar>
          </x14:cfRule>
          <xm:sqref>J27:N32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7BE08-5C88-4262-A95B-C3EB2653AEC1}">
  <dimension ref="A1"/>
  <sheetViews>
    <sheetView zoomScale="85" zoomScaleNormal="85" workbookViewId="0">
      <selection activeCell="AH43" sqref="AH43"/>
    </sheetView>
  </sheetViews>
  <sheetFormatPr defaultColWidth="9.140625" defaultRowHeight="15"/>
  <cols>
    <col min="1" max="1" width="2.42578125" style="11" customWidth="1"/>
    <col min="2" max="7" width="9.140625" style="11"/>
    <col min="8" max="8" width="27.42578125" style="11" bestFit="1" customWidth="1"/>
    <col min="9" max="30" width="9.140625" style="11"/>
    <col min="31" max="31" width="3.7109375" style="11" customWidth="1"/>
    <col min="32" max="16384" width="9.140625" style="11"/>
  </cols>
  <sheetData>
    <row r="1" ht="7.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Berend v Daal</dc:creator>
  <cp:keywords/>
  <dc:description/>
  <cp:lastModifiedBy/>
  <cp:revision/>
  <dcterms:created xsi:type="dcterms:W3CDTF">2021-07-13T18:40:56Z</dcterms:created>
  <dcterms:modified xsi:type="dcterms:W3CDTF">2024-08-24T17:57:33Z</dcterms:modified>
  <cp:category/>
  <cp:contentStatus/>
</cp:coreProperties>
</file>