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Privat\Git\Projektarbeit-Hochvolt-Elektrik-Komponenten-FSE-Fahrzeug\ressourcen\"/>
    </mc:Choice>
  </mc:AlternateContent>
  <xr:revisionPtr revIDLastSave="0" documentId="13_ncr:1_{19A50086-4D7D-43CC-B65A-A5FEB57EDA58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Kühlerberechnung" sheetId="5" r:id="rId1"/>
    <sheet name="Prop Berechnung" sheetId="6" r:id="rId2"/>
    <sheet name="Systemberechnung" sheetId="1" r:id="rId3"/>
    <sheet name="Druckverlust BSP. Rechnung" sheetId="2" r:id="rId4"/>
    <sheet name="Druckverlust Date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B16" i="6"/>
  <c r="B17" i="6"/>
  <c r="E5" i="1"/>
  <c r="H13" i="1"/>
  <c r="H6" i="1"/>
  <c r="F19" i="5"/>
  <c r="L12" i="6"/>
  <c r="L7" i="6"/>
  <c r="L8" i="6" s="1"/>
  <c r="G12" i="6"/>
  <c r="G7" i="6"/>
  <c r="G8" i="6" s="1"/>
  <c r="B27" i="6"/>
  <c r="C30" i="6"/>
  <c r="B30" i="6"/>
  <c r="B17" i="5"/>
  <c r="B18" i="5"/>
  <c r="B12" i="6"/>
  <c r="B14" i="6" s="1"/>
  <c r="B7" i="6"/>
  <c r="B8" i="6" s="1"/>
  <c r="L14" i="6" l="1"/>
  <c r="L16" i="6" s="1"/>
  <c r="G14" i="6"/>
  <c r="C31" i="6"/>
  <c r="C32" i="6" s="1"/>
  <c r="C33" i="6" s="1"/>
  <c r="C35" i="6" s="1"/>
  <c r="B31" i="6"/>
  <c r="B32" i="6" s="1"/>
  <c r="B33" i="6" s="1"/>
  <c r="B35" i="6" s="1"/>
  <c r="B19" i="6"/>
  <c r="B13" i="5"/>
  <c r="B16" i="5" s="1"/>
  <c r="B12" i="5"/>
  <c r="F9" i="5"/>
  <c r="F16" i="5" s="1"/>
  <c r="F17" i="5" s="1"/>
  <c r="F18" i="5" s="1"/>
  <c r="B8" i="5"/>
  <c r="L19" i="6" l="1"/>
  <c r="L20" i="6" s="1"/>
  <c r="L17" i="6"/>
  <c r="L18" i="6"/>
  <c r="L15" i="6"/>
  <c r="G18" i="6"/>
  <c r="G15" i="6"/>
  <c r="G16" i="6"/>
  <c r="B15" i="6"/>
  <c r="B18" i="6"/>
  <c r="B10" i="5"/>
  <c r="F12" i="5"/>
  <c r="G19" i="6" l="1"/>
  <c r="G20" i="6" s="1"/>
  <c r="G17" i="6"/>
  <c r="B20" i="6"/>
  <c r="F20" i="5"/>
  <c r="F21" i="5" s="1"/>
  <c r="F23" i="5"/>
  <c r="F24" i="5" s="1"/>
  <c r="F25" i="5" s="1"/>
  <c r="F26" i="5" s="1"/>
  <c r="F22" i="5"/>
  <c r="H10" i="3" l="1"/>
  <c r="H21" i="3"/>
  <c r="B48" i="2"/>
  <c r="B21" i="3"/>
  <c r="C21" i="3"/>
  <c r="D21" i="3"/>
  <c r="E21" i="3"/>
  <c r="F21" i="3"/>
  <c r="G21" i="3"/>
  <c r="I21" i="3"/>
  <c r="J21" i="3"/>
  <c r="B10" i="3"/>
  <c r="C10" i="3"/>
  <c r="D10" i="3"/>
  <c r="E10" i="3"/>
  <c r="F10" i="3"/>
  <c r="G10" i="3"/>
  <c r="I10" i="3"/>
  <c r="J10" i="3"/>
  <c r="B11" i="3"/>
  <c r="C5" i="1"/>
  <c r="C48" i="3"/>
  <c r="D48" i="3"/>
  <c r="E48" i="3"/>
  <c r="F48" i="3"/>
  <c r="G48" i="3"/>
  <c r="H48" i="3"/>
  <c r="I48" i="3"/>
  <c r="J48" i="3"/>
  <c r="B48" i="3"/>
  <c r="C30" i="3"/>
  <c r="D30" i="3"/>
  <c r="E30" i="3"/>
  <c r="F30" i="3"/>
  <c r="G30" i="3"/>
  <c r="H30" i="3"/>
  <c r="I30" i="3"/>
  <c r="J30" i="3"/>
  <c r="B30" i="3"/>
  <c r="C47" i="3"/>
  <c r="D47" i="3"/>
  <c r="E47" i="3"/>
  <c r="F47" i="3"/>
  <c r="G47" i="3"/>
  <c r="H47" i="3"/>
  <c r="I47" i="3"/>
  <c r="J47" i="3"/>
  <c r="B47" i="3"/>
  <c r="C14" i="3"/>
  <c r="C33" i="3" s="1"/>
  <c r="D14" i="3"/>
  <c r="E14" i="3"/>
  <c r="F14" i="3"/>
  <c r="G14" i="3"/>
  <c r="H14" i="3"/>
  <c r="I14" i="3"/>
  <c r="J14" i="3"/>
  <c r="B14" i="3"/>
  <c r="B22" i="3" s="1"/>
  <c r="J13" i="3"/>
  <c r="I13" i="3"/>
  <c r="H13" i="3"/>
  <c r="G13" i="3"/>
  <c r="F13" i="3"/>
  <c r="E13" i="3"/>
  <c r="E15" i="3" s="1"/>
  <c r="D13" i="3"/>
  <c r="D15" i="3" s="1"/>
  <c r="C13" i="3"/>
  <c r="C15" i="3" s="1"/>
  <c r="H2" i="3"/>
  <c r="B13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B44" i="3"/>
  <c r="B18" i="2"/>
  <c r="J22" i="3" l="1"/>
  <c r="I22" i="3"/>
  <c r="D22" i="3"/>
  <c r="E22" i="3"/>
  <c r="G22" i="3"/>
  <c r="F22" i="3"/>
  <c r="H22" i="3"/>
  <c r="C22" i="3"/>
  <c r="H32" i="3"/>
  <c r="F32" i="3"/>
  <c r="E32" i="3"/>
  <c r="D32" i="3"/>
  <c r="C32" i="3"/>
  <c r="B33" i="3"/>
  <c r="B15" i="3"/>
  <c r="B18" i="3" s="1"/>
  <c r="B20" i="3" s="1"/>
  <c r="J33" i="3"/>
  <c r="I33" i="3"/>
  <c r="B32" i="3"/>
  <c r="H33" i="3"/>
  <c r="J32" i="3"/>
  <c r="G33" i="3"/>
  <c r="I32" i="3"/>
  <c r="F33" i="3"/>
  <c r="E33" i="3"/>
  <c r="G32" i="3"/>
  <c r="D33" i="3"/>
  <c r="H15" i="3"/>
  <c r="H18" i="3" s="1"/>
  <c r="H20" i="3" s="1"/>
  <c r="J15" i="3"/>
  <c r="J18" i="3" s="1"/>
  <c r="J20" i="3" s="1"/>
  <c r="F15" i="3"/>
  <c r="F18" i="3" s="1"/>
  <c r="F20" i="3" s="1"/>
  <c r="I15" i="3"/>
  <c r="I18" i="3" s="1"/>
  <c r="I20" i="3" s="1"/>
  <c r="G15" i="3"/>
  <c r="G18" i="3" s="1"/>
  <c r="G20" i="3" s="1"/>
  <c r="C18" i="3"/>
  <c r="C20" i="3" s="1"/>
  <c r="D18" i="3"/>
  <c r="D20" i="3" s="1"/>
  <c r="E18" i="3"/>
  <c r="E20" i="3" s="1"/>
  <c r="B49" i="2"/>
  <c r="B55" i="2" s="1"/>
  <c r="B38" i="2"/>
  <c r="B40" i="2" s="1"/>
  <c r="B58" i="2"/>
  <c r="B62" i="2" s="1"/>
  <c r="B57" i="2"/>
  <c r="B54" i="2"/>
  <c r="B53" i="2"/>
  <c r="B51" i="2"/>
  <c r="B43" i="2"/>
  <c r="B41" i="2"/>
  <c r="C19" i="3" l="1"/>
  <c r="B34" i="3"/>
  <c r="J19" i="3"/>
  <c r="D19" i="3"/>
  <c r="B19" i="3"/>
  <c r="F19" i="3"/>
  <c r="E19" i="3"/>
  <c r="G19" i="3"/>
  <c r="I19" i="3"/>
  <c r="H19" i="3"/>
  <c r="B69" i="2"/>
  <c r="B70" i="2" s="1"/>
  <c r="B44" i="2"/>
  <c r="B45" i="2" s="1"/>
  <c r="B59" i="2"/>
  <c r="B60" i="2" s="1"/>
  <c r="B5" i="3"/>
  <c r="B47" i="2" l="1"/>
  <c r="B14" i="2" l="1"/>
  <c r="C46" i="3"/>
  <c r="D46" i="3"/>
  <c r="E46" i="3"/>
  <c r="F46" i="3"/>
  <c r="G46" i="3"/>
  <c r="H46" i="3"/>
  <c r="I46" i="3"/>
  <c r="J46" i="3"/>
  <c r="B46" i="3"/>
  <c r="C45" i="3"/>
  <c r="D45" i="3"/>
  <c r="E45" i="3"/>
  <c r="F45" i="3"/>
  <c r="G45" i="3"/>
  <c r="H45" i="3"/>
  <c r="I45" i="3"/>
  <c r="J45" i="3"/>
  <c r="B45" i="3"/>
  <c r="C44" i="3"/>
  <c r="D44" i="3"/>
  <c r="E44" i="3"/>
  <c r="F44" i="3"/>
  <c r="G44" i="3"/>
  <c r="H44" i="3"/>
  <c r="I44" i="3"/>
  <c r="J44" i="3"/>
  <c r="C3" i="3"/>
  <c r="D3" i="3"/>
  <c r="E3" i="3"/>
  <c r="F3" i="3"/>
  <c r="G3" i="3"/>
  <c r="G11" i="3" s="1"/>
  <c r="H3" i="3"/>
  <c r="H36" i="3" s="1"/>
  <c r="I3" i="3"/>
  <c r="J3" i="3"/>
  <c r="B3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C11" i="3"/>
  <c r="C26" i="3"/>
  <c r="J2" i="3"/>
  <c r="I2" i="3"/>
  <c r="G2" i="3"/>
  <c r="F2" i="3"/>
  <c r="E2" i="3"/>
  <c r="D2" i="3"/>
  <c r="C2" i="3"/>
  <c r="B2" i="3"/>
  <c r="B21" i="1"/>
  <c r="B24" i="3" s="1"/>
  <c r="B19" i="2"/>
  <c r="B23" i="2"/>
  <c r="B27" i="2" s="1"/>
  <c r="B22" i="2"/>
  <c r="B16" i="2"/>
  <c r="B8" i="2"/>
  <c r="B6" i="2"/>
  <c r="B5" i="2"/>
  <c r="C10" i="1"/>
  <c r="C14" i="1"/>
  <c r="C12" i="1"/>
  <c r="C8" i="1"/>
  <c r="C7" i="1"/>
  <c r="C6" i="1"/>
  <c r="B20" i="2" l="1"/>
  <c r="B34" i="2" s="1"/>
  <c r="B35" i="2" s="1"/>
  <c r="J36" i="3"/>
  <c r="B27" i="3"/>
  <c r="B36" i="3"/>
  <c r="I36" i="3"/>
  <c r="E11" i="3"/>
  <c r="E36" i="3"/>
  <c r="D11" i="3"/>
  <c r="D36" i="3"/>
  <c r="C27" i="3"/>
  <c r="C36" i="3"/>
  <c r="G37" i="3"/>
  <c r="G36" i="3"/>
  <c r="F37" i="3"/>
  <c r="F38" i="3" s="1"/>
  <c r="F39" i="3" s="1"/>
  <c r="F40" i="3" s="1"/>
  <c r="F41" i="3" s="1"/>
  <c r="F36" i="3"/>
  <c r="B4" i="3"/>
  <c r="B7" i="3" s="1"/>
  <c r="B8" i="3" s="1"/>
  <c r="F11" i="3"/>
  <c r="B26" i="3"/>
  <c r="D37" i="3"/>
  <c r="H11" i="3"/>
  <c r="H28" i="3" s="1"/>
  <c r="H4" i="3"/>
  <c r="H7" i="3" s="1"/>
  <c r="B37" i="3"/>
  <c r="I5" i="1"/>
  <c r="J5" i="1" s="1"/>
  <c r="K5" i="1" s="1"/>
  <c r="L5" i="1" s="1"/>
  <c r="M5" i="1" s="1"/>
  <c r="C37" i="3"/>
  <c r="C38" i="3" s="1"/>
  <c r="C39" i="3" s="1"/>
  <c r="C40" i="3" s="1"/>
  <c r="C4" i="3"/>
  <c r="C7" i="3" s="1"/>
  <c r="C8" i="3" s="1"/>
  <c r="G27" i="3"/>
  <c r="G4" i="3"/>
  <c r="G7" i="3" s="1"/>
  <c r="G8" i="3" s="1"/>
  <c r="G26" i="3"/>
  <c r="F26" i="3"/>
  <c r="J24" i="3"/>
  <c r="I24" i="3"/>
  <c r="H24" i="3"/>
  <c r="G24" i="3"/>
  <c r="G28" i="3" s="1"/>
  <c r="F24" i="3"/>
  <c r="E24" i="3"/>
  <c r="D24" i="3"/>
  <c r="C24" i="3"/>
  <c r="C28" i="3" s="1"/>
  <c r="H37" i="3"/>
  <c r="D4" i="3"/>
  <c r="D7" i="3" s="1"/>
  <c r="D8" i="3" s="1"/>
  <c r="F27" i="3"/>
  <c r="J4" i="3"/>
  <c r="J7" i="3" s="1"/>
  <c r="J9" i="3" s="1"/>
  <c r="F4" i="3"/>
  <c r="F7" i="3" s="1"/>
  <c r="F9" i="3" s="1"/>
  <c r="J37" i="3"/>
  <c r="J27" i="3"/>
  <c r="J26" i="3"/>
  <c r="G38" i="3"/>
  <c r="G39" i="3" s="1"/>
  <c r="G40" i="3" s="1"/>
  <c r="G41" i="3" s="1"/>
  <c r="I27" i="3"/>
  <c r="E4" i="3"/>
  <c r="E7" i="3" s="1"/>
  <c r="E9" i="3" s="1"/>
  <c r="I4" i="3"/>
  <c r="I7" i="3" s="1"/>
  <c r="I9" i="3" s="1"/>
  <c r="H27" i="3"/>
  <c r="D27" i="3"/>
  <c r="H26" i="3"/>
  <c r="D26" i="3"/>
  <c r="E27" i="3"/>
  <c r="I26" i="3"/>
  <c r="E26" i="3"/>
  <c r="I37" i="3"/>
  <c r="I38" i="3" s="1"/>
  <c r="I39" i="3" s="1"/>
  <c r="I40" i="3" s="1"/>
  <c r="E37" i="3"/>
  <c r="I11" i="3"/>
  <c r="J11" i="3"/>
  <c r="B9" i="2"/>
  <c r="B12" i="2" s="1"/>
  <c r="B24" i="2"/>
  <c r="B25" i="2" s="1"/>
  <c r="B28" i="3" l="1"/>
  <c r="B50" i="3" s="1"/>
  <c r="J28" i="3"/>
  <c r="D28" i="3"/>
  <c r="E28" i="3"/>
  <c r="F28" i="3"/>
  <c r="D38" i="3"/>
  <c r="D39" i="3" s="1"/>
  <c r="D40" i="3" s="1"/>
  <c r="D41" i="3" s="1"/>
  <c r="B38" i="3"/>
  <c r="B39" i="3" s="1"/>
  <c r="B40" i="3" s="1"/>
  <c r="B41" i="3" s="1"/>
  <c r="C41" i="3"/>
  <c r="I28" i="3"/>
  <c r="H38" i="3"/>
  <c r="H39" i="3" s="1"/>
  <c r="H40" i="3" s="1"/>
  <c r="H41" i="3" s="1"/>
  <c r="H9" i="3"/>
  <c r="H8" i="3"/>
  <c r="J8" i="3"/>
  <c r="E38" i="3"/>
  <c r="E39" i="3" s="1"/>
  <c r="E40" i="3" s="1"/>
  <c r="E41" i="3" s="1"/>
  <c r="G9" i="3"/>
  <c r="I8" i="3"/>
  <c r="I41" i="3"/>
  <c r="J38" i="3"/>
  <c r="J39" i="3" s="1"/>
  <c r="J40" i="3" s="1"/>
  <c r="J41" i="3" s="1"/>
  <c r="E8" i="3"/>
  <c r="F8" i="3"/>
  <c r="C9" i="3"/>
  <c r="D9" i="3"/>
  <c r="B9" i="3"/>
  <c r="B10" i="2"/>
  <c r="C34" i="3"/>
  <c r="C50" i="3" s="1"/>
  <c r="C51" i="3" s="1"/>
  <c r="C52" i="3" s="1"/>
  <c r="H7" i="1" s="1"/>
  <c r="I7" i="1" s="1"/>
  <c r="J7" i="1" s="1"/>
  <c r="H34" i="3"/>
  <c r="H50" i="3" s="1"/>
  <c r="J34" i="3"/>
  <c r="G34" i="3"/>
  <c r="E34" i="3"/>
  <c r="D34" i="3"/>
  <c r="D50" i="3" s="1"/>
  <c r="D51" i="3" s="1"/>
  <c r="D52" i="3" s="1"/>
  <c r="H8" i="1" s="1"/>
  <c r="I8" i="1" s="1"/>
  <c r="J8" i="1" s="1"/>
  <c r="K8" i="1" s="1"/>
  <c r="L8" i="1" s="1"/>
  <c r="M8" i="1" s="1"/>
  <c r="F34" i="3"/>
  <c r="F50" i="3" s="1"/>
  <c r="F51" i="3" s="1"/>
  <c r="F52" i="3" s="1"/>
  <c r="H10" i="1" s="1"/>
  <c r="I10" i="1" s="1"/>
  <c r="J10" i="1" s="1"/>
  <c r="I34" i="3"/>
  <c r="G50" i="3" l="1"/>
  <c r="G51" i="3" s="1"/>
  <c r="G52" i="3" s="1"/>
  <c r="H11" i="1" s="1"/>
  <c r="I11" i="1" s="1"/>
  <c r="J11" i="1" s="1"/>
  <c r="K11" i="1" s="1"/>
  <c r="L11" i="1" s="1"/>
  <c r="M11" i="1" s="1"/>
  <c r="E50" i="3"/>
  <c r="E51" i="3" s="1"/>
  <c r="E52" i="3" s="1"/>
  <c r="H9" i="1" s="1"/>
  <c r="I9" i="1" s="1"/>
  <c r="J9" i="1" s="1"/>
  <c r="K9" i="1" s="1"/>
  <c r="L9" i="1" s="1"/>
  <c r="M9" i="1" s="1"/>
  <c r="J50" i="3"/>
  <c r="J51" i="3" s="1"/>
  <c r="J52" i="3" s="1"/>
  <c r="H14" i="1" s="1"/>
  <c r="I14" i="1" s="1"/>
  <c r="J14" i="1" s="1"/>
  <c r="K14" i="1" s="1"/>
  <c r="L14" i="1" s="1"/>
  <c r="M14" i="1" s="1"/>
  <c r="K7" i="1"/>
  <c r="L7" i="1" s="1"/>
  <c r="M7" i="1" s="1"/>
  <c r="K10" i="1"/>
  <c r="L10" i="1" s="1"/>
  <c r="M10" i="1" s="1"/>
  <c r="I50" i="3"/>
  <c r="I51" i="3" s="1"/>
  <c r="I52" i="3" s="1"/>
  <c r="I13" i="1" s="1"/>
  <c r="J13" i="1" s="1"/>
  <c r="K13" i="1" s="1"/>
  <c r="L13" i="1" s="1"/>
  <c r="M13" i="1" s="1"/>
  <c r="H51" i="3"/>
  <c r="H52" i="3" s="1"/>
  <c r="H12" i="1" s="1"/>
  <c r="I12" i="1" s="1"/>
  <c r="J12" i="1" s="1"/>
  <c r="K12" i="1" s="1"/>
  <c r="L12" i="1" s="1"/>
  <c r="M12" i="1" s="1"/>
  <c r="B51" i="3"/>
  <c r="B52" i="3" s="1"/>
  <c r="I6" i="1" s="1"/>
  <c r="J6" i="1" s="1"/>
  <c r="K6" i="1" s="1"/>
  <c r="L6" i="1" s="1"/>
  <c r="M6" i="1" s="1"/>
</calcChain>
</file>

<file path=xl/sharedStrings.xml><?xml version="1.0" encoding="utf-8"?>
<sst xmlns="http://schemas.openxmlformats.org/spreadsheetml/2006/main" count="528" uniqueCount="228">
  <si>
    <t>Größe</t>
  </si>
  <si>
    <t>Volumenstrom</t>
  </si>
  <si>
    <t>Drucksteigerung</t>
  </si>
  <si>
    <t>Druckverlust</t>
  </si>
  <si>
    <t>Verlusthöhe</t>
  </si>
  <si>
    <t>P_Pumpe</t>
  </si>
  <si>
    <t>P_Welle</t>
  </si>
  <si>
    <t>P_Motor</t>
  </si>
  <si>
    <t>rho_Wasser,glykol(60°)</t>
  </si>
  <si>
    <t>kg/m³</t>
  </si>
  <si>
    <t>Einheit</t>
  </si>
  <si>
    <t>l/min</t>
  </si>
  <si>
    <t>bar</t>
  </si>
  <si>
    <t>m</t>
  </si>
  <si>
    <t>W</t>
  </si>
  <si>
    <t>g</t>
  </si>
  <si>
    <t>m/s²</t>
  </si>
  <si>
    <t>Bauteil</t>
  </si>
  <si>
    <t>Pumpe</t>
  </si>
  <si>
    <t>EPB40</t>
  </si>
  <si>
    <t>PCE Bosch</t>
  </si>
  <si>
    <t>Kühler</t>
  </si>
  <si>
    <t>Motor</t>
  </si>
  <si>
    <t>Inverter</t>
  </si>
  <si>
    <t>Leitungen</t>
  </si>
  <si>
    <t>Gesamt</t>
  </si>
  <si>
    <t>eta_Pumpe</t>
  </si>
  <si>
    <t>-</t>
  </si>
  <si>
    <t>eta_Motor</t>
  </si>
  <si>
    <t>V._K</t>
  </si>
  <si>
    <t>aus Datenblättern</t>
  </si>
  <si>
    <t>dp_k</t>
  </si>
  <si>
    <t>V._M</t>
  </si>
  <si>
    <t>dp_M</t>
  </si>
  <si>
    <t>Halber Volumenstrom, siehe Schaltplan</t>
  </si>
  <si>
    <t>t_ein optimal &lt; 50°C</t>
  </si>
  <si>
    <t>Eingabeparameter für Leitungsverluste</t>
  </si>
  <si>
    <t>Rohrdurchmesser</t>
  </si>
  <si>
    <t>Radius Bogenmittelinie</t>
  </si>
  <si>
    <t>&lt;-</t>
  </si>
  <si>
    <t>-&gt;</t>
  </si>
  <si>
    <t>Anzahl y Stücke</t>
  </si>
  <si>
    <t>|</t>
  </si>
  <si>
    <t>Anzahl knicke</t>
  </si>
  <si>
    <t>Rohrlänge Gerade</t>
  </si>
  <si>
    <t>Was wird berechnet</t>
  </si>
  <si>
    <t>Wert</t>
  </si>
  <si>
    <t>Kommentar</t>
  </si>
  <si>
    <t>Volumenstrom Wasser</t>
  </si>
  <si>
    <t>basierend auf elw_pdf für ähnlichen wärmetauscher</t>
  </si>
  <si>
    <t>mm</t>
  </si>
  <si>
    <t>EBP40 und Bosch PCE außlass Durchmesser</t>
  </si>
  <si>
    <t>Strömungsgeschwindigkeit</t>
  </si>
  <si>
    <t>m/s</t>
  </si>
  <si>
    <t>dichte Wasser</t>
  </si>
  <si>
    <t>kg/m^3</t>
  </si>
  <si>
    <t>Grundlegende Berechnungen</t>
  </si>
  <si>
    <t>dynamische Viskosität wasser</t>
  </si>
  <si>
    <t>Pa*s</t>
  </si>
  <si>
    <t>für 50°C</t>
  </si>
  <si>
    <t>Reynolds zahl</t>
  </si>
  <si>
    <t>Turbulent?</t>
  </si>
  <si>
    <t>Druckverlust Gerade</t>
  </si>
  <si>
    <t>Rohrreibungszahl nach blasius</t>
  </si>
  <si>
    <t>glattes Rohr (wir nehmen Rau weil worst case)</t>
  </si>
  <si>
    <t>Rohrreibungungszahl Rau</t>
  </si>
  <si>
    <t>Druckverlustbeiwert_grades_rohr</t>
  </si>
  <si>
    <t>Druckverlust 90° Knick</t>
  </si>
  <si>
    <t>schätzwert</t>
  </si>
  <si>
    <t>Rohrrauhigkeit</t>
  </si>
  <si>
    <t>max wert für gebrauchte aluminium und Kunsstoffrohre</t>
  </si>
  <si>
    <t>Re*</t>
  </si>
  <si>
    <t>e/d</t>
  </si>
  <si>
    <t>Druckverlustbeiwert 90°</t>
  </si>
  <si>
    <t>Druckverlust Y-Stück</t>
  </si>
  <si>
    <t>Dicke Viskosen Unterschicht (98% v)</t>
  </si>
  <si>
    <t>Hydraulisch rau</t>
  </si>
  <si>
    <t>Rohrfläche Einlass</t>
  </si>
  <si>
    <t>mm^2</t>
  </si>
  <si>
    <t>Rohrfläche auslass vorläufig</t>
  </si>
  <si>
    <t>Durchmesser auslass vorlaufig</t>
  </si>
  <si>
    <t>nächster normdurchmesser</t>
  </si>
  <si>
    <t>Geschwindigkeitsverhältnis w3/w2</t>
  </si>
  <si>
    <t>Druckverlustbeiwert_y_stück 30°</t>
  </si>
  <si>
    <t>Aus Tabelle</t>
  </si>
  <si>
    <t>Gesamtdruckverklust</t>
  </si>
  <si>
    <t>Schätzwert</t>
  </si>
  <si>
    <t>Gesamtdruckverlustbeiwert</t>
  </si>
  <si>
    <t>Gesamtdruckverlust Rohrleitung</t>
  </si>
  <si>
    <t>Pa</t>
  </si>
  <si>
    <t>Anzahl Durchführungen</t>
  </si>
  <si>
    <t>Rohrstrom [m/s]</t>
  </si>
  <si>
    <t>Rohrdurchmesser [mm]</t>
  </si>
  <si>
    <t>Volumenstrom [l/min]</t>
  </si>
  <si>
    <t>Dichte [kg/m^3]</t>
  </si>
  <si>
    <t>dyn Visko [Pa*s]</t>
  </si>
  <si>
    <t>Reynolds Zahl</t>
  </si>
  <si>
    <t>Rohreibungszahl blasius</t>
  </si>
  <si>
    <t>Rohreibungszahl rau</t>
  </si>
  <si>
    <t>Beiwert Gerade</t>
  </si>
  <si>
    <t>Radius Bogen</t>
  </si>
  <si>
    <t>RE*</t>
  </si>
  <si>
    <t>Beiwert 90°</t>
  </si>
  <si>
    <t>Dicke Viskose unterschicht</t>
  </si>
  <si>
    <t>Erohrfläche Einlass</t>
  </si>
  <si>
    <t>Rohrfläche auslass</t>
  </si>
  <si>
    <t>Durchmeser auslass</t>
  </si>
  <si>
    <t>Nbächster normdurchmeser</t>
  </si>
  <si>
    <t>geschwindigkeitsverhältnis</t>
  </si>
  <si>
    <t>Beiwert y stück</t>
  </si>
  <si>
    <t>Anzahl Y</t>
  </si>
  <si>
    <t>länge groß [m]</t>
  </si>
  <si>
    <t>Länge klein [m]</t>
  </si>
  <si>
    <t>Anzahl Knicke klein</t>
  </si>
  <si>
    <t>Anzahl Knicke groß</t>
  </si>
  <si>
    <t>Druckverlust Pa</t>
  </si>
  <si>
    <t>Druckverlust Bar</t>
  </si>
  <si>
    <t>Bemerkungen</t>
  </si>
  <si>
    <t>Rohrd._Groß</t>
  </si>
  <si>
    <t>Rohrd._klein</t>
  </si>
  <si>
    <t>R. Bogenmit. Klein</t>
  </si>
  <si>
    <t>R. Bogenmit. Groß</t>
  </si>
  <si>
    <t>Anzahl Knicke Groß</t>
  </si>
  <si>
    <t>Anzahl knicke Klein</t>
  </si>
  <si>
    <t>Rohrlänge Gerade Groß</t>
  </si>
  <si>
    <t>Rohrlänge Gerade Klein</t>
  </si>
  <si>
    <t>Bar</t>
  </si>
  <si>
    <t>EMRAX 208</t>
  </si>
  <si>
    <t>DTI500LC</t>
  </si>
  <si>
    <t>Werte für Logarythmische extrapolation</t>
  </si>
  <si>
    <t>Umrechnung Förderhöhe in Druckanstieg und Pumpleistung</t>
  </si>
  <si>
    <t>Große Leitungen</t>
  </si>
  <si>
    <t>Kleine Leitungen</t>
  </si>
  <si>
    <t>Großes Rohr Gerade</t>
  </si>
  <si>
    <t>Kleines Rohr Gerade</t>
  </si>
  <si>
    <t>Y-Stück</t>
  </si>
  <si>
    <t>Kleiner Rohrbogen</t>
  </si>
  <si>
    <t>Großer Rohrbogen</t>
  </si>
  <si>
    <t>Beiwert gesamt</t>
  </si>
  <si>
    <t xml:space="preserve"> </t>
  </si>
  <si>
    <t>TY19</t>
  </si>
  <si>
    <t>Bemerkung</t>
  </si>
  <si>
    <t>TY22</t>
  </si>
  <si>
    <t>Konstanten</t>
  </si>
  <si>
    <r>
      <rPr>
        <sz val="14"/>
        <color theme="1"/>
        <rFont val="Calibri"/>
        <family val="2"/>
        <scheme val="minor"/>
      </rPr>
      <t>Cv</t>
    </r>
    <r>
      <rPr>
        <sz val="8"/>
        <color theme="1"/>
        <rFont val="Calibri"/>
        <family val="2"/>
        <scheme val="minor"/>
      </rPr>
      <t xml:space="preserve"> Luft</t>
    </r>
  </si>
  <si>
    <t>J/Kg*K</t>
  </si>
  <si>
    <t>Tabellenbuch</t>
  </si>
  <si>
    <r>
      <rPr>
        <sz val="14"/>
        <color theme="1"/>
        <rFont val="Calibri"/>
        <family val="2"/>
        <scheme val="minor"/>
      </rPr>
      <t>Dichte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Wasser</t>
    </r>
  </si>
  <si>
    <t>Kg/m^3</t>
  </si>
  <si>
    <r>
      <rPr>
        <sz val="14"/>
        <color theme="1"/>
        <rFont val="Calibri"/>
        <family val="2"/>
        <scheme val="minor"/>
      </rPr>
      <t>Cv</t>
    </r>
    <r>
      <rPr>
        <sz val="8"/>
        <color theme="1"/>
        <rFont val="Calibri"/>
        <family val="2"/>
        <scheme val="minor"/>
      </rPr>
      <t xml:space="preserve"> Wasser</t>
    </r>
  </si>
  <si>
    <r>
      <rPr>
        <sz val="14"/>
        <color theme="1"/>
        <rFont val="Calibri"/>
        <family val="2"/>
        <scheme val="minor"/>
      </rPr>
      <t>Dichte</t>
    </r>
    <r>
      <rPr>
        <sz val="8"/>
        <color theme="1"/>
        <rFont val="Calibri"/>
        <family val="2"/>
        <scheme val="minor"/>
      </rPr>
      <t xml:space="preserve"> Luft</t>
    </r>
  </si>
  <si>
    <t>Eingangswerte Werte</t>
  </si>
  <si>
    <r>
      <rPr>
        <sz val="14"/>
        <color theme="1"/>
        <rFont val="Calibri"/>
        <family val="2"/>
        <scheme val="minor"/>
      </rPr>
      <t xml:space="preserve">T </t>
    </r>
    <r>
      <rPr>
        <sz val="8"/>
        <color theme="1"/>
        <rFont val="Calibri"/>
        <family val="2"/>
        <scheme val="minor"/>
      </rPr>
      <t>Wasser Eing.</t>
    </r>
  </si>
  <si>
    <t>°C</t>
  </si>
  <si>
    <t>Messdaten</t>
  </si>
  <si>
    <t>Schätzung</t>
  </si>
  <si>
    <r>
      <rPr>
        <sz val="14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Wasser Aus</t>
    </r>
  </si>
  <si>
    <r>
      <rPr>
        <sz val="14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Luft Eing.</t>
    </r>
  </si>
  <si>
    <t>delta T</t>
  </si>
  <si>
    <r>
      <t xml:space="preserve">Volumstrom </t>
    </r>
    <r>
      <rPr>
        <sz val="8"/>
        <color theme="1"/>
        <rFont val="Calibri"/>
        <family val="2"/>
        <scheme val="minor"/>
      </rPr>
      <t>Wasser</t>
    </r>
    <r>
      <rPr>
        <sz val="14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Ty22</t>
    </r>
  </si>
  <si>
    <t>Aus Wasserpumpen Systemberechnung</t>
  </si>
  <si>
    <r>
      <rPr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Gesch.</t>
    </r>
  </si>
  <si>
    <t>m^3/s</t>
  </si>
  <si>
    <r>
      <rPr>
        <sz val="14"/>
        <color theme="1"/>
        <rFont val="Calibri"/>
        <family val="2"/>
        <scheme val="minor"/>
      </rPr>
      <t xml:space="preserve">T </t>
    </r>
    <r>
      <rPr>
        <sz val="8"/>
        <color theme="1"/>
        <rFont val="Calibri"/>
        <family val="2"/>
        <scheme val="minor"/>
      </rPr>
      <t>Luft Aus.</t>
    </r>
  </si>
  <si>
    <t>Messwert mit Lüfter auf 100% ohne Fahrtwind</t>
  </si>
  <si>
    <r>
      <t xml:space="preserve">Volumstrom </t>
    </r>
    <r>
      <rPr>
        <sz val="8"/>
        <color theme="1"/>
        <rFont val="Calibri"/>
        <family val="2"/>
        <scheme val="minor"/>
      </rPr>
      <t>Wasser</t>
    </r>
    <r>
      <rPr>
        <sz val="14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Ty19</t>
    </r>
  </si>
  <si>
    <t>Volumenstrommessung 2018 und mittlere RPM 6412 aus TY19 Datenlogger daten FSG</t>
  </si>
  <si>
    <r>
      <rPr>
        <sz val="14"/>
        <color theme="1"/>
        <rFont val="Calibri"/>
        <family val="2"/>
        <scheme val="minor"/>
      </rPr>
      <t>Kühlerwärmestrom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Ty21</t>
    </r>
  </si>
  <si>
    <t>aus Rundenzeitsimulation</t>
  </si>
  <si>
    <t>Nachrechnung</t>
  </si>
  <si>
    <r>
      <rPr>
        <sz val="14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Kühler Ty 19</t>
    </r>
  </si>
  <si>
    <t>m^2</t>
  </si>
  <si>
    <t>Aus TY19 Datenlogger daten FSG</t>
  </si>
  <si>
    <t>Berechnung</t>
  </si>
  <si>
    <r>
      <t xml:space="preserve">Volumstrom </t>
    </r>
    <r>
      <rPr>
        <sz val="8"/>
        <color theme="1"/>
        <rFont val="Calibri"/>
        <family val="2"/>
        <scheme val="minor"/>
      </rPr>
      <t>Luft</t>
    </r>
    <r>
      <rPr>
        <sz val="14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Ty19</t>
    </r>
  </si>
  <si>
    <t>K</t>
  </si>
  <si>
    <r>
      <rPr>
        <sz val="14"/>
        <color theme="1"/>
        <rFont val="Calibri"/>
        <family val="2"/>
        <scheme val="minor"/>
      </rPr>
      <t>Kühlerwärmestrom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Ty19</t>
    </r>
  </si>
  <si>
    <t>Kühlerkoeffizient</t>
  </si>
  <si>
    <t>m^2/WK</t>
  </si>
  <si>
    <r>
      <rPr>
        <sz val="14"/>
        <color theme="1"/>
        <rFont val="Calibri"/>
        <family val="2"/>
        <scheme val="minor"/>
      </rPr>
      <t>delta T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Wasser</t>
    </r>
  </si>
  <si>
    <r>
      <rPr>
        <sz val="14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Kühler Ty22</t>
    </r>
  </si>
  <si>
    <t>Ausgabewerte</t>
  </si>
  <si>
    <t>Eingabewerte</t>
  </si>
  <si>
    <t>Kantenlänge der einzelnen Kühler</t>
  </si>
  <si>
    <t>2 Kühler Quadratisch</t>
  </si>
  <si>
    <t>Zwischenergebnisse</t>
  </si>
  <si>
    <t>Prozentuale Größe zu TY19</t>
  </si>
  <si>
    <t>%</t>
  </si>
  <si>
    <r>
      <rPr>
        <sz val="14"/>
        <color theme="1"/>
        <rFont val="Calibri"/>
        <family val="2"/>
        <scheme val="minor"/>
      </rPr>
      <t xml:space="preserve">Volumstrom </t>
    </r>
    <r>
      <rPr>
        <sz val="8"/>
        <color theme="1"/>
        <rFont val="Calibri"/>
        <family val="2"/>
        <scheme val="minor"/>
      </rPr>
      <t>Luft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Ty22</t>
    </r>
  </si>
  <si>
    <t>Massenstrom Luft TY22</t>
  </si>
  <si>
    <t>Kg/s</t>
  </si>
  <si>
    <t>T Luft Aus.</t>
  </si>
  <si>
    <t>t-motor f2004 1700kv</t>
  </si>
  <si>
    <t>Prop</t>
  </si>
  <si>
    <t>Bezeichnung</t>
  </si>
  <si>
    <t>Eingangsdaten</t>
  </si>
  <si>
    <t>Rotor_Durchmesser</t>
  </si>
  <si>
    <t>A_Prop</t>
  </si>
  <si>
    <t>Herstellerangabe</t>
  </si>
  <si>
    <t>P_el bei F_N</t>
  </si>
  <si>
    <t>rho_luft</t>
  </si>
  <si>
    <t>Konstante</t>
  </si>
  <si>
    <t xml:space="preserve">F_N </t>
  </si>
  <si>
    <t>kg*m/s^2</t>
  </si>
  <si>
    <t>v</t>
  </si>
  <si>
    <t>km/h</t>
  </si>
  <si>
    <t>m`</t>
  </si>
  <si>
    <t>kg/s</t>
  </si>
  <si>
    <t>m^3/h</t>
  </si>
  <si>
    <t>p_dyn</t>
  </si>
  <si>
    <t>Eta</t>
  </si>
  <si>
    <t>optimal für Emrax 208</t>
  </si>
  <si>
    <t>4 zoll</t>
  </si>
  <si>
    <t>P_El</t>
  </si>
  <si>
    <t xml:space="preserve">v_aus </t>
  </si>
  <si>
    <t>V`</t>
  </si>
  <si>
    <t>A_austritt</t>
  </si>
  <si>
    <t>P_Luft</t>
  </si>
  <si>
    <t>[-]</t>
  </si>
  <si>
    <t>GF4023</t>
  </si>
  <si>
    <t>t-motor f2203,5 2850kv</t>
  </si>
  <si>
    <t>t-motor f1408 2800kv</t>
  </si>
  <si>
    <t>GF4042-3</t>
  </si>
  <si>
    <t>3214jh4</t>
  </si>
  <si>
    <t>Version 1</t>
  </si>
  <si>
    <t>Version 2</t>
  </si>
  <si>
    <t>Version 3</t>
  </si>
  <si>
    <t>F_Schub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</si>
</sst>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5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4" xfId="0" applyBorder="1" applyAlignment="1">
      <alignment horizontal="left"/>
    </xf>
    <xf numFmtId="164" fontId="0" fillId="0" borderId="5" xfId="0" applyNumberFormat="1" applyBorder="1"/>
    <xf numFmtId="164" fontId="1" fillId="2" borderId="5" xfId="1" applyNumberFormat="1" applyBorder="1"/>
    <xf numFmtId="0" fontId="0" fillId="0" borderId="6" xfId="0" applyBorder="1" applyAlignment="1">
      <alignment horizontal="left"/>
    </xf>
    <xf numFmtId="164" fontId="0" fillId="0" borderId="8" xfId="0" applyNumberFormat="1" applyBorder="1"/>
    <xf numFmtId="164" fontId="0" fillId="0" borderId="23" xfId="0" applyNumberFormat="1" applyBorder="1"/>
    <xf numFmtId="164" fontId="1" fillId="2" borderId="23" xfId="1" applyNumberFormat="1" applyBorder="1"/>
    <xf numFmtId="164" fontId="0" fillId="0" borderId="24" xfId="0" applyNumberFormat="1" applyBorder="1"/>
    <xf numFmtId="0" fontId="0" fillId="0" borderId="25" xfId="0" applyBorder="1" applyAlignment="1">
      <alignment horizontal="left"/>
    </xf>
    <xf numFmtId="0" fontId="0" fillId="0" borderId="15" xfId="0" applyBorder="1"/>
    <xf numFmtId="0" fontId="0" fillId="0" borderId="27" xfId="0" applyBorder="1"/>
    <xf numFmtId="0" fontId="0" fillId="0" borderId="2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9" xfId="0" applyBorder="1"/>
    <xf numFmtId="0" fontId="0" fillId="0" borderId="19" xfId="0" applyBorder="1"/>
    <xf numFmtId="0" fontId="0" fillId="0" borderId="30" xfId="0" applyBorder="1"/>
    <xf numFmtId="0" fontId="0" fillId="0" borderId="31" xfId="0" applyBorder="1"/>
    <xf numFmtId="164" fontId="0" fillId="0" borderId="10" xfId="0" applyNumberFormat="1" applyBorder="1"/>
    <xf numFmtId="164" fontId="1" fillId="2" borderId="10" xfId="1" applyNumberFormat="1" applyBorder="1"/>
    <xf numFmtId="164" fontId="0" fillId="0" borderId="11" xfId="0" applyNumberFormat="1" applyBorder="1"/>
    <xf numFmtId="0" fontId="0" fillId="0" borderId="32" xfId="0" applyBorder="1"/>
    <xf numFmtId="164" fontId="0" fillId="0" borderId="13" xfId="0" applyNumberFormat="1" applyBorder="1"/>
    <xf numFmtId="164" fontId="1" fillId="2" borderId="13" xfId="1" applyNumberFormat="1" applyBorder="1"/>
    <xf numFmtId="164" fontId="0" fillId="0" borderId="14" xfId="0" applyNumberFormat="1" applyBorder="1"/>
    <xf numFmtId="164" fontId="1" fillId="2" borderId="0" xfId="1" applyNumberFormat="1" applyBorder="1"/>
    <xf numFmtId="164" fontId="0" fillId="0" borderId="7" xfId="0" applyNumberFormat="1" applyBorder="1"/>
    <xf numFmtId="0" fontId="0" fillId="4" borderId="32" xfId="0" applyFill="1" applyBorder="1"/>
    <xf numFmtId="0" fontId="0" fillId="5" borderId="32" xfId="0" applyFill="1" applyBorder="1"/>
    <xf numFmtId="0" fontId="4" fillId="5" borderId="32" xfId="0" applyFont="1" applyFill="1" applyBorder="1"/>
    <xf numFmtId="0" fontId="0" fillId="4" borderId="17" xfId="0" applyFill="1" applyBorder="1"/>
    <xf numFmtId="0" fontId="0" fillId="0" borderId="34" xfId="0" applyBorder="1"/>
    <xf numFmtId="0" fontId="0" fillId="0" borderId="35" xfId="0" applyBorder="1"/>
    <xf numFmtId="0" fontId="0" fillId="4" borderId="35" xfId="0" applyFill="1" applyBorder="1"/>
    <xf numFmtId="0" fontId="0" fillId="0" borderId="25" xfId="0" applyBorder="1"/>
    <xf numFmtId="0" fontId="1" fillId="2" borderId="4" xfId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7" xfId="0" applyBorder="1"/>
    <xf numFmtId="0" fontId="2" fillId="3" borderId="7" xfId="2" applyBorder="1" applyAlignment="1">
      <alignment vertical="center" wrapText="1"/>
    </xf>
    <xf numFmtId="0" fontId="0" fillId="0" borderId="33" xfId="0" applyBorder="1"/>
    <xf numFmtId="0" fontId="0" fillId="0" borderId="24" xfId="0" applyBorder="1"/>
    <xf numFmtId="0" fontId="0" fillId="0" borderId="6" xfId="0" applyBorder="1"/>
    <xf numFmtId="0" fontId="0" fillId="0" borderId="39" xfId="0" applyBorder="1" applyAlignment="1">
      <alignment horizontal="center" vertical="center"/>
    </xf>
    <xf numFmtId="164" fontId="0" fillId="0" borderId="0" xfId="0" applyNumberFormat="1"/>
    <xf numFmtId="164" fontId="1" fillId="0" borderId="0" xfId="1" applyNumberFormat="1" applyFill="1" applyBorder="1"/>
    <xf numFmtId="0" fontId="0" fillId="0" borderId="0" xfId="0" applyAlignment="1">
      <alignment vertic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8" xfId="0" applyBorder="1" applyAlignment="1">
      <alignment wrapText="1"/>
    </xf>
    <xf numFmtId="0" fontId="0" fillId="0" borderId="3" xfId="0" applyBorder="1" applyAlignment="1">
      <alignment vertical="center" wrapText="1"/>
    </xf>
    <xf numFmtId="2" fontId="0" fillId="0" borderId="0" xfId="0" applyNumberFormat="1"/>
    <xf numFmtId="2" fontId="4" fillId="0" borderId="0" xfId="0" applyNumberFormat="1" applyFont="1"/>
    <xf numFmtId="0" fontId="0" fillId="7" borderId="0" xfId="0" applyFill="1"/>
    <xf numFmtId="0" fontId="0" fillId="0" borderId="1" xfId="0" applyBorder="1"/>
    <xf numFmtId="0" fontId="0" fillId="8" borderId="2" xfId="0" applyFill="1" applyBorder="1"/>
    <xf numFmtId="0" fontId="0" fillId="8" borderId="0" xfId="0" applyFill="1"/>
    <xf numFmtId="0" fontId="0" fillId="9" borderId="0" xfId="0" applyFill="1"/>
    <xf numFmtId="0" fontId="7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165" fontId="0" fillId="8" borderId="0" xfId="0" applyNumberFormat="1" applyFill="1"/>
    <xf numFmtId="2" fontId="0" fillId="10" borderId="0" xfId="0" applyNumberFormat="1" applyFill="1"/>
    <xf numFmtId="2" fontId="0" fillId="8" borderId="0" xfId="0" applyNumberFormat="1" applyFill="1"/>
    <xf numFmtId="0" fontId="4" fillId="0" borderId="5" xfId="0" applyFont="1" applyBorder="1"/>
    <xf numFmtId="166" fontId="0" fillId="9" borderId="0" xfId="0" applyNumberFormat="1" applyFill="1"/>
    <xf numFmtId="0" fontId="0" fillId="9" borderId="0" xfId="0" applyFill="1" applyAlignment="1">
      <alignment wrapText="1"/>
    </xf>
    <xf numFmtId="0" fontId="0" fillId="8" borderId="7" xfId="0" applyFill="1" applyBorder="1"/>
    <xf numFmtId="0" fontId="7" fillId="0" borderId="1" xfId="0" applyFont="1" applyBorder="1"/>
    <xf numFmtId="2" fontId="0" fillId="9" borderId="2" xfId="0" applyNumberFormat="1" applyFill="1" applyBorder="1"/>
    <xf numFmtId="1" fontId="0" fillId="9" borderId="0" xfId="0" applyNumberFormat="1" applyFill="1"/>
    <xf numFmtId="0" fontId="7" fillId="0" borderId="4" xfId="0" applyFont="1" applyBorder="1" applyAlignment="1">
      <alignment wrapText="1"/>
    </xf>
    <xf numFmtId="11" fontId="0" fillId="9" borderId="0" xfId="0" applyNumberFormat="1" applyFill="1"/>
    <xf numFmtId="2" fontId="0" fillId="9" borderId="0" xfId="0" applyNumberFormat="1" applyFill="1"/>
    <xf numFmtId="0" fontId="0" fillId="10" borderId="4" xfId="0" applyFill="1" applyBorder="1"/>
    <xf numFmtId="0" fontId="0" fillId="8" borderId="4" xfId="0" applyFill="1" applyBorder="1"/>
    <xf numFmtId="0" fontId="0" fillId="9" borderId="4" xfId="0" applyFill="1" applyBorder="1"/>
    <xf numFmtId="2" fontId="0" fillId="10" borderId="0" xfId="3" applyNumberFormat="1" applyFont="1" applyFill="1" applyBorder="1"/>
    <xf numFmtId="2" fontId="0" fillId="10" borderId="7" xfId="0" applyNumberFormat="1" applyFill="1" applyBorder="1"/>
    <xf numFmtId="0" fontId="0" fillId="0" borderId="9" xfId="0" applyBorder="1" applyAlignment="1">
      <alignment horizontal="center" wrapText="1"/>
    </xf>
    <xf numFmtId="0" fontId="0" fillId="0" borderId="41" xfId="0" applyBorder="1"/>
    <xf numFmtId="0" fontId="0" fillId="8" borderId="13" xfId="0" applyFill="1" applyBorder="1"/>
    <xf numFmtId="0" fontId="0" fillId="0" borderId="42" xfId="0" applyBorder="1"/>
    <xf numFmtId="0" fontId="0" fillId="0" borderId="10" xfId="0" applyBorder="1" applyAlignment="1">
      <alignment horizontal="left" vertical="center"/>
    </xf>
    <xf numFmtId="1" fontId="0" fillId="11" borderId="13" xfId="0" applyNumberFormat="1" applyFill="1" applyBorder="1"/>
    <xf numFmtId="0" fontId="0" fillId="11" borderId="13" xfId="0" applyFill="1" applyBorder="1"/>
    <xf numFmtId="2" fontId="0" fillId="10" borderId="13" xfId="0" applyNumberFormat="1" applyFill="1" applyBorder="1"/>
    <xf numFmtId="2" fontId="0" fillId="0" borderId="42" xfId="0" applyNumberFormat="1" applyBorder="1"/>
    <xf numFmtId="0" fontId="0" fillId="10" borderId="13" xfId="0" applyFill="1" applyBorder="1"/>
    <xf numFmtId="9" fontId="0" fillId="10" borderId="14" xfId="3" applyFont="1" applyFill="1" applyBorder="1"/>
    <xf numFmtId="0" fontId="0" fillId="0" borderId="43" xfId="0" applyBorder="1"/>
    <xf numFmtId="0" fontId="0" fillId="0" borderId="10" xfId="0" applyBorder="1" applyAlignment="1">
      <alignment vertical="center"/>
    </xf>
    <xf numFmtId="9" fontId="0" fillId="0" borderId="0" xfId="3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0" xfId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4" xfId="0" applyFont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164" fontId="0" fillId="11" borderId="13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 applyAlignment="1">
      <alignment vertical="center"/>
    </xf>
    <xf numFmtId="9" fontId="0" fillId="0" borderId="0" xfId="3" applyFont="1" applyFill="1" applyBorder="1"/>
    <xf numFmtId="0" fontId="6" fillId="6" borderId="7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/>
    </xf>
    <xf numFmtId="0" fontId="1" fillId="0" borderId="0" xfId="1" applyFill="1" applyBorder="1" applyAlignment="1">
      <alignment horizontal="left"/>
    </xf>
  </cellXfs>
  <cellStyles count="4">
    <cellStyle name="Gut" xfId="1" builtinId="26"/>
    <cellStyle name="Neutral" xfId="2" builtinId="28"/>
    <cellStyle name="Prozent" xfId="3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Systemkennlinie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4355245824157"/>
          <c:y val="0.12921589688506985"/>
          <c:w val="0.78274480113062783"/>
          <c:h val="0.70822303227134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Systemberechnung!$E$4</c:f>
              <c:strCache>
                <c:ptCount val="1"/>
                <c:pt idx="0">
                  <c:v>Kühler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Systemberechnung!$B$5:$B$14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Systemberechnung!$E$5:$E$14</c:f>
              <c:numCache>
                <c:formatCode>0.000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0.09</c:v>
                </c:pt>
                <c:pt idx="4">
                  <c:v>0.13</c:v>
                </c:pt>
                <c:pt idx="5">
                  <c:v>0.19</c:v>
                </c:pt>
                <c:pt idx="6">
                  <c:v>0.26</c:v>
                </c:pt>
                <c:pt idx="7">
                  <c:v>0.39</c:v>
                </c:pt>
                <c:pt idx="8">
                  <c:v>0.55000000000000004</c:v>
                </c:pt>
                <c:pt idx="9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E-4C61-B692-7DEA1AE1128D}"/>
            </c:ext>
          </c:extLst>
        </c:ser>
        <c:ser>
          <c:idx val="1"/>
          <c:order val="1"/>
          <c:tx>
            <c:strRef>
              <c:f>Systemberechnung!$F$4</c:f>
              <c:strCache>
                <c:ptCount val="1"/>
                <c:pt idx="0">
                  <c:v>EMRAX 208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Systemberechnung!$B$5:$B$14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Systemberechnung!$F$5:$F$14</c:f>
              <c:numCache>
                <c:formatCode>0.000</c:formatCode>
                <c:ptCount val="10"/>
                <c:pt idx="0">
                  <c:v>0</c:v>
                </c:pt>
                <c:pt idx="1">
                  <c:v>4.8979591836734691E-2</c:v>
                </c:pt>
                <c:pt idx="2">
                  <c:v>0.11020408163265305</c:v>
                </c:pt>
                <c:pt idx="3">
                  <c:v>0.19591836734693877</c:v>
                </c:pt>
                <c:pt idx="4">
                  <c:v>0.30612244897959184</c:v>
                </c:pt>
                <c:pt idx="5">
                  <c:v>0.4408163265306122</c:v>
                </c:pt>
                <c:pt idx="6">
                  <c:v>0.6</c:v>
                </c:pt>
                <c:pt idx="7">
                  <c:v>0.78367346938775506</c:v>
                </c:pt>
                <c:pt idx="8">
                  <c:v>0.99183673469387768</c:v>
                </c:pt>
                <c:pt idx="9">
                  <c:v>1.2244897959183674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CE-4C61-B692-7DEA1AE1128D}"/>
            </c:ext>
          </c:extLst>
        </c:ser>
        <c:ser>
          <c:idx val="2"/>
          <c:order val="2"/>
          <c:tx>
            <c:strRef>
              <c:f>Systemberechnung!$G$4</c:f>
              <c:strCache>
                <c:ptCount val="1"/>
                <c:pt idx="0">
                  <c:v>DTI500LC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Systemberechnung!$B$5:$B$14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Systemberechnung!$G$5:$G$14</c:f>
              <c:numCache>
                <c:formatCode>0.000</c:formatCode>
                <c:ptCount val="1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1.5E-3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4.7000000000000002E-3</c:v>
                </c:pt>
                <c:pt idx="9">
                  <c:v>5.4999999999999997E-3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CE-4C61-B692-7DEA1AE1128D}"/>
            </c:ext>
          </c:extLst>
        </c:ser>
        <c:ser>
          <c:idx val="3"/>
          <c:order val="3"/>
          <c:tx>
            <c:strRef>
              <c:f>Systemberechnung!$I$4</c:f>
              <c:strCache>
                <c:ptCount val="1"/>
                <c:pt idx="0">
                  <c:v>Gesamt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Systemberechnung!$B$5:$B$14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Systemberechnung!$I$5:$I$14</c:f>
              <c:numCache>
                <c:formatCode>0.000</c:formatCode>
                <c:ptCount val="10"/>
                <c:pt idx="0">
                  <c:v>0</c:v>
                </c:pt>
                <c:pt idx="1">
                  <c:v>9.9733215190786789E-2</c:v>
                </c:pt>
                <c:pt idx="2">
                  <c:v>0.18652473417927029</c:v>
                </c:pt>
                <c:pt idx="3">
                  <c:v>0.28793286076314717</c:v>
                </c:pt>
                <c:pt idx="4">
                  <c:v>0.43920759494241746</c:v>
                </c:pt>
                <c:pt idx="5">
                  <c:v>0.63509893671708106</c:v>
                </c:pt>
                <c:pt idx="6">
                  <c:v>0.86610688608713826</c:v>
                </c:pt>
                <c:pt idx="7">
                  <c:v>1.1817314430525887</c:v>
                </c:pt>
                <c:pt idx="8">
                  <c:v>1.5516726076134326</c:v>
                </c:pt>
                <c:pt idx="9">
                  <c:v>1.9563303797696698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CE-4C61-B692-7DEA1AE1128D}"/>
            </c:ext>
          </c:extLst>
        </c:ser>
        <c:ser>
          <c:idx val="4"/>
          <c:order val="4"/>
          <c:tx>
            <c:strRef>
              <c:f>Systemberechnung!$C$4</c:f>
              <c:strCache>
                <c:ptCount val="1"/>
                <c:pt idx="0">
                  <c:v>EPB40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Systemberechnung!$B$5:$B$14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Systemberechnung!$C$5:$C$14</c:f>
              <c:numCache>
                <c:formatCode>0.000</c:formatCode>
                <c:ptCount val="10"/>
                <c:pt idx="0">
                  <c:v>0.83756210400000008</c:v>
                </c:pt>
                <c:pt idx="1">
                  <c:v>0.82734793200000012</c:v>
                </c:pt>
                <c:pt idx="2">
                  <c:v>0.81713376000000015</c:v>
                </c:pt>
                <c:pt idx="3">
                  <c:v>0.796705416</c:v>
                </c:pt>
                <c:pt idx="5">
                  <c:v>0.74563455600000006</c:v>
                </c:pt>
                <c:pt idx="7">
                  <c:v>0.67413535200000008</c:v>
                </c:pt>
                <c:pt idx="9">
                  <c:v>0.58220780400000005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F5-4211-963F-FCBBD377B3E3}"/>
            </c:ext>
          </c:extLst>
        </c:ser>
        <c:ser>
          <c:idx val="5"/>
          <c:order val="5"/>
          <c:tx>
            <c:strRef>
              <c:f>Systemberechnung!$D$4</c:f>
              <c:strCache>
                <c:ptCount val="1"/>
                <c:pt idx="0">
                  <c:v>PCE Bosch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Systemberechnung!$B$5:$B$14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Systemberechnung!$D$5:$D$14</c:f>
              <c:numCache>
                <c:formatCode>0.000</c:formatCode>
                <c:ptCount val="10"/>
                <c:pt idx="3">
                  <c:v>0.77</c:v>
                </c:pt>
                <c:pt idx="5">
                  <c:v>0.75</c:v>
                </c:pt>
                <c:pt idx="7">
                  <c:v>0.72499999999999998</c:v>
                </c:pt>
                <c:pt idx="9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F5-4211-963F-FCBBD377B3E3}"/>
            </c:ext>
          </c:extLst>
        </c:ser>
        <c:ser>
          <c:idx val="6"/>
          <c:order val="6"/>
          <c:tx>
            <c:strRef>
              <c:f>Systemberechnung!$H$4</c:f>
              <c:strCache>
                <c:ptCount val="1"/>
                <c:pt idx="0">
                  <c:v>Leitungen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Systemberechnung!$B$5:$B$14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Systemberechnung!$H$5:$H$14</c:f>
              <c:numCache>
                <c:formatCode>0.000</c:formatCode>
                <c:ptCount val="10"/>
                <c:pt idx="0">
                  <c:v>0</c:v>
                </c:pt>
                <c:pt idx="1">
                  <c:v>2.5362335405210146E-4</c:v>
                </c:pt>
                <c:pt idx="2">
                  <c:v>5.7065254661722831E-4</c:v>
                </c:pt>
                <c:pt idx="3">
                  <c:v>1.0144934162084058E-3</c:v>
                </c:pt>
                <c:pt idx="4">
                  <c:v>1.5851459628256337E-3</c:v>
                </c:pt>
                <c:pt idx="5">
                  <c:v>2.2826101864689132E-3</c:v>
                </c:pt>
                <c:pt idx="6">
                  <c:v>3.106886087138242E-3</c:v>
                </c:pt>
                <c:pt idx="7">
                  <c:v>4.0579736648336234E-3</c:v>
                </c:pt>
                <c:pt idx="8">
                  <c:v>5.1358729195550533E-3</c:v>
                </c:pt>
                <c:pt idx="9">
                  <c:v>6.3405838513025349E-3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11-44B8-8991-168C6705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4344"/>
        <c:axId val="554372376"/>
      </c:scatterChart>
      <c:valAx>
        <c:axId val="55437434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Volumenstrom in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2376"/>
        <c:crosses val="autoZero"/>
        <c:crossBetween val="midCat"/>
        <c:majorUnit val="0.5"/>
        <c:minorUnit val="0.1"/>
      </c:valAx>
      <c:valAx>
        <c:axId val="554372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Druckverlust in [bar]</a:t>
                </a:r>
              </a:p>
            </c:rich>
          </c:tx>
          <c:layout>
            <c:manualLayout>
              <c:xMode val="edge"/>
              <c:yMode val="edge"/>
              <c:x val="2.8455986270946896E-2"/>
              <c:y val="0.35146676432887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4344"/>
        <c:crosses val="autoZero"/>
        <c:crossBetween val="midCat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27</xdr:row>
      <xdr:rowOff>22860</xdr:rowOff>
    </xdr:from>
    <xdr:to>
      <xdr:col>3</xdr:col>
      <xdr:colOff>2354580</xdr:colOff>
      <xdr:row>33</xdr:row>
      <xdr:rowOff>160020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88D65125-460E-420C-134E-D95A760EA032}"/>
            </a:ext>
          </a:extLst>
        </xdr:cNvPr>
        <xdr:cNvSpPr txBox="1"/>
      </xdr:nvSpPr>
      <xdr:spPr>
        <a:xfrm>
          <a:off x="1684020" y="6522720"/>
          <a:ext cx="3459480" cy="1234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Berechnung</a:t>
          </a:r>
          <a:r>
            <a:rPr lang="de-DE" sz="1100" baseline="0"/>
            <a:t> über Ähnlichkeitstheorie. Erst wärmestrom vom Verbrenner bestimmen, dann Koeffizient aus Wärmestrom und eingansparametern bilden (Tin Luft und wasser und Kühlerfläche) dann mit neuen eingangsparametern neue kühlerfläche bestimmen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84814</xdr:colOff>
      <xdr:row>20</xdr:row>
      <xdr:rowOff>94836</xdr:rowOff>
    </xdr:from>
    <xdr:to>
      <xdr:col>3</xdr:col>
      <xdr:colOff>566779</xdr:colOff>
      <xdr:row>24</xdr:row>
      <xdr:rowOff>132936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A4857C5-CCA5-4DA8-B419-F27917F84923}"/>
            </a:ext>
          </a:extLst>
        </xdr:cNvPr>
        <xdr:cNvSpPr txBox="1"/>
      </xdr:nvSpPr>
      <xdr:spPr>
        <a:xfrm>
          <a:off x="84814" y="3606662"/>
          <a:ext cx="2842508" cy="76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Berechnung über volumenstrom und impulserhaltung</a:t>
          </a:r>
          <a:r>
            <a:rPr lang="de-DE"/>
            <a:t> 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de-DE"/>
            <a:t> 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F_Schub</a:t>
          </a:r>
          <a:r>
            <a:rPr lang="de-DE"/>
            <a:t> 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m`*v;</a:t>
          </a:r>
          <a:r>
            <a:rPr lang="de-DE"/>
            <a:t> 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m`=V`*rho;</a:t>
          </a:r>
          <a:r>
            <a:rPr lang="de-DE"/>
            <a:t> 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V`=v*a</a:t>
          </a:r>
          <a:r>
            <a:rPr lang="de-DE"/>
            <a:t> </a:t>
          </a:r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111722</xdr:colOff>
      <xdr:row>12</xdr:row>
      <xdr:rowOff>112619</xdr:rowOff>
    </xdr:from>
    <xdr:to>
      <xdr:col>22</xdr:col>
      <xdr:colOff>168872</xdr:colOff>
      <xdr:row>32</xdr:row>
      <xdr:rowOff>164054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EFB500-00ED-42EC-AFEC-56BAA324A6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326315</xdr:colOff>
      <xdr:row>14</xdr:row>
      <xdr:rowOff>360381</xdr:rowOff>
    </xdr:from>
    <xdr:to>
      <xdr:col>18</xdr:col>
      <xdr:colOff>874955</xdr:colOff>
      <xdr:row>15</xdr:row>
      <xdr:rowOff>107576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253C7F5C-DB9E-49AB-9786-66168F396594}"/>
            </a:ext>
          </a:extLst>
        </xdr:cNvPr>
        <xdr:cNvSpPr txBox="1"/>
      </xdr:nvSpPr>
      <xdr:spPr>
        <a:xfrm>
          <a:off x="11003280" y="2924287"/>
          <a:ext cx="5039957" cy="276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Betriebspunkt des Systems = Schnittpunkt Gesamt und jeweilige Pumpe</a:t>
          </a:r>
        </a:p>
        <a:p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116988</xdr:colOff>
      <xdr:row>13</xdr:row>
      <xdr:rowOff>10757</xdr:rowOff>
    </xdr:from>
    <xdr:to>
      <xdr:col>12</xdr:col>
      <xdr:colOff>256</xdr:colOff>
      <xdr:row>20</xdr:row>
      <xdr:rowOff>88467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C8EAEC6-F881-47E5-BC6B-2C1CA8065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1168" y="2205317"/>
          <a:ext cx="4741018" cy="1365490"/>
        </a:xfrm>
        <a:prstGeom prst="rect">
          <a:avLst/>
        </a:prstGeom>
      </xdr:spPr>
    </xdr:pic>
    <xdr:clientData/>
  </xdr:twoCellAnchor>
  <xdr:twoCellAnchor editAs="oneCell">
    <xdr:from>
      <xdr:col>4</xdr:col>
      <xdr:colOff>240702</xdr:colOff>
      <xdr:row>21</xdr:row>
      <xdr:rowOff>13000</xdr:rowOff>
    </xdr:from>
    <xdr:to>
      <xdr:col>13</xdr:col>
      <xdr:colOff>134246</xdr:colOff>
      <xdr:row>42</xdr:row>
      <xdr:rowOff>153410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D017384-FB48-48ED-952D-053E7F98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8020" y="3823000"/>
          <a:ext cx="5379944" cy="3932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350520</xdr:colOff>
      <xdr:row>2</xdr:row>
      <xdr:rowOff>167640</xdr:rowOff>
    </xdr:from>
    <xdr:to>
      <xdr:col>9</xdr:col>
      <xdr:colOff>487680</xdr:colOff>
      <xdr:row>4</xdr:row>
      <xdr:rowOff>160020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C581ACB-5589-4FE2-BB60-1D5BAD625010}"/>
            </a:ext>
          </a:extLst>
        </xdr:cNvPr>
        <xdr:cNvSpPr txBox="1"/>
      </xdr:nvSpPr>
      <xdr:spPr>
        <a:xfrm>
          <a:off x="7734300" y="358140"/>
          <a:ext cx="257556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Beispielrechnung</a:t>
          </a:r>
          <a:r>
            <a:rPr lang="de-DE" sz="1100" baseline="0"/>
            <a:t> für einen Betriebspunkt</a:t>
          </a:r>
        </a:p>
        <a:p>
          <a:endParaRPr lang="de-DE" sz="1100"/>
        </a:p>
      </xdr:txBody>
    </xdr:sp>
    <xdr:clientData/>
  </xdr:twoCellAnchor>
  <xdr:twoCellAnchor editAs="oneCell">
    <xdr:from>
      <xdr:col>4</xdr:col>
      <xdr:colOff>466164</xdr:colOff>
      <xdr:row>7</xdr:row>
      <xdr:rowOff>80684</xdr:rowOff>
    </xdr:from>
    <xdr:to>
      <xdr:col>16</xdr:col>
      <xdr:colOff>564775</xdr:colOff>
      <xdr:row>12</xdr:row>
      <xdr:rowOff>29244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EE67CC0-2AC6-5FC7-0A42-2B60DF940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482" y="1174378"/>
          <a:ext cx="7413811" cy="853996"/>
        </a:xfrm>
        <a:prstGeom prst="rect">
          <a:avLst/>
        </a:prstGeom>
      </xdr:spPr>
    </xdr:pic>
    <xdr:clientData/>
  </xdr:twoCellAnchor>
  <xdr:twoCellAnchor>
    <xdr:from>
      <xdr:col>5</xdr:col>
      <xdr:colOff>134470</xdr:colOff>
      <xdr:row>44</xdr:row>
      <xdr:rowOff>71718</xdr:rowOff>
    </xdr:from>
    <xdr:to>
      <xdr:col>9</xdr:col>
      <xdr:colOff>277906</xdr:colOff>
      <xdr:row>47</xdr:row>
      <xdr:rowOff>152401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78C36AE-8B6C-FEA0-2212-8AEBD76DCAE2}"/>
            </a:ext>
          </a:extLst>
        </xdr:cNvPr>
        <xdr:cNvSpPr txBox="1"/>
      </xdr:nvSpPr>
      <xdr:spPr>
        <a:xfrm>
          <a:off x="7521388" y="8032377"/>
          <a:ext cx="2581836" cy="627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Berechnung der Rohrverluste im</a:t>
          </a:r>
          <a:r>
            <a:rPr lang="de-DE" sz="1100" baseline="0"/>
            <a:t> Beispiel um formel zu testen etc.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2</xdr:row>
      <xdr:rowOff>106680</xdr:rowOff>
    </xdr:from>
    <xdr:to>
      <xdr:col>14</xdr:col>
      <xdr:colOff>60960</xdr:colOff>
      <xdr:row>7</xdr:row>
      <xdr:rowOff>45720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4E49AC0-6A67-2CDA-A5D0-95CB6E040FA1}"/>
            </a:ext>
          </a:extLst>
        </xdr:cNvPr>
        <xdr:cNvSpPr txBox="1"/>
      </xdr:nvSpPr>
      <xdr:spPr>
        <a:xfrm>
          <a:off x="7856220" y="472440"/>
          <a:ext cx="2811780" cy="853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Berechnung der Verluste für verschiedene Strömungsgeschwindiggkeiten --&gt;</a:t>
          </a:r>
          <a:r>
            <a:rPr lang="de-DE" sz="1100" baseline="0"/>
            <a:t> Systemkennlinie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E77D-AF7B-4459-9CDD-2E7461846E8E}">
  <dimension ref="A1:H26"/>
  <sheetViews>
    <sheetView tabSelected="1" workbookViewId="0">
      <selection activeCell="F29" sqref="F29"/>
    </sheetView>
  </sheetViews>
  <sheetFormatPr baseColWidth="10" defaultRowHeight="14.4" x14ac:dyDescent="0.3"/>
  <cols>
    <col min="1" max="1" width="24.44140625" bestFit="1" customWidth="1"/>
    <col min="2" max="2" width="8.44140625" bestFit="1" customWidth="1"/>
    <col min="3" max="3" width="8.109375" bestFit="1" customWidth="1"/>
    <col min="4" max="4" width="36.109375" customWidth="1"/>
    <col min="5" max="5" width="28.109375" bestFit="1" customWidth="1"/>
    <col min="6" max="6" width="8.44140625" bestFit="1" customWidth="1"/>
    <col min="7" max="7" width="7.21875" bestFit="1" customWidth="1"/>
    <col min="8" max="8" width="39.109375" bestFit="1" customWidth="1"/>
  </cols>
  <sheetData>
    <row r="1" spans="1:8" ht="15" thickBot="1" x14ac:dyDescent="0.35">
      <c r="A1" s="88" t="s">
        <v>140</v>
      </c>
      <c r="B1" s="88" t="s">
        <v>46</v>
      </c>
      <c r="C1" s="88" t="s">
        <v>10</v>
      </c>
      <c r="D1" s="88" t="s">
        <v>141</v>
      </c>
      <c r="E1" s="88" t="s">
        <v>142</v>
      </c>
      <c r="F1" s="88" t="s">
        <v>46</v>
      </c>
      <c r="G1" s="88" t="s">
        <v>10</v>
      </c>
      <c r="H1" s="88" t="s">
        <v>141</v>
      </c>
    </row>
    <row r="2" spans="1:8" ht="15" thickBot="1" x14ac:dyDescent="0.35">
      <c r="A2" s="133" t="s">
        <v>143</v>
      </c>
      <c r="B2" s="134"/>
      <c r="C2" s="134"/>
      <c r="D2" s="134"/>
      <c r="E2" s="134"/>
      <c r="F2" s="134"/>
      <c r="G2" s="134"/>
      <c r="H2" s="135"/>
    </row>
    <row r="3" spans="1:8" ht="18" x14ac:dyDescent="0.35">
      <c r="A3" s="89" t="s">
        <v>144</v>
      </c>
      <c r="B3" s="71">
        <v>718</v>
      </c>
      <c r="C3" s="71" t="s">
        <v>145</v>
      </c>
      <c r="D3" s="8" t="s">
        <v>146</v>
      </c>
      <c r="E3" s="89" t="s">
        <v>147</v>
      </c>
      <c r="F3" s="71">
        <v>997</v>
      </c>
      <c r="G3" s="71" t="s">
        <v>148</v>
      </c>
      <c r="H3" s="8" t="s">
        <v>146</v>
      </c>
    </row>
    <row r="4" spans="1:8" ht="18.600000000000001" thickBot="1" x14ac:dyDescent="0.4">
      <c r="A4" s="76" t="s">
        <v>149</v>
      </c>
      <c r="B4" s="72">
        <v>4190</v>
      </c>
      <c r="C4" s="72" t="s">
        <v>145</v>
      </c>
      <c r="D4" s="10" t="s">
        <v>146</v>
      </c>
      <c r="E4" s="76" t="s">
        <v>150</v>
      </c>
      <c r="F4" s="72">
        <v>1.2</v>
      </c>
      <c r="G4" s="72" t="s">
        <v>55</v>
      </c>
      <c r="H4" s="10" t="s">
        <v>146</v>
      </c>
    </row>
    <row r="5" spans="1:8" ht="15" thickBot="1" x14ac:dyDescent="0.35">
      <c r="A5" s="127" t="s">
        <v>151</v>
      </c>
      <c r="B5" s="128"/>
      <c r="C5" s="128"/>
      <c r="D5" s="128"/>
      <c r="E5" s="136"/>
      <c r="F5" s="136"/>
      <c r="G5" s="136"/>
      <c r="H5" s="137"/>
    </row>
    <row r="6" spans="1:8" ht="18" x14ac:dyDescent="0.35">
      <c r="A6" s="89" t="s">
        <v>152</v>
      </c>
      <c r="B6" s="90">
        <v>73.16</v>
      </c>
      <c r="C6" s="71" t="s">
        <v>153</v>
      </c>
      <c r="D6" s="8" t="s">
        <v>154</v>
      </c>
      <c r="E6" s="89" t="s">
        <v>152</v>
      </c>
      <c r="F6" s="90">
        <v>60</v>
      </c>
      <c r="G6" s="71" t="s">
        <v>153</v>
      </c>
      <c r="H6" s="8" t="s">
        <v>155</v>
      </c>
    </row>
    <row r="7" spans="1:8" ht="18" x14ac:dyDescent="0.35">
      <c r="A7" s="65" t="s">
        <v>156</v>
      </c>
      <c r="B7" s="91">
        <v>70.37</v>
      </c>
      <c r="C7" t="s">
        <v>153</v>
      </c>
      <c r="D7" s="9" t="s">
        <v>154</v>
      </c>
      <c r="E7" s="65" t="s">
        <v>157</v>
      </c>
      <c r="F7" s="91">
        <v>30</v>
      </c>
      <c r="G7" t="s">
        <v>153</v>
      </c>
      <c r="H7" s="9" t="s">
        <v>155</v>
      </c>
    </row>
    <row r="8" spans="1:8" ht="18" x14ac:dyDescent="0.3">
      <c r="A8" s="65" t="s">
        <v>158</v>
      </c>
      <c r="B8" s="92">
        <f>B7-B6</f>
        <v>-2.789999999999992</v>
      </c>
      <c r="C8" t="s">
        <v>153</v>
      </c>
      <c r="D8" s="9"/>
      <c r="E8" s="93" t="s">
        <v>159</v>
      </c>
      <c r="F8" s="91">
        <v>12.9</v>
      </c>
      <c r="G8" t="s">
        <v>11</v>
      </c>
      <c r="H8" s="94" t="s">
        <v>160</v>
      </c>
    </row>
    <row r="9" spans="1:8" ht="18" x14ac:dyDescent="0.35">
      <c r="A9" s="65" t="s">
        <v>157</v>
      </c>
      <c r="B9" s="91">
        <v>30</v>
      </c>
      <c r="C9" t="s">
        <v>153</v>
      </c>
      <c r="D9" s="9" t="s">
        <v>155</v>
      </c>
      <c r="E9" s="131" t="s">
        <v>161</v>
      </c>
      <c r="F9" s="95">
        <f>F8/60000</f>
        <v>2.1499999999999999E-4</v>
      </c>
      <c r="G9" t="s">
        <v>162</v>
      </c>
      <c r="H9" s="94"/>
    </row>
    <row r="10" spans="1:8" ht="18" x14ac:dyDescent="0.35">
      <c r="A10" s="65" t="s">
        <v>163</v>
      </c>
      <c r="B10" s="96">
        <f>(B9+273.15+(B17/(B16*F4*B3)))-273.15</f>
        <v>42.171584075618</v>
      </c>
      <c r="C10" t="s">
        <v>153</v>
      </c>
      <c r="D10" s="9"/>
      <c r="E10" s="131"/>
      <c r="F10" s="92">
        <v>23.6</v>
      </c>
      <c r="G10" t="s">
        <v>53</v>
      </c>
      <c r="H10" s="9" t="s">
        <v>164</v>
      </c>
    </row>
    <row r="11" spans="1:8" x14ac:dyDescent="0.3">
      <c r="A11" s="138" t="s">
        <v>165</v>
      </c>
      <c r="B11" s="97">
        <v>36.263999999999996</v>
      </c>
      <c r="C11" t="s">
        <v>11</v>
      </c>
      <c r="D11" s="139" t="s">
        <v>166</v>
      </c>
      <c r="E11" s="131" t="s">
        <v>167</v>
      </c>
      <c r="F11" s="91">
        <v>5364</v>
      </c>
      <c r="G11" t="s">
        <v>14</v>
      </c>
      <c r="H11" s="98" t="s">
        <v>168</v>
      </c>
    </row>
    <row r="12" spans="1:8" x14ac:dyDescent="0.3">
      <c r="A12" s="138"/>
      <c r="B12" s="99">
        <f>B11/60000</f>
        <v>6.0439999999999995E-4</v>
      </c>
      <c r="C12" t="s">
        <v>162</v>
      </c>
      <c r="D12" s="139"/>
      <c r="E12" s="131"/>
      <c r="F12" s="100">
        <f>B4*F9*F3*(F6-F17)</f>
        <v>5363.9999999999845</v>
      </c>
      <c r="G12" t="s">
        <v>14</v>
      </c>
      <c r="H12" s="9" t="s">
        <v>169</v>
      </c>
    </row>
    <row r="13" spans="1:8" ht="18" x14ac:dyDescent="0.35">
      <c r="A13" s="65" t="s">
        <v>170</v>
      </c>
      <c r="B13" s="91">
        <f>0.0495*2</f>
        <v>9.9000000000000005E-2</v>
      </c>
      <c r="C13" t="s">
        <v>171</v>
      </c>
      <c r="D13" s="9"/>
      <c r="E13" s="65"/>
      <c r="H13" s="9"/>
    </row>
    <row r="14" spans="1:8" ht="18.600000000000001" thickBot="1" x14ac:dyDescent="0.4">
      <c r="A14" s="76" t="s">
        <v>161</v>
      </c>
      <c r="B14" s="101">
        <v>13.57</v>
      </c>
      <c r="C14" s="72" t="s">
        <v>53</v>
      </c>
      <c r="D14" s="10" t="s">
        <v>172</v>
      </c>
      <c r="E14" s="76"/>
      <c r="F14" s="72"/>
      <c r="G14" s="72"/>
      <c r="H14" s="10"/>
    </row>
    <row r="15" spans="1:8" ht="15" thickBot="1" x14ac:dyDescent="0.35">
      <c r="A15" s="127" t="s">
        <v>173</v>
      </c>
      <c r="B15" s="128"/>
      <c r="C15" s="128"/>
      <c r="D15" s="128"/>
      <c r="E15" s="128"/>
      <c r="F15" s="128"/>
      <c r="G15" s="128"/>
      <c r="H15" s="129"/>
    </row>
    <row r="16" spans="1:8" ht="18" x14ac:dyDescent="0.35">
      <c r="A16" s="102" t="s">
        <v>174</v>
      </c>
      <c r="B16" s="103">
        <f>B14*B13</f>
        <v>1.3434300000000001</v>
      </c>
      <c r="C16" s="71" t="s">
        <v>162</v>
      </c>
      <c r="D16" s="8"/>
      <c r="E16" s="130" t="s">
        <v>156</v>
      </c>
      <c r="F16" s="103">
        <f>(F6+273.15)-(F11/(B4*(F9*F3)))</f>
        <v>327.17770669782561</v>
      </c>
      <c r="G16" s="71" t="s">
        <v>175</v>
      </c>
      <c r="H16" s="8"/>
    </row>
    <row r="17" spans="1:8" ht="18" x14ac:dyDescent="0.35">
      <c r="A17" s="65" t="s">
        <v>176</v>
      </c>
      <c r="B17" s="104">
        <f>(B4*B12*F3*(B6-B7))*2</f>
        <v>14088.599901359959</v>
      </c>
      <c r="C17" t="s">
        <v>14</v>
      </c>
      <c r="D17" s="9"/>
      <c r="E17" s="131"/>
      <c r="F17" s="96">
        <f>SUM(F16-273.15)</f>
        <v>54.027706697825636</v>
      </c>
      <c r="G17" t="s">
        <v>153</v>
      </c>
      <c r="H17" s="9"/>
    </row>
    <row r="18" spans="1:8" ht="18" x14ac:dyDescent="0.35">
      <c r="A18" s="105" t="s">
        <v>177</v>
      </c>
      <c r="B18" s="106">
        <f>B13/(B17*(B6-B9))</f>
        <v>1.6281181684925115E-7</v>
      </c>
      <c r="C18" t="s">
        <v>178</v>
      </c>
      <c r="D18" s="9"/>
      <c r="E18" s="65" t="s">
        <v>179</v>
      </c>
      <c r="F18" s="96">
        <f>F17-F6</f>
        <v>-5.9722933021743643</v>
      </c>
      <c r="G18" t="s">
        <v>153</v>
      </c>
      <c r="H18" s="9"/>
    </row>
    <row r="19" spans="1:8" x14ac:dyDescent="0.3">
      <c r="A19" s="65"/>
      <c r="D19" s="9"/>
      <c r="E19" s="131" t="s">
        <v>180</v>
      </c>
      <c r="F19" s="107">
        <f>B18*F11*(F6-F7)</f>
        <v>2.6199677567381497E-2</v>
      </c>
      <c r="G19" t="s">
        <v>171</v>
      </c>
      <c r="H19" s="9"/>
    </row>
    <row r="20" spans="1:8" x14ac:dyDescent="0.3">
      <c r="A20" s="108" t="s">
        <v>181</v>
      </c>
      <c r="D20" s="9"/>
      <c r="E20" s="131"/>
      <c r="F20" s="96">
        <f>F19*10^6</f>
        <v>26199.677567381495</v>
      </c>
      <c r="G20" t="s">
        <v>78</v>
      </c>
      <c r="H20" s="9"/>
    </row>
    <row r="21" spans="1:8" x14ac:dyDescent="0.3">
      <c r="A21" s="109" t="s">
        <v>182</v>
      </c>
      <c r="D21" s="9"/>
      <c r="E21" s="65" t="s">
        <v>183</v>
      </c>
      <c r="F21" s="96">
        <f>SQRT(F20/2)</f>
        <v>114.45452714371218</v>
      </c>
      <c r="G21" t="s">
        <v>50</v>
      </c>
      <c r="H21" s="9" t="s">
        <v>184</v>
      </c>
    </row>
    <row r="22" spans="1:8" x14ac:dyDescent="0.3">
      <c r="A22" s="110" t="s">
        <v>185</v>
      </c>
      <c r="D22" s="9"/>
      <c r="E22" s="65" t="s">
        <v>186</v>
      </c>
      <c r="F22" s="111">
        <f>(F19/B13)*100</f>
        <v>26.464320775132823</v>
      </c>
      <c r="G22" t="s">
        <v>187</v>
      </c>
      <c r="H22" s="9"/>
    </row>
    <row r="23" spans="1:8" ht="18" x14ac:dyDescent="0.35">
      <c r="A23" s="65"/>
      <c r="D23" s="9"/>
      <c r="E23" s="65" t="s">
        <v>188</v>
      </c>
      <c r="F23" s="107">
        <f>F19*F10</f>
        <v>0.61831239059020338</v>
      </c>
      <c r="G23" t="s">
        <v>162</v>
      </c>
      <c r="H23" s="9"/>
    </row>
    <row r="24" spans="1:8" x14ac:dyDescent="0.3">
      <c r="A24" s="65"/>
      <c r="D24" s="9"/>
      <c r="E24" s="65" t="s">
        <v>189</v>
      </c>
      <c r="F24" s="107">
        <f>SUM(F23*F4)</f>
        <v>0.74197486870824403</v>
      </c>
      <c r="G24" t="s">
        <v>190</v>
      </c>
      <c r="H24" s="9"/>
    </row>
    <row r="25" spans="1:8" x14ac:dyDescent="0.3">
      <c r="A25" s="65"/>
      <c r="D25" s="9"/>
      <c r="E25" s="131" t="s">
        <v>191</v>
      </c>
      <c r="F25" s="107">
        <f>SUM(F7+273.15+(F11/(718*F24)))</f>
        <v>313.21874006682037</v>
      </c>
      <c r="G25" t="s">
        <v>175</v>
      </c>
      <c r="H25" s="9"/>
    </row>
    <row r="26" spans="1:8" ht="15" thickBot="1" x14ac:dyDescent="0.35">
      <c r="A26" s="76"/>
      <c r="B26" s="72"/>
      <c r="C26" s="72"/>
      <c r="D26" s="10"/>
      <c r="E26" s="132"/>
      <c r="F26" s="112">
        <f>SUM(F25-273.15)</f>
        <v>40.068740066820396</v>
      </c>
      <c r="G26" s="72" t="s">
        <v>153</v>
      </c>
      <c r="H26" s="10"/>
    </row>
  </sheetData>
  <mergeCells count="10">
    <mergeCell ref="A15:H15"/>
    <mergeCell ref="E16:E17"/>
    <mergeCell ref="E19:E20"/>
    <mergeCell ref="E25:E26"/>
    <mergeCell ref="A2:H2"/>
    <mergeCell ref="A5:H5"/>
    <mergeCell ref="E9:E10"/>
    <mergeCell ref="A11:A12"/>
    <mergeCell ref="D11:D12"/>
    <mergeCell ref="E11:E1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4919-C10F-47E3-AE4F-23C04BB00F84}">
  <dimension ref="A1:S35"/>
  <sheetViews>
    <sheetView topLeftCell="A3" zoomScale="115" zoomScaleNormal="115" workbookViewId="0">
      <selection activeCell="C15" sqref="C15"/>
    </sheetView>
  </sheetViews>
  <sheetFormatPr baseColWidth="10" defaultRowHeight="14.4" x14ac:dyDescent="0.3"/>
  <sheetData>
    <row r="1" spans="1:19" ht="15" thickBot="1" x14ac:dyDescent="0.35">
      <c r="A1" s="175" t="s">
        <v>224</v>
      </c>
      <c r="B1" s="175"/>
      <c r="C1" s="175"/>
      <c r="D1" s="175"/>
      <c r="F1" s="175" t="s">
        <v>225</v>
      </c>
      <c r="G1" s="175"/>
      <c r="H1" s="175"/>
      <c r="I1" s="175"/>
      <c r="K1" s="175" t="s">
        <v>226</v>
      </c>
      <c r="L1" s="175"/>
      <c r="M1" s="175"/>
      <c r="N1" s="175"/>
    </row>
    <row r="2" spans="1:19" x14ac:dyDescent="0.3">
      <c r="A2" s="89" t="s">
        <v>22</v>
      </c>
      <c r="B2" s="140" t="s">
        <v>192</v>
      </c>
      <c r="C2" s="140"/>
      <c r="D2" s="141"/>
      <c r="F2" s="89" t="s">
        <v>22</v>
      </c>
      <c r="G2" s="140" t="s">
        <v>220</v>
      </c>
      <c r="H2" s="140"/>
      <c r="I2" s="141"/>
      <c r="K2" s="89" t="s">
        <v>22</v>
      </c>
      <c r="L2" s="140" t="s">
        <v>221</v>
      </c>
      <c r="M2" s="140"/>
      <c r="N2" s="141"/>
      <c r="P2" s="164"/>
      <c r="Q2" s="165"/>
      <c r="R2" s="165"/>
      <c r="S2" s="165"/>
    </row>
    <row r="3" spans="1:19" ht="15" thickBot="1" x14ac:dyDescent="0.35">
      <c r="A3" s="76" t="s">
        <v>193</v>
      </c>
      <c r="B3" s="128" t="s">
        <v>219</v>
      </c>
      <c r="C3" s="128"/>
      <c r="D3" s="129"/>
      <c r="F3" s="76" t="s">
        <v>193</v>
      </c>
      <c r="G3" s="128" t="s">
        <v>219</v>
      </c>
      <c r="H3" s="128"/>
      <c r="I3" s="129"/>
      <c r="K3" s="76" t="s">
        <v>193</v>
      </c>
      <c r="L3" s="128" t="s">
        <v>222</v>
      </c>
      <c r="M3" s="128"/>
      <c r="N3" s="129"/>
      <c r="P3" s="164"/>
      <c r="Q3" s="165"/>
      <c r="R3" s="165"/>
      <c r="S3" s="165"/>
    </row>
    <row r="4" spans="1:19" ht="15" thickBot="1" x14ac:dyDescent="0.35">
      <c r="A4" s="113" t="s">
        <v>194</v>
      </c>
      <c r="B4" s="5" t="s">
        <v>46</v>
      </c>
      <c r="C4" s="5" t="s">
        <v>10</v>
      </c>
      <c r="D4" s="114" t="s">
        <v>141</v>
      </c>
      <c r="F4" s="113" t="s">
        <v>194</v>
      </c>
      <c r="G4" s="5" t="s">
        <v>46</v>
      </c>
      <c r="H4" s="5" t="s">
        <v>10</v>
      </c>
      <c r="I4" s="114" t="s">
        <v>141</v>
      </c>
      <c r="K4" s="113" t="s">
        <v>194</v>
      </c>
      <c r="L4" s="5" t="s">
        <v>46</v>
      </c>
      <c r="M4" s="5" t="s">
        <v>10</v>
      </c>
      <c r="N4" s="114" t="s">
        <v>141</v>
      </c>
      <c r="P4" s="166"/>
      <c r="Q4" s="167"/>
      <c r="R4" s="167"/>
      <c r="S4" s="167"/>
    </row>
    <row r="5" spans="1:19" ht="15" thickBot="1" x14ac:dyDescent="0.35">
      <c r="A5" s="142" t="s">
        <v>195</v>
      </c>
      <c r="B5" s="143"/>
      <c r="C5" s="143"/>
      <c r="D5" s="144"/>
      <c r="F5" s="142" t="s">
        <v>195</v>
      </c>
      <c r="G5" s="143"/>
      <c r="H5" s="143"/>
      <c r="I5" s="144"/>
      <c r="K5" s="142" t="s">
        <v>195</v>
      </c>
      <c r="L5" s="143"/>
      <c r="M5" s="143"/>
      <c r="N5" s="144"/>
      <c r="P5" s="168"/>
      <c r="Q5" s="168"/>
      <c r="R5" s="168"/>
      <c r="S5" s="168"/>
    </row>
    <row r="6" spans="1:19" x14ac:dyDescent="0.3">
      <c r="A6" s="3" t="s">
        <v>196</v>
      </c>
      <c r="B6" s="115">
        <v>101.6</v>
      </c>
      <c r="C6" s="6" t="s">
        <v>50</v>
      </c>
      <c r="D6" s="116" t="s">
        <v>212</v>
      </c>
      <c r="F6" s="3" t="s">
        <v>196</v>
      </c>
      <c r="G6" s="115">
        <v>101.6</v>
      </c>
      <c r="H6" s="6" t="s">
        <v>50</v>
      </c>
      <c r="I6" s="116" t="s">
        <v>212</v>
      </c>
      <c r="K6" s="3" t="s">
        <v>196</v>
      </c>
      <c r="L6" s="115">
        <v>101.6</v>
      </c>
      <c r="M6" s="6" t="s">
        <v>50</v>
      </c>
      <c r="N6" s="116" t="s">
        <v>212</v>
      </c>
      <c r="P6" s="167"/>
      <c r="Q6" s="167"/>
      <c r="R6" s="167"/>
      <c r="S6" s="167"/>
    </row>
    <row r="7" spans="1:19" x14ac:dyDescent="0.3">
      <c r="A7" s="117" t="s">
        <v>197</v>
      </c>
      <c r="B7" s="118">
        <f>PI()*(B6/2)^2</f>
        <v>8107.3196655599631</v>
      </c>
      <c r="C7" s="6" t="s">
        <v>78</v>
      </c>
      <c r="D7" s="116"/>
      <c r="F7" s="117" t="s">
        <v>197</v>
      </c>
      <c r="G7" s="118">
        <f>PI()*(G6/2)^2</f>
        <v>8107.3196655599631</v>
      </c>
      <c r="H7" s="6" t="s">
        <v>78</v>
      </c>
      <c r="I7" s="116"/>
      <c r="K7" s="117" t="s">
        <v>197</v>
      </c>
      <c r="L7" s="118">
        <f>PI()*(L6/2)^2</f>
        <v>8107.3196655599631</v>
      </c>
      <c r="M7" s="6" t="s">
        <v>78</v>
      </c>
      <c r="N7" s="116"/>
      <c r="P7" s="169"/>
      <c r="Q7" s="170"/>
      <c r="R7" s="167"/>
      <c r="S7" s="167"/>
    </row>
    <row r="8" spans="1:19" x14ac:dyDescent="0.3">
      <c r="A8" s="117"/>
      <c r="B8" s="119">
        <f>B7*10^-6</f>
        <v>8.107319665559963E-3</v>
      </c>
      <c r="C8" s="6" t="s">
        <v>171</v>
      </c>
      <c r="D8" s="116"/>
      <c r="F8" s="117"/>
      <c r="G8" s="119">
        <f>G7*10^-6</f>
        <v>8.107319665559963E-3</v>
      </c>
      <c r="H8" s="6" t="s">
        <v>171</v>
      </c>
      <c r="I8" s="116"/>
      <c r="K8" s="117"/>
      <c r="L8" s="119">
        <f>L7*10^-6</f>
        <v>8.107319665559963E-3</v>
      </c>
      <c r="M8" s="6" t="s">
        <v>171</v>
      </c>
      <c r="N8" s="116"/>
      <c r="P8" s="169"/>
      <c r="Q8" s="167"/>
      <c r="R8" s="167"/>
      <c r="S8" s="167"/>
    </row>
    <row r="9" spans="1:19" x14ac:dyDescent="0.3">
      <c r="A9" s="3" t="s">
        <v>227</v>
      </c>
      <c r="B9" s="115">
        <v>650</v>
      </c>
      <c r="C9" s="6" t="s">
        <v>15</v>
      </c>
      <c r="D9" s="116" t="s">
        <v>198</v>
      </c>
      <c r="F9" s="3" t="s">
        <v>227</v>
      </c>
      <c r="G9" s="115">
        <v>669.85</v>
      </c>
      <c r="H9" s="6" t="s">
        <v>15</v>
      </c>
      <c r="I9" s="116" t="s">
        <v>198</v>
      </c>
      <c r="K9" s="3" t="s">
        <v>227</v>
      </c>
      <c r="L9" s="115">
        <v>625.53</v>
      </c>
      <c r="M9" s="6" t="s">
        <v>15</v>
      </c>
      <c r="N9" s="116" t="s">
        <v>198</v>
      </c>
      <c r="P9" s="167"/>
      <c r="Q9" s="167"/>
      <c r="R9" s="167"/>
      <c r="S9" s="167"/>
    </row>
    <row r="10" spans="1:19" x14ac:dyDescent="0.3">
      <c r="A10" s="3" t="s">
        <v>199</v>
      </c>
      <c r="B10" s="115">
        <v>286</v>
      </c>
      <c r="C10" s="6" t="s">
        <v>14</v>
      </c>
      <c r="D10" s="116" t="s">
        <v>198</v>
      </c>
      <c r="F10" s="3" t="s">
        <v>199</v>
      </c>
      <c r="G10" s="115">
        <v>248.45</v>
      </c>
      <c r="H10" s="6" t="s">
        <v>14</v>
      </c>
      <c r="I10" s="116" t="s">
        <v>198</v>
      </c>
      <c r="K10" s="3" t="s">
        <v>199</v>
      </c>
      <c r="L10" s="115">
        <v>271.05799999999999</v>
      </c>
      <c r="M10" s="6" t="s">
        <v>14</v>
      </c>
      <c r="N10" s="116" t="s">
        <v>198</v>
      </c>
      <c r="P10" s="167"/>
      <c r="Q10" s="167"/>
      <c r="R10" s="167"/>
      <c r="S10" s="167"/>
    </row>
    <row r="11" spans="1:19" x14ac:dyDescent="0.3">
      <c r="A11" s="3" t="s">
        <v>200</v>
      </c>
      <c r="B11" s="119">
        <v>1.2250000000000001</v>
      </c>
      <c r="C11" s="6" t="s">
        <v>148</v>
      </c>
      <c r="D11" s="116" t="s">
        <v>201</v>
      </c>
      <c r="F11" s="3" t="s">
        <v>200</v>
      </c>
      <c r="G11" s="119">
        <v>1.2250000000000001</v>
      </c>
      <c r="H11" s="6" t="s">
        <v>148</v>
      </c>
      <c r="I11" s="116" t="s">
        <v>201</v>
      </c>
      <c r="K11" s="3" t="s">
        <v>200</v>
      </c>
      <c r="L11" s="119">
        <v>1.2250000000000001</v>
      </c>
      <c r="M11" s="6" t="s">
        <v>148</v>
      </c>
      <c r="N11" s="116" t="s">
        <v>201</v>
      </c>
      <c r="P11" s="167"/>
      <c r="Q11" s="167"/>
      <c r="R11" s="167"/>
      <c r="S11" s="167"/>
    </row>
    <row r="12" spans="1:19" ht="15" thickBot="1" x14ac:dyDescent="0.35">
      <c r="A12" s="3" t="s">
        <v>202</v>
      </c>
      <c r="B12" s="119">
        <f>(B9/1000)*9.81</f>
        <v>6.3765000000000009</v>
      </c>
      <c r="C12" s="6" t="s">
        <v>203</v>
      </c>
      <c r="D12" s="116"/>
      <c r="F12" s="3" t="s">
        <v>202</v>
      </c>
      <c r="G12" s="119">
        <f>(G9/1000)*9.81</f>
        <v>6.571228500000001</v>
      </c>
      <c r="H12" s="6" t="s">
        <v>203</v>
      </c>
      <c r="I12" s="116"/>
      <c r="K12" s="3" t="s">
        <v>202</v>
      </c>
      <c r="L12" s="119">
        <f>(L9/1000)*9.81</f>
        <v>6.1364492999999998</v>
      </c>
      <c r="M12" s="6" t="s">
        <v>203</v>
      </c>
      <c r="N12" s="116"/>
      <c r="P12" s="167"/>
      <c r="Q12" s="167"/>
      <c r="R12" s="167"/>
      <c r="S12" s="167"/>
    </row>
    <row r="13" spans="1:19" ht="15" thickBot="1" x14ac:dyDescent="0.35">
      <c r="A13" s="133" t="s">
        <v>173</v>
      </c>
      <c r="B13" s="134"/>
      <c r="C13" s="134"/>
      <c r="D13" s="135"/>
      <c r="F13" s="133" t="s">
        <v>173</v>
      </c>
      <c r="G13" s="134"/>
      <c r="H13" s="134"/>
      <c r="I13" s="135"/>
      <c r="K13" s="133" t="s">
        <v>173</v>
      </c>
      <c r="L13" s="134"/>
      <c r="M13" s="134"/>
      <c r="N13" s="135"/>
      <c r="P13" s="171"/>
      <c r="Q13" s="171"/>
      <c r="R13" s="171"/>
      <c r="S13" s="171"/>
    </row>
    <row r="14" spans="1:19" x14ac:dyDescent="0.3">
      <c r="A14" s="117" t="s">
        <v>204</v>
      </c>
      <c r="B14" s="163">
        <f>SQRT(B12/(B8*B11))</f>
        <v>25.338709297504295</v>
      </c>
      <c r="C14" s="6" t="s">
        <v>53</v>
      </c>
      <c r="D14" s="116"/>
      <c r="F14" s="117" t="s">
        <v>204</v>
      </c>
      <c r="G14" s="119">
        <f>SQRT(G12/(G8*G11))</f>
        <v>25.722702304808461</v>
      </c>
      <c r="H14" s="6" t="s">
        <v>53</v>
      </c>
      <c r="I14" s="116"/>
      <c r="K14" s="117" t="s">
        <v>204</v>
      </c>
      <c r="L14" s="119">
        <f>SQRT(L12/(L8*L11))</f>
        <v>24.857181430655523</v>
      </c>
      <c r="M14" s="6" t="s">
        <v>53</v>
      </c>
      <c r="N14" s="116"/>
      <c r="P14" s="169"/>
      <c r="Q14" s="167"/>
      <c r="R14" s="167"/>
      <c r="S14" s="167"/>
    </row>
    <row r="15" spans="1:19" x14ac:dyDescent="0.3">
      <c r="A15" s="117"/>
      <c r="B15" s="120">
        <f>B14*3.6</f>
        <v>91.219353471015467</v>
      </c>
      <c r="C15" s="6" t="s">
        <v>205</v>
      </c>
      <c r="D15" s="121"/>
      <c r="F15" s="117"/>
      <c r="G15" s="120">
        <f>G14*3.6</f>
        <v>92.601728297310459</v>
      </c>
      <c r="H15" s="6" t="s">
        <v>205</v>
      </c>
      <c r="I15" s="121"/>
      <c r="K15" s="117"/>
      <c r="L15" s="120">
        <f>L14*3.6</f>
        <v>89.485853150359887</v>
      </c>
      <c r="M15" s="6" t="s">
        <v>205</v>
      </c>
      <c r="N15" s="121"/>
      <c r="P15" s="169"/>
      <c r="Q15" s="172"/>
      <c r="R15" s="167"/>
      <c r="S15" s="172"/>
    </row>
    <row r="16" spans="1:19" x14ac:dyDescent="0.3">
      <c r="A16" s="125" t="s">
        <v>206</v>
      </c>
      <c r="B16" s="122">
        <f>B12/B14</f>
        <v>0.25165054482976551</v>
      </c>
      <c r="C16" s="6" t="s">
        <v>207</v>
      </c>
      <c r="D16" s="116"/>
      <c r="F16" s="125" t="s">
        <v>206</v>
      </c>
      <c r="G16" s="122">
        <f>G12/G14</f>
        <v>0.25546415855271987</v>
      </c>
      <c r="H16" s="6" t="s">
        <v>207</v>
      </c>
      <c r="I16" s="116"/>
      <c r="K16" s="125" t="s">
        <v>206</v>
      </c>
      <c r="L16" s="122">
        <f>L12/L14</f>
        <v>0.24686826690785321</v>
      </c>
      <c r="M16" s="6" t="s">
        <v>207</v>
      </c>
      <c r="N16" s="116"/>
      <c r="P16" s="173"/>
      <c r="Q16" s="167"/>
      <c r="R16" s="167"/>
      <c r="S16" s="167"/>
    </row>
    <row r="17" spans="1:19" x14ac:dyDescent="0.3">
      <c r="A17" s="125" t="s">
        <v>215</v>
      </c>
      <c r="B17" s="120">
        <f>B16/B11</f>
        <v>0.20542901618756368</v>
      </c>
      <c r="C17" s="6" t="s">
        <v>208</v>
      </c>
      <c r="D17" s="121"/>
      <c r="F17" s="125" t="s">
        <v>215</v>
      </c>
      <c r="G17" s="120">
        <f>G16/G11</f>
        <v>0.20854217024711824</v>
      </c>
      <c r="H17" s="6" t="s">
        <v>208</v>
      </c>
      <c r="I17" s="121"/>
      <c r="K17" s="125" t="s">
        <v>215</v>
      </c>
      <c r="L17" s="120">
        <f>L16/L11</f>
        <v>0.20152511584314547</v>
      </c>
      <c r="M17" s="6" t="s">
        <v>208</v>
      </c>
      <c r="N17" s="121"/>
      <c r="P17" s="173"/>
      <c r="Q17" s="172"/>
      <c r="R17" s="167"/>
      <c r="S17" s="172"/>
    </row>
    <row r="18" spans="1:19" x14ac:dyDescent="0.3">
      <c r="A18" s="3" t="s">
        <v>209</v>
      </c>
      <c r="B18" s="119">
        <f>0.5*B11*B14^2</f>
        <v>393.25574067885123</v>
      </c>
      <c r="C18" s="6" t="s">
        <v>89</v>
      </c>
      <c r="D18" s="121"/>
      <c r="F18" s="3" t="s">
        <v>209</v>
      </c>
      <c r="G18" s="119">
        <f>0.5*G11*G14^2</f>
        <v>405.26516599035165</v>
      </c>
      <c r="H18" s="6" t="s">
        <v>89</v>
      </c>
      <c r="I18" s="121"/>
      <c r="K18" s="3" t="s">
        <v>209</v>
      </c>
      <c r="L18" s="119">
        <f>0.5*L11*L14^2</f>
        <v>378.45117456437202</v>
      </c>
      <c r="M18" s="6" t="s">
        <v>89</v>
      </c>
      <c r="N18" s="121"/>
      <c r="P18" s="167"/>
      <c r="Q18" s="167"/>
      <c r="R18" s="167"/>
      <c r="S18" s="172"/>
    </row>
    <row r="19" spans="1:19" x14ac:dyDescent="0.3">
      <c r="A19" s="3" t="s">
        <v>217</v>
      </c>
      <c r="B19" s="119">
        <f>(B16/2)*B14^2</f>
        <v>80.786139917768068</v>
      </c>
      <c r="C19" s="6" t="s">
        <v>14</v>
      </c>
      <c r="D19" s="116"/>
      <c r="F19" s="3" t="s">
        <v>217</v>
      </c>
      <c r="G19" s="119">
        <f>(G16/2)*G14^2</f>
        <v>84.514877241186539</v>
      </c>
      <c r="H19" s="6" t="s">
        <v>14</v>
      </c>
      <c r="I19" s="116"/>
      <c r="K19" s="3" t="s">
        <v>217</v>
      </c>
      <c r="L19" s="119">
        <f>(L16/2)*L14^2</f>
        <v>76.267416795059532</v>
      </c>
      <c r="M19" s="6" t="s">
        <v>14</v>
      </c>
      <c r="N19" s="116"/>
      <c r="P19" s="167"/>
      <c r="Q19" s="167"/>
      <c r="R19" s="167"/>
      <c r="S19" s="167"/>
    </row>
    <row r="20" spans="1:19" ht="15" thickBot="1" x14ac:dyDescent="0.35">
      <c r="A20" s="4" t="s">
        <v>210</v>
      </c>
      <c r="B20" s="123">
        <f>B19/B10</f>
        <v>0.28246902069149676</v>
      </c>
      <c r="C20" s="7"/>
      <c r="D20" s="124"/>
      <c r="F20" s="4" t="s">
        <v>210</v>
      </c>
      <c r="G20" s="123">
        <f>G19/G10</f>
        <v>0.34016855399954332</v>
      </c>
      <c r="H20" s="7"/>
      <c r="I20" s="124"/>
      <c r="K20" s="4" t="s">
        <v>210</v>
      </c>
      <c r="L20" s="123">
        <f>L19/L10</f>
        <v>0.2813693629963312</v>
      </c>
      <c r="M20" s="7"/>
      <c r="N20" s="124"/>
      <c r="P20" s="167"/>
      <c r="Q20" s="174"/>
      <c r="R20" s="167"/>
      <c r="S20" s="167"/>
    </row>
    <row r="21" spans="1:19" x14ac:dyDescent="0.3">
      <c r="P21" s="164"/>
      <c r="Q21" s="164"/>
      <c r="R21" s="164"/>
      <c r="S21" s="164"/>
    </row>
    <row r="26" spans="1:19" x14ac:dyDescent="0.3">
      <c r="A26" s="136" t="s">
        <v>216</v>
      </c>
      <c r="B26">
        <v>4173.5810000000001</v>
      </c>
      <c r="C26" t="s">
        <v>78</v>
      </c>
    </row>
    <row r="27" spans="1:19" x14ac:dyDescent="0.3">
      <c r="A27" s="136"/>
      <c r="B27">
        <f>B26*10^-6</f>
        <v>4.173581E-3</v>
      </c>
      <c r="C27" t="s">
        <v>171</v>
      </c>
    </row>
    <row r="28" spans="1:19" x14ac:dyDescent="0.3">
      <c r="A28" t="s">
        <v>154</v>
      </c>
      <c r="B28" t="s">
        <v>224</v>
      </c>
      <c r="C28" t="s">
        <v>223</v>
      </c>
    </row>
    <row r="29" spans="1:19" x14ac:dyDescent="0.3">
      <c r="A29" s="176" t="s">
        <v>214</v>
      </c>
      <c r="B29">
        <v>75</v>
      </c>
      <c r="C29">
        <v>73</v>
      </c>
      <c r="D29" t="s">
        <v>205</v>
      </c>
    </row>
    <row r="30" spans="1:19" x14ac:dyDescent="0.3">
      <c r="A30" s="176"/>
      <c r="B30">
        <f>B29/3.6</f>
        <v>20.833333333333332</v>
      </c>
      <c r="C30">
        <f>C29/3.6</f>
        <v>20.277777777777779</v>
      </c>
      <c r="D30" t="s">
        <v>53</v>
      </c>
    </row>
    <row r="31" spans="1:19" x14ac:dyDescent="0.3">
      <c r="A31" t="s">
        <v>215</v>
      </c>
      <c r="B31">
        <f>$B$27*B30</f>
        <v>8.6949604166666666E-2</v>
      </c>
      <c r="C31">
        <f>$B$27*C30</f>
        <v>8.4630948055555558E-2</v>
      </c>
      <c r="D31" t="s">
        <v>162</v>
      </c>
    </row>
    <row r="32" spans="1:19" x14ac:dyDescent="0.3">
      <c r="A32" t="s">
        <v>206</v>
      </c>
      <c r="B32">
        <f>B31*$B$11</f>
        <v>0.10651326510416667</v>
      </c>
      <c r="C32">
        <f>C31*$B$11</f>
        <v>0.10367291136805556</v>
      </c>
      <c r="D32" t="s">
        <v>207</v>
      </c>
    </row>
    <row r="33" spans="1:4" x14ac:dyDescent="0.3">
      <c r="A33" t="s">
        <v>217</v>
      </c>
      <c r="B33">
        <f>(B32/2)*B30^2</f>
        <v>23.114857878508388</v>
      </c>
      <c r="C33">
        <f>(C32/2)*C30^2</f>
        <v>21.314542618841362</v>
      </c>
      <c r="D33" t="s">
        <v>14</v>
      </c>
    </row>
    <row r="34" spans="1:4" x14ac:dyDescent="0.3">
      <c r="A34" t="s">
        <v>213</v>
      </c>
      <c r="B34">
        <v>195</v>
      </c>
      <c r="C34">
        <v>50</v>
      </c>
      <c r="D34" t="s">
        <v>14</v>
      </c>
    </row>
    <row r="35" spans="1:4" x14ac:dyDescent="0.3">
      <c r="A35" t="s">
        <v>210</v>
      </c>
      <c r="B35" s="126">
        <f>B33/B34</f>
        <v>0.11853773271029942</v>
      </c>
      <c r="C35" s="126">
        <f>C33/C34</f>
        <v>0.42629085237682723</v>
      </c>
      <c r="D35" t="s">
        <v>218</v>
      </c>
    </row>
  </sheetData>
  <mergeCells count="21">
    <mergeCell ref="A1:D1"/>
    <mergeCell ref="F1:I1"/>
    <mergeCell ref="K1:N1"/>
    <mergeCell ref="A26:A27"/>
    <mergeCell ref="A29:A30"/>
    <mergeCell ref="G2:I2"/>
    <mergeCell ref="G3:I3"/>
    <mergeCell ref="F5:I5"/>
    <mergeCell ref="F13:I13"/>
    <mergeCell ref="B2:D2"/>
    <mergeCell ref="B3:D3"/>
    <mergeCell ref="A5:D5"/>
    <mergeCell ref="A13:D13"/>
    <mergeCell ref="L2:N2"/>
    <mergeCell ref="L3:N3"/>
    <mergeCell ref="K5:N5"/>
    <mergeCell ref="K13:N13"/>
    <mergeCell ref="Q2:S2"/>
    <mergeCell ref="Q3:S3"/>
    <mergeCell ref="P5:S5"/>
    <mergeCell ref="P13:S1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opLeftCell="B1" zoomScaleNormal="100" workbookViewId="0">
      <selection activeCell="L16" sqref="L16"/>
    </sheetView>
  </sheetViews>
  <sheetFormatPr baseColWidth="10" defaultColWidth="11.44140625" defaultRowHeight="14.4" x14ac:dyDescent="0.3"/>
  <cols>
    <col min="1" max="1" width="21" style="1" bestFit="1" customWidth="1"/>
    <col min="2" max="2" width="13.21875" bestFit="1" customWidth="1"/>
    <col min="3" max="4" width="14.77734375" bestFit="1" customWidth="1"/>
    <col min="5" max="5" width="6.21875" bestFit="1" customWidth="1"/>
    <col min="6" max="6" width="12.109375" bestFit="1" customWidth="1"/>
    <col min="7" max="7" width="10.6640625" customWidth="1"/>
    <col min="8" max="8" width="9.21875" bestFit="1" customWidth="1"/>
    <col min="9" max="9" width="7.44140625" bestFit="1" customWidth="1"/>
    <col min="10" max="10" width="11.109375" bestFit="1" customWidth="1"/>
    <col min="11" max="11" width="8.77734375" bestFit="1" customWidth="1"/>
    <col min="12" max="12" width="8" bestFit="1" customWidth="1"/>
    <col min="13" max="13" width="8.21875" bestFit="1" customWidth="1"/>
    <col min="14" max="14" width="9.88671875" customWidth="1"/>
    <col min="15" max="15" width="20.77734375" bestFit="1" customWidth="1"/>
    <col min="16" max="16" width="21.6640625" bestFit="1" customWidth="1"/>
    <col min="19" max="19" width="14.5546875" customWidth="1"/>
  </cols>
  <sheetData>
    <row r="1" spans="1:19" ht="15" thickBot="1" x14ac:dyDescent="0.35"/>
    <row r="2" spans="1:19" ht="15" thickBot="1" x14ac:dyDescent="0.35">
      <c r="A2" s="25" t="s">
        <v>0</v>
      </c>
      <c r="B2" s="50" t="s">
        <v>1</v>
      </c>
      <c r="C2" s="26" t="s">
        <v>2</v>
      </c>
      <c r="D2" s="26" t="s">
        <v>2</v>
      </c>
      <c r="E2" s="148" t="s">
        <v>3</v>
      </c>
      <c r="F2" s="149"/>
      <c r="G2" s="149"/>
      <c r="H2" s="149"/>
      <c r="I2" s="150"/>
      <c r="J2" s="26" t="s">
        <v>4</v>
      </c>
      <c r="K2" s="26" t="s">
        <v>5</v>
      </c>
      <c r="L2" s="26" t="s">
        <v>6</v>
      </c>
      <c r="M2" s="27" t="s">
        <v>7</v>
      </c>
      <c r="O2" s="81" t="s">
        <v>130</v>
      </c>
      <c r="P2" s="82"/>
      <c r="Q2" s="83"/>
    </row>
    <row r="3" spans="1:19" x14ac:dyDescent="0.3">
      <c r="A3" s="28" t="s">
        <v>10</v>
      </c>
      <c r="B3" s="28" t="s">
        <v>11</v>
      </c>
      <c r="C3" s="31" t="s">
        <v>126</v>
      </c>
      <c r="D3" s="31" t="s">
        <v>126</v>
      </c>
      <c r="E3" s="151" t="s">
        <v>12</v>
      </c>
      <c r="F3" s="152"/>
      <c r="G3" s="152"/>
      <c r="H3" s="152"/>
      <c r="I3" s="153"/>
      <c r="J3" s="31" t="s">
        <v>13</v>
      </c>
      <c r="K3" s="31" t="s">
        <v>14</v>
      </c>
      <c r="L3" s="31" t="s">
        <v>14</v>
      </c>
      <c r="M3" s="32" t="s">
        <v>14</v>
      </c>
      <c r="O3" s="2" t="s">
        <v>8</v>
      </c>
      <c r="P3" s="5">
        <v>1041.2</v>
      </c>
      <c r="Q3" s="8" t="s">
        <v>9</v>
      </c>
    </row>
    <row r="4" spans="1:19" x14ac:dyDescent="0.3">
      <c r="A4" s="28" t="s">
        <v>17</v>
      </c>
      <c r="B4" s="28" t="s">
        <v>18</v>
      </c>
      <c r="C4" s="31" t="s">
        <v>19</v>
      </c>
      <c r="D4" s="31" t="s">
        <v>20</v>
      </c>
      <c r="E4" s="33" t="s">
        <v>21</v>
      </c>
      <c r="F4" s="37" t="s">
        <v>127</v>
      </c>
      <c r="G4" s="37" t="s">
        <v>128</v>
      </c>
      <c r="H4" s="30" t="s">
        <v>24</v>
      </c>
      <c r="I4" s="32" t="s">
        <v>25</v>
      </c>
      <c r="J4" s="29" t="s">
        <v>25</v>
      </c>
      <c r="K4" s="31" t="s">
        <v>25</v>
      </c>
      <c r="L4" s="31" t="s">
        <v>25</v>
      </c>
      <c r="M4" s="32" t="s">
        <v>25</v>
      </c>
      <c r="O4" s="3" t="s">
        <v>15</v>
      </c>
      <c r="P4" s="6">
        <v>9.81</v>
      </c>
      <c r="Q4" s="9" t="s">
        <v>16</v>
      </c>
    </row>
    <row r="5" spans="1:19" x14ac:dyDescent="0.3">
      <c r="A5" s="17"/>
      <c r="B5" s="17">
        <v>0</v>
      </c>
      <c r="C5" s="22">
        <f>8.2*($P$3*$P$4)*10^-5</f>
        <v>0.83756210400000008</v>
      </c>
      <c r="D5" s="22"/>
      <c r="E5" s="34">
        <f>$P$9*((B5/2)/$P$8)^2</f>
        <v>0</v>
      </c>
      <c r="F5" s="38">
        <f>$P$11*((B5/2)/$P$10)^2</f>
        <v>0</v>
      </c>
      <c r="G5" s="38">
        <v>0</v>
      </c>
      <c r="H5" s="78">
        <v>0</v>
      </c>
      <c r="I5" s="18">
        <f>SUM(E5:H5)</f>
        <v>0</v>
      </c>
      <c r="J5" s="22">
        <f t="shared" ref="J5:J14" si="0">I5*10^5/($P$3*$P$4)</f>
        <v>0</v>
      </c>
      <c r="K5" s="22">
        <f t="shared" ref="K5:K14" si="1">$P$3*$P$4*($B5/(1000*60))*$J5</f>
        <v>0</v>
      </c>
      <c r="L5" s="22">
        <f t="shared" ref="L5:L14" si="2">$K5/$P$5</f>
        <v>0</v>
      </c>
      <c r="M5" s="18">
        <f t="shared" ref="M5:M14" si="3">$L5/$P$6</f>
        <v>0</v>
      </c>
      <c r="O5" s="3" t="s">
        <v>26</v>
      </c>
      <c r="P5" s="6">
        <v>0.9</v>
      </c>
      <c r="Q5" s="9" t="s">
        <v>27</v>
      </c>
    </row>
    <row r="6" spans="1:19" ht="15" thickBot="1" x14ac:dyDescent="0.35">
      <c r="A6" s="17"/>
      <c r="B6" s="17">
        <v>4</v>
      </c>
      <c r="C6" s="22">
        <f>8.1*($P$3*$P$4)*10^-5</f>
        <v>0.82734793200000012</v>
      </c>
      <c r="D6" s="22"/>
      <c r="E6" s="34">
        <v>0.05</v>
      </c>
      <c r="F6" s="38">
        <f t="shared" ref="F6:F14" si="4">$P$11*((B6/2)/$P$10)^2</f>
        <v>4.8979591836734691E-2</v>
      </c>
      <c r="G6" s="38">
        <v>5.0000000000000001E-4</v>
      </c>
      <c r="H6" s="78">
        <f>'Druckverlust Daten'!B52</f>
        <v>2.5362335405210146E-4</v>
      </c>
      <c r="I6" s="18">
        <f t="shared" ref="I6:I14" si="5">SUM(E6:H6)</f>
        <v>9.9733215190786789E-2</v>
      </c>
      <c r="J6" s="22">
        <f t="shared" si="0"/>
        <v>0.97641997012373383</v>
      </c>
      <c r="K6" s="22">
        <f t="shared" si="1"/>
        <v>0.66488810127191189</v>
      </c>
      <c r="L6" s="22">
        <f t="shared" si="2"/>
        <v>0.73876455696879095</v>
      </c>
      <c r="M6" s="18">
        <f t="shared" si="3"/>
        <v>0.82084950774310106</v>
      </c>
      <c r="O6" s="3" t="s">
        <v>28</v>
      </c>
      <c r="P6" s="6">
        <v>0.9</v>
      </c>
      <c r="Q6" s="9" t="s">
        <v>27</v>
      </c>
    </row>
    <row r="7" spans="1:19" ht="15" thickBot="1" x14ac:dyDescent="0.35">
      <c r="A7" s="17"/>
      <c r="B7" s="17">
        <v>6</v>
      </c>
      <c r="C7" s="22">
        <f>8*($P$3*$P$4)*10^-5</f>
        <v>0.81713376000000015</v>
      </c>
      <c r="D7" s="22"/>
      <c r="E7" s="34">
        <v>7.4999999999999997E-2</v>
      </c>
      <c r="F7" s="38">
        <f t="shared" si="4"/>
        <v>0.11020408163265305</v>
      </c>
      <c r="G7" s="38">
        <v>7.5000000000000002E-4</v>
      </c>
      <c r="H7" s="78">
        <f>'Druckverlust Daten'!C52</f>
        <v>5.7065254661722831E-4</v>
      </c>
      <c r="I7" s="18">
        <f t="shared" si="5"/>
        <v>0.18652473417927029</v>
      </c>
      <c r="J7" s="22">
        <f t="shared" si="0"/>
        <v>1.8261366088144031</v>
      </c>
      <c r="K7" s="22">
        <f t="shared" si="1"/>
        <v>1.8652473417927031</v>
      </c>
      <c r="L7" s="22">
        <f t="shared" si="2"/>
        <v>2.0724970464363368</v>
      </c>
      <c r="M7" s="18">
        <f t="shared" si="3"/>
        <v>2.302774496040374</v>
      </c>
      <c r="O7" s="133" t="s">
        <v>129</v>
      </c>
      <c r="P7" s="134"/>
      <c r="Q7" s="134"/>
      <c r="R7" s="135"/>
    </row>
    <row r="8" spans="1:19" x14ac:dyDescent="0.3">
      <c r="A8" s="17"/>
      <c r="B8" s="17">
        <v>8</v>
      </c>
      <c r="C8" s="22">
        <f>7.8*($P$3*$P$4)*10^-5</f>
        <v>0.796705416</v>
      </c>
      <c r="D8" s="22">
        <v>0.77</v>
      </c>
      <c r="E8" s="34">
        <v>0.09</v>
      </c>
      <c r="F8" s="38">
        <f t="shared" si="4"/>
        <v>0.19591836734693877</v>
      </c>
      <c r="G8" s="38">
        <v>1E-3</v>
      </c>
      <c r="H8" s="78">
        <f>'Druckverlust Daten'!D52</f>
        <v>1.0144934162084058E-3</v>
      </c>
      <c r="I8" s="18">
        <f t="shared" si="5"/>
        <v>0.28793286076314717</v>
      </c>
      <c r="J8" s="22">
        <f t="shared" si="0"/>
        <v>2.8189544954123269</v>
      </c>
      <c r="K8" s="22">
        <f t="shared" si="1"/>
        <v>3.8391048101752956</v>
      </c>
      <c r="L8" s="22">
        <f t="shared" si="2"/>
        <v>4.2656720113058837</v>
      </c>
      <c r="M8" s="18">
        <f t="shared" si="3"/>
        <v>4.7396355681176487</v>
      </c>
      <c r="O8" s="2" t="s">
        <v>29</v>
      </c>
      <c r="P8" s="5">
        <v>9</v>
      </c>
      <c r="Q8" s="8" t="s">
        <v>11</v>
      </c>
      <c r="R8" s="145" t="s">
        <v>30</v>
      </c>
    </row>
    <row r="9" spans="1:19" x14ac:dyDescent="0.3">
      <c r="A9" s="17"/>
      <c r="B9" s="17">
        <v>10</v>
      </c>
      <c r="C9" s="22"/>
      <c r="D9" s="22"/>
      <c r="E9" s="34">
        <v>0.13</v>
      </c>
      <c r="F9" s="38">
        <f t="shared" si="4"/>
        <v>0.30612244897959184</v>
      </c>
      <c r="G9" s="38">
        <v>1.5E-3</v>
      </c>
      <c r="H9" s="78">
        <f>'Druckverlust Daten'!E52</f>
        <v>1.5851459628256337E-3</v>
      </c>
      <c r="I9" s="18">
        <f t="shared" si="5"/>
        <v>0.43920759494241746</v>
      </c>
      <c r="J9" s="22">
        <f t="shared" si="0"/>
        <v>4.2999823670721176</v>
      </c>
      <c r="K9" s="22">
        <f t="shared" si="1"/>
        <v>7.3201265823736241</v>
      </c>
      <c r="L9" s="22">
        <f t="shared" si="2"/>
        <v>8.1334739804151379</v>
      </c>
      <c r="M9" s="18">
        <f t="shared" si="3"/>
        <v>9.0371933115723753</v>
      </c>
      <c r="O9" s="11" t="s">
        <v>31</v>
      </c>
      <c r="P9" s="12">
        <v>0.45</v>
      </c>
      <c r="Q9" s="13" t="s">
        <v>12</v>
      </c>
      <c r="R9" s="146"/>
    </row>
    <row r="10" spans="1:19" x14ac:dyDescent="0.3">
      <c r="A10" s="17"/>
      <c r="B10" s="51">
        <v>12</v>
      </c>
      <c r="C10" s="22">
        <f>7.3*($P$3*$P$4)*10^-5</f>
        <v>0.74563455600000006</v>
      </c>
      <c r="D10" s="22">
        <v>0.75</v>
      </c>
      <c r="E10" s="35">
        <v>0.19</v>
      </c>
      <c r="F10" s="38">
        <f t="shared" si="4"/>
        <v>0.4408163265306122</v>
      </c>
      <c r="G10" s="39">
        <v>2E-3</v>
      </c>
      <c r="H10" s="41">
        <f>'Druckverlust Daten'!F52</f>
        <v>2.2826101864689132E-3</v>
      </c>
      <c r="I10" s="19">
        <f t="shared" si="5"/>
        <v>0.63509893671708106</v>
      </c>
      <c r="J10" s="23">
        <f t="shared" si="0"/>
        <v>6.2178210501750026</v>
      </c>
      <c r="K10" s="23">
        <f t="shared" si="1"/>
        <v>12.701978734341623</v>
      </c>
      <c r="L10" s="23">
        <f t="shared" si="2"/>
        <v>14.113309704824024</v>
      </c>
      <c r="M10" s="19">
        <f t="shared" si="3"/>
        <v>15.681455227582248</v>
      </c>
      <c r="N10" s="154" t="s">
        <v>211</v>
      </c>
      <c r="O10" s="14" t="s">
        <v>32</v>
      </c>
      <c r="P10" s="15">
        <v>7</v>
      </c>
      <c r="Q10" s="16" t="s">
        <v>11</v>
      </c>
      <c r="R10" s="146"/>
      <c r="S10" s="80"/>
    </row>
    <row r="11" spans="1:19" ht="15" thickBot="1" x14ac:dyDescent="0.35">
      <c r="A11" s="17"/>
      <c r="B11" s="51">
        <v>14</v>
      </c>
      <c r="C11" s="22"/>
      <c r="D11" s="22"/>
      <c r="E11" s="35">
        <v>0.26</v>
      </c>
      <c r="F11" s="38">
        <f t="shared" si="4"/>
        <v>0.6</v>
      </c>
      <c r="G11" s="39">
        <v>3.0000000000000001E-3</v>
      </c>
      <c r="H11" s="41">
        <f>'Druckverlust Daten'!G52</f>
        <v>3.106886087138242E-3</v>
      </c>
      <c r="I11" s="19">
        <f t="shared" si="5"/>
        <v>0.86610688608713826</v>
      </c>
      <c r="J11" s="23">
        <f t="shared" si="0"/>
        <v>8.4794625162679687</v>
      </c>
      <c r="K11" s="23">
        <f t="shared" si="1"/>
        <v>20.209160675366562</v>
      </c>
      <c r="L11" s="23">
        <f t="shared" si="2"/>
        <v>22.454622972629512</v>
      </c>
      <c r="M11" s="19">
        <f t="shared" si="3"/>
        <v>24.949581080699456</v>
      </c>
      <c r="N11" s="154"/>
      <c r="O11" s="4" t="s">
        <v>33</v>
      </c>
      <c r="P11" s="7">
        <v>0.6</v>
      </c>
      <c r="Q11" s="10" t="s">
        <v>12</v>
      </c>
      <c r="R11" s="147"/>
      <c r="S11" s="80"/>
    </row>
    <row r="12" spans="1:19" x14ac:dyDescent="0.3">
      <c r="A12" s="17"/>
      <c r="B12" s="51">
        <v>16</v>
      </c>
      <c r="C12" s="22">
        <f>6.6*($P$3*$P$4)*10^-5</f>
        <v>0.67413535200000008</v>
      </c>
      <c r="D12" s="22">
        <v>0.72499999999999998</v>
      </c>
      <c r="E12" s="35">
        <v>0.39</v>
      </c>
      <c r="F12" s="38">
        <f t="shared" si="4"/>
        <v>0.78367346938775506</v>
      </c>
      <c r="G12" s="39">
        <v>4.0000000000000001E-3</v>
      </c>
      <c r="H12" s="41">
        <f>'Druckverlust Daten'!H52</f>
        <v>4.0579736648336234E-3</v>
      </c>
      <c r="I12" s="19">
        <f t="shared" si="5"/>
        <v>1.1817314430525887</v>
      </c>
      <c r="J12" s="23">
        <f t="shared" si="0"/>
        <v>11.569527545185148</v>
      </c>
      <c r="K12" s="23">
        <f t="shared" si="1"/>
        <v>31.512838481402365</v>
      </c>
      <c r="L12" s="23">
        <f t="shared" si="2"/>
        <v>35.014264979335962</v>
      </c>
      <c r="M12" s="19">
        <f t="shared" si="3"/>
        <v>38.904738865928849</v>
      </c>
      <c r="N12" s="154"/>
    </row>
    <row r="13" spans="1:19" x14ac:dyDescent="0.3">
      <c r="A13" s="17"/>
      <c r="B13" s="17">
        <v>18</v>
      </c>
      <c r="C13" s="22"/>
      <c r="D13" s="22"/>
      <c r="E13" s="34">
        <v>0.55000000000000004</v>
      </c>
      <c r="F13" s="38">
        <f t="shared" si="4"/>
        <v>0.99183673469387768</v>
      </c>
      <c r="G13" s="38">
        <v>4.7000000000000002E-3</v>
      </c>
      <c r="H13" s="78">
        <f>'Druckverlust Daten'!I52</f>
        <v>5.1358729195550533E-3</v>
      </c>
      <c r="I13" s="18">
        <f t="shared" si="5"/>
        <v>1.5516726076134326</v>
      </c>
      <c r="J13" s="22">
        <f t="shared" si="0"/>
        <v>15.191369477755345</v>
      </c>
      <c r="K13" s="22">
        <f t="shared" si="1"/>
        <v>46.550178228402977</v>
      </c>
      <c r="L13" s="22">
        <f t="shared" si="2"/>
        <v>51.722420253781081</v>
      </c>
      <c r="M13" s="18">
        <f t="shared" si="3"/>
        <v>57.469355837534536</v>
      </c>
    </row>
    <row r="14" spans="1:19" ht="15" thickBot="1" x14ac:dyDescent="0.35">
      <c r="A14" s="20"/>
      <c r="B14" s="20">
        <v>20</v>
      </c>
      <c r="C14" s="24">
        <f>5.7*($P$3*$P$4)*10^-5</f>
        <v>0.58220780400000005</v>
      </c>
      <c r="D14" s="24">
        <v>0.66500000000000004</v>
      </c>
      <c r="E14" s="36">
        <v>0.72</v>
      </c>
      <c r="F14" s="38">
        <f t="shared" si="4"/>
        <v>1.2244897959183674</v>
      </c>
      <c r="G14" s="40">
        <v>5.4999999999999997E-3</v>
      </c>
      <c r="H14" s="42">
        <f>'Druckverlust Daten'!J52</f>
        <v>6.3405838513025349E-3</v>
      </c>
      <c r="I14" s="21">
        <f t="shared" si="5"/>
        <v>1.9563303797696698</v>
      </c>
      <c r="J14" s="24">
        <f t="shared" si="0"/>
        <v>19.153098065801807</v>
      </c>
      <c r="K14" s="24">
        <f t="shared" si="1"/>
        <v>65.211012658988992</v>
      </c>
      <c r="L14" s="24">
        <f t="shared" si="2"/>
        <v>72.456680732209989</v>
      </c>
      <c r="M14" s="21">
        <f t="shared" si="3"/>
        <v>80.507423035788875</v>
      </c>
    </row>
    <row r="15" spans="1:19" ht="41.4" customHeight="1" x14ac:dyDescent="0.3">
      <c r="A15" s="155" t="s">
        <v>117</v>
      </c>
      <c r="B15" s="74"/>
      <c r="C15" s="74"/>
      <c r="D15" s="74"/>
      <c r="E15" s="157" t="s">
        <v>34</v>
      </c>
      <c r="F15" s="158"/>
      <c r="G15" s="159"/>
      <c r="H15" s="85"/>
      <c r="I15" s="74"/>
      <c r="J15" s="74"/>
      <c r="K15" s="74"/>
      <c r="L15" s="74"/>
      <c r="M15" s="74"/>
    </row>
    <row r="16" spans="1:19" ht="29.4" thickBot="1" x14ac:dyDescent="0.35">
      <c r="A16" s="156"/>
      <c r="B16" s="75"/>
      <c r="C16" s="75"/>
      <c r="D16" s="75"/>
      <c r="E16" s="76"/>
      <c r="F16" s="73" t="s">
        <v>35</v>
      </c>
      <c r="G16" s="84"/>
      <c r="H16" s="84"/>
      <c r="I16" s="75"/>
      <c r="J16" s="75"/>
      <c r="K16" s="72"/>
      <c r="L16" s="75"/>
      <c r="M16" s="75"/>
    </row>
    <row r="17" spans="1:13" ht="15" thickBot="1" x14ac:dyDescent="0.35">
      <c r="K17" s="67"/>
      <c r="L17" s="67"/>
      <c r="M17" s="67"/>
    </row>
    <row r="18" spans="1:13" ht="15" thickBot="1" x14ac:dyDescent="0.35">
      <c r="A18" s="133" t="s">
        <v>36</v>
      </c>
      <c r="B18" s="134"/>
      <c r="C18" s="135"/>
      <c r="E18" s="53" t="s">
        <v>27</v>
      </c>
      <c r="F18" s="54" t="s">
        <v>39</v>
      </c>
      <c r="G18" s="56" t="s">
        <v>27</v>
      </c>
      <c r="H18" s="56" t="s">
        <v>42</v>
      </c>
      <c r="I18" s="55"/>
      <c r="J18" s="64"/>
      <c r="K18" s="67"/>
      <c r="L18" s="67"/>
      <c r="M18" s="67"/>
    </row>
    <row r="19" spans="1:13" x14ac:dyDescent="0.3">
      <c r="A19" s="12" t="s">
        <v>118</v>
      </c>
      <c r="B19" s="46">
        <v>20</v>
      </c>
      <c r="C19" s="12" t="s">
        <v>50</v>
      </c>
      <c r="E19" s="57" t="s">
        <v>42</v>
      </c>
      <c r="F19" s="52" t="s">
        <v>42</v>
      </c>
      <c r="G19" s="70"/>
      <c r="H19" s="52" t="s">
        <v>42</v>
      </c>
      <c r="I19" s="70"/>
      <c r="J19" s="58" t="s">
        <v>42</v>
      </c>
      <c r="K19" s="67"/>
      <c r="L19" s="67"/>
      <c r="M19" s="67"/>
    </row>
    <row r="20" spans="1:13" x14ac:dyDescent="0.3">
      <c r="A20" s="37" t="s">
        <v>119</v>
      </c>
      <c r="B20" s="43">
        <v>14</v>
      </c>
      <c r="C20" s="37" t="s">
        <v>50</v>
      </c>
      <c r="E20" s="57" t="s">
        <v>42</v>
      </c>
      <c r="F20" s="52" t="s">
        <v>42</v>
      </c>
      <c r="G20" s="69" t="s">
        <v>40</v>
      </c>
      <c r="H20" s="52" t="s">
        <v>42</v>
      </c>
      <c r="I20" s="69" t="s">
        <v>39</v>
      </c>
      <c r="J20" s="58" t="s">
        <v>42</v>
      </c>
      <c r="K20" s="67"/>
      <c r="L20" s="67"/>
      <c r="M20" s="67"/>
    </row>
    <row r="21" spans="1:13" x14ac:dyDescent="0.3">
      <c r="A21" s="37" t="s">
        <v>121</v>
      </c>
      <c r="B21" s="43">
        <f>25</f>
        <v>25</v>
      </c>
      <c r="C21" s="37" t="s">
        <v>50</v>
      </c>
      <c r="E21" s="57" t="s">
        <v>42</v>
      </c>
      <c r="F21" s="63" t="s">
        <v>21</v>
      </c>
      <c r="G21" s="70"/>
      <c r="H21" s="52"/>
      <c r="I21" s="70"/>
      <c r="J21" s="63" t="s">
        <v>21</v>
      </c>
      <c r="K21" s="67"/>
      <c r="L21" s="67"/>
      <c r="M21" s="67"/>
    </row>
    <row r="22" spans="1:13" x14ac:dyDescent="0.3">
      <c r="A22" s="37" t="s">
        <v>120</v>
      </c>
      <c r="B22" s="43">
        <v>15</v>
      </c>
      <c r="C22" s="37" t="s">
        <v>50</v>
      </c>
      <c r="E22" s="57" t="s">
        <v>42</v>
      </c>
      <c r="F22" s="52" t="s">
        <v>42</v>
      </c>
      <c r="G22" s="70"/>
      <c r="H22" s="52"/>
      <c r="I22" s="70"/>
      <c r="J22" s="58" t="s">
        <v>42</v>
      </c>
      <c r="K22" s="68"/>
      <c r="L22" s="67"/>
      <c r="M22" s="67"/>
    </row>
    <row r="23" spans="1:13" x14ac:dyDescent="0.3">
      <c r="A23" s="37" t="s">
        <v>41</v>
      </c>
      <c r="B23" s="43">
        <v>4</v>
      </c>
      <c r="C23" s="37"/>
      <c r="E23" s="57" t="s">
        <v>42</v>
      </c>
      <c r="F23" s="63" t="s">
        <v>22</v>
      </c>
      <c r="G23" s="52"/>
      <c r="H23" s="52"/>
      <c r="I23" s="52"/>
      <c r="J23" s="77" t="s">
        <v>22</v>
      </c>
      <c r="K23" s="68"/>
      <c r="L23" s="67"/>
      <c r="M23" s="67"/>
    </row>
    <row r="24" spans="1:13" x14ac:dyDescent="0.3">
      <c r="A24" s="37" t="s">
        <v>90</v>
      </c>
      <c r="B24" s="43">
        <v>2</v>
      </c>
      <c r="C24" s="37"/>
      <c r="E24" s="65"/>
      <c r="F24" s="52" t="s">
        <v>42</v>
      </c>
      <c r="G24" s="52" t="s">
        <v>39</v>
      </c>
      <c r="H24" s="52" t="s">
        <v>42</v>
      </c>
      <c r="I24" s="69" t="s">
        <v>40</v>
      </c>
      <c r="J24" s="58" t="s">
        <v>42</v>
      </c>
      <c r="K24" s="68"/>
      <c r="L24" s="78"/>
      <c r="M24" s="67"/>
    </row>
    <row r="25" spans="1:13" x14ac:dyDescent="0.3">
      <c r="A25" s="37" t="s">
        <v>122</v>
      </c>
      <c r="B25" s="43">
        <v>6</v>
      </c>
      <c r="C25" s="37"/>
      <c r="E25" s="57" t="s">
        <v>42</v>
      </c>
      <c r="G25" s="52"/>
      <c r="H25" s="52" t="s">
        <v>42</v>
      </c>
      <c r="I25" s="52"/>
      <c r="J25" s="9"/>
      <c r="K25" s="68"/>
      <c r="L25" s="78"/>
      <c r="M25" s="67"/>
    </row>
    <row r="26" spans="1:13" x14ac:dyDescent="0.3">
      <c r="A26" s="37" t="s">
        <v>123</v>
      </c>
      <c r="B26" s="43">
        <v>10</v>
      </c>
      <c r="C26" s="37"/>
      <c r="E26" s="57" t="s">
        <v>42</v>
      </c>
      <c r="F26" s="52" t="s">
        <v>42</v>
      </c>
      <c r="G26" s="69" t="s">
        <v>40</v>
      </c>
      <c r="H26" s="52" t="s">
        <v>42</v>
      </c>
      <c r="I26" s="52" t="s">
        <v>39</v>
      </c>
      <c r="J26" s="58" t="s">
        <v>42</v>
      </c>
      <c r="K26" s="68"/>
      <c r="L26" s="78"/>
      <c r="M26" s="67"/>
    </row>
    <row r="27" spans="1:13" x14ac:dyDescent="0.3">
      <c r="A27" s="37" t="s">
        <v>124</v>
      </c>
      <c r="B27" s="43">
        <v>5</v>
      </c>
      <c r="C27" s="37" t="s">
        <v>13</v>
      </c>
      <c r="E27" s="57" t="s">
        <v>42</v>
      </c>
      <c r="F27" s="63" t="s">
        <v>23</v>
      </c>
      <c r="G27" s="52"/>
      <c r="H27" s="52"/>
      <c r="I27" s="52"/>
      <c r="J27" s="77" t="s">
        <v>23</v>
      </c>
      <c r="K27" s="68"/>
      <c r="L27" s="78"/>
      <c r="M27" s="67"/>
    </row>
    <row r="28" spans="1:13" x14ac:dyDescent="0.3">
      <c r="A28" s="37" t="s">
        <v>125</v>
      </c>
      <c r="B28" s="43">
        <v>5</v>
      </c>
      <c r="C28" s="37" t="s">
        <v>13</v>
      </c>
      <c r="E28" s="57" t="s">
        <v>42</v>
      </c>
      <c r="F28" s="52" t="s">
        <v>42</v>
      </c>
      <c r="G28" s="52" t="s">
        <v>39</v>
      </c>
      <c r="H28" s="52" t="s">
        <v>42</v>
      </c>
      <c r="I28" s="69" t="s">
        <v>40</v>
      </c>
      <c r="J28" s="58" t="s">
        <v>42</v>
      </c>
      <c r="K28" s="52"/>
      <c r="L28" s="78"/>
    </row>
    <row r="29" spans="1:13" x14ac:dyDescent="0.3">
      <c r="A29" s="52"/>
      <c r="B29" s="69"/>
      <c r="C29" s="52"/>
      <c r="D29" s="52"/>
      <c r="E29" s="57" t="s">
        <v>42</v>
      </c>
      <c r="F29" s="70"/>
      <c r="G29" s="70"/>
      <c r="H29" s="63" t="s">
        <v>18</v>
      </c>
      <c r="I29" s="70"/>
      <c r="J29" s="66"/>
      <c r="K29" s="52"/>
      <c r="L29" s="79"/>
    </row>
    <row r="30" spans="1:13" x14ac:dyDescent="0.3">
      <c r="A30" s="52"/>
      <c r="B30" s="52"/>
      <c r="C30" s="70"/>
      <c r="D30" s="52"/>
      <c r="E30" s="57" t="s">
        <v>42</v>
      </c>
      <c r="H30" s="52" t="s">
        <v>42</v>
      </c>
      <c r="J30" s="9"/>
      <c r="L30" s="79"/>
    </row>
    <row r="31" spans="1:13" ht="15" thickBot="1" x14ac:dyDescent="0.35">
      <c r="A31" s="52"/>
      <c r="B31" s="52"/>
      <c r="C31" s="69"/>
      <c r="D31" s="52"/>
      <c r="E31" s="59" t="s">
        <v>27</v>
      </c>
      <c r="F31" s="60" t="s">
        <v>27</v>
      </c>
      <c r="G31" s="61" t="s">
        <v>40</v>
      </c>
      <c r="H31" s="60" t="s">
        <v>27</v>
      </c>
      <c r="I31" s="60"/>
      <c r="J31" s="62"/>
      <c r="K31" s="52"/>
      <c r="L31" s="79"/>
    </row>
    <row r="32" spans="1:13" x14ac:dyDescent="0.3">
      <c r="A32" s="52"/>
      <c r="B32" s="52"/>
      <c r="C32" s="70"/>
      <c r="D32" s="52"/>
      <c r="E32" s="70"/>
      <c r="F32" s="52"/>
      <c r="K32" s="52"/>
      <c r="L32" s="78"/>
    </row>
    <row r="33" spans="1:15" x14ac:dyDescent="0.3">
      <c r="A33" s="52"/>
      <c r="B33" s="52"/>
      <c r="C33" s="70"/>
      <c r="D33" s="52"/>
      <c r="E33" s="70"/>
      <c r="F33" s="52"/>
      <c r="K33" s="52"/>
      <c r="L33" s="78"/>
    </row>
    <row r="34" spans="1:15" x14ac:dyDescent="0.3">
      <c r="A34" s="52"/>
      <c r="B34" s="52"/>
      <c r="C34" s="52"/>
      <c r="D34" s="52"/>
      <c r="E34" s="52"/>
      <c r="F34" s="52"/>
      <c r="K34" s="52"/>
    </row>
    <row r="35" spans="1:15" x14ac:dyDescent="0.3">
      <c r="A35"/>
      <c r="B35" s="52"/>
      <c r="C35" s="52"/>
      <c r="D35" s="52"/>
      <c r="E35" s="69"/>
      <c r="F35" s="177"/>
      <c r="G35" s="167"/>
      <c r="H35" s="167"/>
      <c r="I35" s="167"/>
      <c r="K35" s="52"/>
    </row>
    <row r="36" spans="1:15" x14ac:dyDescent="0.3">
      <c r="A36" s="52"/>
      <c r="C36" s="52"/>
      <c r="D36" s="52"/>
      <c r="E36" s="52"/>
      <c r="F36" s="177"/>
      <c r="G36" s="167"/>
      <c r="H36" s="167"/>
      <c r="I36" s="167"/>
      <c r="K36" s="52"/>
    </row>
    <row r="37" spans="1:15" x14ac:dyDescent="0.3">
      <c r="A37" s="52"/>
      <c r="B37" s="52"/>
      <c r="C37" s="69"/>
      <c r="D37" s="52"/>
      <c r="E37" s="52"/>
      <c r="F37" s="177"/>
      <c r="G37" s="167"/>
      <c r="H37" s="167"/>
      <c r="I37" s="167"/>
      <c r="K37" s="52"/>
    </row>
    <row r="38" spans="1:15" x14ac:dyDescent="0.3">
      <c r="A38" s="52"/>
      <c r="B38" s="52"/>
      <c r="C38" s="52"/>
      <c r="D38" s="52"/>
      <c r="E38" s="52"/>
      <c r="F38" s="177"/>
      <c r="G38" s="167"/>
      <c r="H38" s="167"/>
      <c r="I38" s="167"/>
    </row>
    <row r="39" spans="1:15" x14ac:dyDescent="0.3">
      <c r="A39" s="52"/>
      <c r="B39" s="52"/>
      <c r="C39" s="52"/>
      <c r="D39" s="52"/>
      <c r="E39" s="69"/>
      <c r="F39" s="177"/>
      <c r="G39" s="167"/>
      <c r="H39" s="167"/>
      <c r="I39" s="167"/>
    </row>
    <row r="40" spans="1:15" x14ac:dyDescent="0.3">
      <c r="A40" s="52"/>
      <c r="B40" s="70"/>
      <c r="C40" s="70"/>
      <c r="D40" s="52"/>
      <c r="E40" s="70"/>
      <c r="F40" s="178"/>
      <c r="G40" s="167"/>
      <c r="H40" s="167"/>
      <c r="I40" s="167"/>
    </row>
    <row r="41" spans="1:15" x14ac:dyDescent="0.3">
      <c r="A41" s="52"/>
      <c r="D41" s="52"/>
      <c r="F41" s="178"/>
      <c r="G41" s="167"/>
      <c r="H41" s="167"/>
      <c r="I41" s="167"/>
    </row>
    <row r="42" spans="1:15" x14ac:dyDescent="0.3">
      <c r="A42" s="52"/>
      <c r="B42" s="52"/>
      <c r="C42" s="69"/>
      <c r="D42" s="52"/>
      <c r="E42" s="52"/>
      <c r="F42" s="178"/>
      <c r="G42" s="167"/>
      <c r="H42" s="167"/>
      <c r="I42" s="167"/>
    </row>
    <row r="43" spans="1:15" x14ac:dyDescent="0.3">
      <c r="F43" s="177"/>
      <c r="G43" s="167"/>
      <c r="H43" s="167"/>
      <c r="I43" s="167"/>
    </row>
    <row r="44" spans="1:15" x14ac:dyDescent="0.3">
      <c r="F44" s="177"/>
      <c r="G44" s="167"/>
      <c r="H44" s="167"/>
      <c r="I44" s="167"/>
    </row>
    <row r="45" spans="1:15" x14ac:dyDescent="0.3">
      <c r="F45" s="167"/>
      <c r="G45" s="167"/>
      <c r="H45" s="167"/>
      <c r="I45" s="167"/>
    </row>
    <row r="46" spans="1:15" x14ac:dyDescent="0.3">
      <c r="F46" s="167"/>
      <c r="G46" s="167"/>
      <c r="H46" s="167"/>
      <c r="I46" s="167"/>
    </row>
    <row r="47" spans="1:15" x14ac:dyDescent="0.3">
      <c r="J47" s="52"/>
      <c r="K47" s="69"/>
      <c r="L47" s="52"/>
      <c r="M47" s="52"/>
      <c r="N47" s="70"/>
      <c r="O47" s="69"/>
    </row>
    <row r="48" spans="1:15" x14ac:dyDescent="0.3">
      <c r="J48" s="52"/>
      <c r="K48" s="52"/>
      <c r="L48" s="70"/>
      <c r="M48" s="52"/>
      <c r="N48" s="70"/>
      <c r="O48" s="52"/>
    </row>
    <row r="49" spans="10:15" x14ac:dyDescent="0.3">
      <c r="J49" s="52"/>
      <c r="K49" s="52"/>
      <c r="L49" s="69"/>
      <c r="M49" s="52"/>
      <c r="N49" s="69"/>
      <c r="O49" s="52"/>
    </row>
    <row r="50" spans="10:15" x14ac:dyDescent="0.3">
      <c r="J50" s="52"/>
      <c r="K50" s="52"/>
      <c r="L50" s="70"/>
      <c r="M50" s="52"/>
      <c r="N50" s="70"/>
      <c r="O50" s="52"/>
    </row>
    <row r="51" spans="10:15" x14ac:dyDescent="0.3">
      <c r="J51" s="52"/>
      <c r="K51" s="52"/>
      <c r="L51" s="70"/>
      <c r="M51" s="52"/>
      <c r="N51" s="70"/>
      <c r="O51" s="52"/>
    </row>
    <row r="52" spans="10:15" x14ac:dyDescent="0.3">
      <c r="J52" s="52"/>
      <c r="K52" s="52"/>
      <c r="L52" s="52"/>
      <c r="M52" s="52"/>
      <c r="N52" s="52"/>
      <c r="O52" s="52"/>
    </row>
    <row r="53" spans="10:15" x14ac:dyDescent="0.3">
      <c r="K53" s="52"/>
      <c r="L53" s="52"/>
      <c r="M53" s="52"/>
      <c r="N53" s="69"/>
      <c r="O53" s="52"/>
    </row>
    <row r="54" spans="10:15" x14ac:dyDescent="0.3">
      <c r="J54" s="52"/>
      <c r="L54" s="52"/>
      <c r="M54" s="52"/>
      <c r="N54" s="52"/>
    </row>
    <row r="55" spans="10:15" x14ac:dyDescent="0.3">
      <c r="J55" s="52"/>
      <c r="K55" s="52"/>
      <c r="L55" s="69"/>
      <c r="M55" s="52"/>
      <c r="N55" s="52"/>
      <c r="O55" s="52"/>
    </row>
    <row r="56" spans="10:15" x14ac:dyDescent="0.3">
      <c r="J56" s="52"/>
      <c r="K56" s="52"/>
      <c r="L56" s="52"/>
      <c r="M56" s="52"/>
      <c r="N56" s="52"/>
      <c r="O56" s="52"/>
    </row>
    <row r="57" spans="10:15" x14ac:dyDescent="0.3">
      <c r="J57" s="52"/>
      <c r="K57" s="52"/>
      <c r="L57" s="52"/>
      <c r="M57" s="52"/>
      <c r="N57" s="69"/>
      <c r="O57" s="52"/>
    </row>
    <row r="58" spans="10:15" x14ac:dyDescent="0.3">
      <c r="J58" s="52"/>
      <c r="K58" s="70"/>
      <c r="L58" s="70"/>
      <c r="M58" s="52"/>
      <c r="N58" s="70"/>
      <c r="O58" s="70"/>
    </row>
    <row r="59" spans="10:15" x14ac:dyDescent="0.3">
      <c r="J59" s="52"/>
      <c r="M59" s="52"/>
    </row>
    <row r="60" spans="10:15" x14ac:dyDescent="0.3">
      <c r="J60" s="52"/>
      <c r="K60" s="52"/>
      <c r="L60" s="69"/>
      <c r="M60" s="52"/>
      <c r="N60" s="52"/>
      <c r="O60" s="52"/>
    </row>
  </sheetData>
  <mergeCells count="8">
    <mergeCell ref="O7:R7"/>
    <mergeCell ref="R8:R11"/>
    <mergeCell ref="A18:C18"/>
    <mergeCell ref="E2:I2"/>
    <mergeCell ref="E3:I3"/>
    <mergeCell ref="N10:N12"/>
    <mergeCell ref="A15:A16"/>
    <mergeCell ref="E15:G15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0"/>
  <sheetViews>
    <sheetView zoomScale="85" zoomScaleNormal="85" workbookViewId="0">
      <selection activeCell="B18" sqref="B18"/>
    </sheetView>
  </sheetViews>
  <sheetFormatPr baseColWidth="10" defaultColWidth="8.88671875" defaultRowHeight="14.4" x14ac:dyDescent="0.3"/>
  <cols>
    <col min="1" max="1" width="29.5546875" bestFit="1" customWidth="1"/>
    <col min="2" max="2" width="12.44140625" bestFit="1" customWidth="1"/>
    <col min="3" max="3" width="10.33203125" bestFit="1" customWidth="1"/>
    <col min="4" max="4" width="46.5546875" bestFit="1" customWidth="1"/>
  </cols>
  <sheetData>
    <row r="1" spans="1:4" x14ac:dyDescent="0.3">
      <c r="A1" s="161" t="s">
        <v>131</v>
      </c>
      <c r="B1" s="161"/>
      <c r="C1" s="161"/>
      <c r="D1" s="161"/>
    </row>
    <row r="2" spans="1:4" ht="15" thickBot="1" x14ac:dyDescent="0.35">
      <c r="A2" s="47" t="s">
        <v>45</v>
      </c>
      <c r="B2" s="47" t="s">
        <v>46</v>
      </c>
      <c r="C2" s="47" t="s">
        <v>10</v>
      </c>
      <c r="D2" s="47" t="s">
        <v>47</v>
      </c>
    </row>
    <row r="3" spans="1:4" x14ac:dyDescent="0.3">
      <c r="A3" s="48" t="s">
        <v>48</v>
      </c>
      <c r="B3" s="49">
        <v>17</v>
      </c>
      <c r="C3" s="48" t="s">
        <v>11</v>
      </c>
      <c r="D3" s="48" t="s">
        <v>49</v>
      </c>
    </row>
    <row r="4" spans="1:4" x14ac:dyDescent="0.3">
      <c r="A4" s="37" t="s">
        <v>37</v>
      </c>
      <c r="B4" s="43">
        <v>20</v>
      </c>
      <c r="C4" s="37" t="s">
        <v>50</v>
      </c>
      <c r="D4" s="37" t="s">
        <v>51</v>
      </c>
    </row>
    <row r="5" spans="1:4" x14ac:dyDescent="0.3">
      <c r="A5" s="37" t="s">
        <v>52</v>
      </c>
      <c r="B5" s="37">
        <f>(B3/60000)/((PI()/4)*(B4*10^-3)^2)</f>
        <v>0.90187801085407371</v>
      </c>
      <c r="C5" s="37" t="s">
        <v>53</v>
      </c>
      <c r="D5" s="37"/>
    </row>
    <row r="6" spans="1:4" x14ac:dyDescent="0.3">
      <c r="A6" s="37" t="s">
        <v>54</v>
      </c>
      <c r="B6" s="37">
        <f>0.98804*1000</f>
        <v>988.04000000000008</v>
      </c>
      <c r="C6" s="37" t="s">
        <v>55</v>
      </c>
      <c r="D6" s="37"/>
    </row>
    <row r="7" spans="1:4" ht="15" thickBot="1" x14ac:dyDescent="0.35">
      <c r="A7" s="160" t="s">
        <v>56</v>
      </c>
      <c r="B7" s="160"/>
      <c r="C7" s="160"/>
      <c r="D7" s="160"/>
    </row>
    <row r="8" spans="1:4" x14ac:dyDescent="0.3">
      <c r="A8" s="12" t="s">
        <v>57</v>
      </c>
      <c r="B8" s="12">
        <f>1.0121*10^-3</f>
        <v>1.0120999999999999E-3</v>
      </c>
      <c r="C8" s="12" t="s">
        <v>58</v>
      </c>
      <c r="D8" s="12" t="s">
        <v>59</v>
      </c>
    </row>
    <row r="9" spans="1:4" x14ac:dyDescent="0.3">
      <c r="A9" s="37" t="s">
        <v>60</v>
      </c>
      <c r="B9" s="37">
        <f>(B6*B5*B4*10^-3)/B8</f>
        <v>17608.764941097896</v>
      </c>
      <c r="C9" s="37"/>
      <c r="D9" s="37"/>
    </row>
    <row r="10" spans="1:4" x14ac:dyDescent="0.3">
      <c r="A10" s="37" t="s">
        <v>61</v>
      </c>
      <c r="B10" s="37" t="str">
        <f>IF(B9&gt;2300,"JA","NEIN")</f>
        <v>JA</v>
      </c>
      <c r="C10" s="37"/>
      <c r="D10" s="37"/>
    </row>
    <row r="11" spans="1:4" ht="15" thickBot="1" x14ac:dyDescent="0.35">
      <c r="A11" s="160" t="s">
        <v>62</v>
      </c>
      <c r="B11" s="160"/>
      <c r="C11" s="160"/>
      <c r="D11" s="160"/>
    </row>
    <row r="12" spans="1:4" x14ac:dyDescent="0.3">
      <c r="A12" s="12" t="s">
        <v>63</v>
      </c>
      <c r="B12" s="12">
        <f>0.3164/B9^0.25</f>
        <v>2.7466558760689229E-2</v>
      </c>
      <c r="C12" s="12"/>
      <c r="D12" s="12" t="s">
        <v>64</v>
      </c>
    </row>
    <row r="13" spans="1:4" x14ac:dyDescent="0.3">
      <c r="A13" s="37" t="s">
        <v>65</v>
      </c>
      <c r="B13" s="37" t="s">
        <v>139</v>
      </c>
      <c r="C13" s="37"/>
      <c r="D13" s="37"/>
    </row>
    <row r="14" spans="1:4" x14ac:dyDescent="0.3">
      <c r="A14" s="37" t="s">
        <v>66</v>
      </c>
      <c r="B14" s="44" t="e">
        <f>B13*B33/B4*10^-3</f>
        <v>#VALUE!</v>
      </c>
      <c r="C14" s="37"/>
      <c r="D14" s="37"/>
    </row>
    <row r="15" spans="1:4" ht="15" thickBot="1" x14ac:dyDescent="0.35">
      <c r="A15" s="160" t="s">
        <v>67</v>
      </c>
      <c r="B15" s="160"/>
      <c r="C15" s="160"/>
      <c r="D15" s="160"/>
    </row>
    <row r="16" spans="1:4" x14ac:dyDescent="0.3">
      <c r="A16" s="12" t="s">
        <v>38</v>
      </c>
      <c r="B16" s="46">
        <f>25</f>
        <v>25</v>
      </c>
      <c r="C16" s="12" t="s">
        <v>50</v>
      </c>
      <c r="D16" s="12" t="s">
        <v>68</v>
      </c>
    </row>
    <row r="17" spans="1:4" x14ac:dyDescent="0.3">
      <c r="A17" s="37" t="s">
        <v>69</v>
      </c>
      <c r="B17" s="37">
        <v>0.03</v>
      </c>
      <c r="C17" s="37" t="s">
        <v>50</v>
      </c>
      <c r="D17" s="37" t="s">
        <v>70</v>
      </c>
    </row>
    <row r="18" spans="1:4" x14ac:dyDescent="0.3">
      <c r="A18" s="37" t="s">
        <v>71</v>
      </c>
      <c r="B18" s="37">
        <f>(2.89/(1+1000*B17/B4*10^-3))^12</f>
        <v>333397.75379455643</v>
      </c>
      <c r="C18" s="37"/>
      <c r="D18" s="37"/>
    </row>
    <row r="19" spans="1:4" x14ac:dyDescent="0.3">
      <c r="A19" s="37" t="s">
        <v>72</v>
      </c>
      <c r="B19" s="37">
        <f>B17/B4</f>
        <v>1.5E-3</v>
      </c>
      <c r="C19" s="37"/>
      <c r="D19" s="37"/>
    </row>
    <row r="20" spans="1:4" x14ac:dyDescent="0.3">
      <c r="A20" s="37" t="s">
        <v>73</v>
      </c>
      <c r="B20" s="44" t="e">
        <f>(128*B14*0.21)*SQRT((B4*10^-3)/(B16*10^-3))+(PI()/2)*((B16*10^-3)/(B4*10^-3))*B13</f>
        <v>#VALUE!</v>
      </c>
      <c r="C20" s="37"/>
      <c r="D20" s="37"/>
    </row>
    <row r="21" spans="1:4" ht="15" thickBot="1" x14ac:dyDescent="0.35">
      <c r="A21" s="160" t="s">
        <v>74</v>
      </c>
      <c r="B21" s="160"/>
      <c r="C21" s="160"/>
      <c r="D21" s="160"/>
    </row>
    <row r="22" spans="1:4" x14ac:dyDescent="0.3">
      <c r="A22" s="12" t="s">
        <v>75</v>
      </c>
      <c r="B22" s="12">
        <f>(B4/2)*10^-3*EXP(7*LN(0.02))</f>
        <v>1.2800000000000014E-14</v>
      </c>
      <c r="C22" s="12" t="s">
        <v>13</v>
      </c>
      <c r="D22" s="12" t="s">
        <v>76</v>
      </c>
    </row>
    <row r="23" spans="1:4" x14ac:dyDescent="0.3">
      <c r="A23" s="37" t="s">
        <v>77</v>
      </c>
      <c r="B23" s="37">
        <f>(PI()/4)*B4^2</f>
        <v>314.15926535897933</v>
      </c>
      <c r="C23" s="37" t="s">
        <v>78</v>
      </c>
      <c r="D23" s="37"/>
    </row>
    <row r="24" spans="1:4" x14ac:dyDescent="0.3">
      <c r="A24" s="37" t="s">
        <v>79</v>
      </c>
      <c r="B24" s="37">
        <f>B23/2</f>
        <v>157.07963267948966</v>
      </c>
      <c r="C24" s="37" t="s">
        <v>78</v>
      </c>
      <c r="D24" s="37"/>
    </row>
    <row r="25" spans="1:4" x14ac:dyDescent="0.3">
      <c r="A25" s="37" t="s">
        <v>80</v>
      </c>
      <c r="B25" s="37">
        <f>SQRT((4*B24)/PI())</f>
        <v>14.142135623730951</v>
      </c>
      <c r="C25" s="37" t="s">
        <v>78</v>
      </c>
      <c r="D25" s="37"/>
    </row>
    <row r="26" spans="1:4" x14ac:dyDescent="0.3">
      <c r="A26" s="37" t="s">
        <v>81</v>
      </c>
      <c r="B26" s="37">
        <v>13</v>
      </c>
      <c r="C26" s="37" t="s">
        <v>50</v>
      </c>
      <c r="D26" s="37"/>
    </row>
    <row r="27" spans="1:4" x14ac:dyDescent="0.3">
      <c r="A27" s="37" t="s">
        <v>82</v>
      </c>
      <c r="B27" s="37">
        <f>B23/((PI()/4)*B26^2*2)</f>
        <v>1.1834319526627219</v>
      </c>
      <c r="C27" s="37"/>
      <c r="D27" s="37"/>
    </row>
    <row r="28" spans="1:4" x14ac:dyDescent="0.3">
      <c r="A28" s="37"/>
      <c r="B28" s="37"/>
      <c r="C28" s="37"/>
      <c r="D28" s="37"/>
    </row>
    <row r="29" spans="1:4" x14ac:dyDescent="0.3">
      <c r="A29" s="37" t="s">
        <v>83</v>
      </c>
      <c r="B29" s="45">
        <v>0.12</v>
      </c>
      <c r="C29" s="37" t="s">
        <v>84</v>
      </c>
      <c r="D29" s="37"/>
    </row>
    <row r="30" spans="1:4" ht="15" thickBot="1" x14ac:dyDescent="0.35">
      <c r="A30" s="160" t="s">
        <v>85</v>
      </c>
      <c r="B30" s="160"/>
      <c r="C30" s="160"/>
      <c r="D30" s="160"/>
    </row>
    <row r="31" spans="1:4" x14ac:dyDescent="0.3">
      <c r="A31" s="12" t="s">
        <v>41</v>
      </c>
      <c r="B31" s="46">
        <v>2</v>
      </c>
      <c r="C31" s="12"/>
      <c r="D31" s="12"/>
    </row>
    <row r="32" spans="1:4" x14ac:dyDescent="0.3">
      <c r="A32" s="37" t="s">
        <v>43</v>
      </c>
      <c r="B32" s="43">
        <v>8</v>
      </c>
      <c r="C32" s="37"/>
      <c r="D32" s="37" t="s">
        <v>86</v>
      </c>
    </row>
    <row r="33" spans="1:4" x14ac:dyDescent="0.3">
      <c r="A33" s="37" t="s">
        <v>44</v>
      </c>
      <c r="B33" s="43">
        <v>5</v>
      </c>
      <c r="C33" s="37" t="s">
        <v>13</v>
      </c>
      <c r="D33" s="37" t="s">
        <v>86</v>
      </c>
    </row>
    <row r="34" spans="1:4" x14ac:dyDescent="0.3">
      <c r="A34" s="37" t="s">
        <v>87</v>
      </c>
      <c r="B34" s="37" t="e">
        <f>B31*B29+B32*B20+B14*B33</f>
        <v>#VALUE!</v>
      </c>
      <c r="C34" s="37"/>
      <c r="D34" s="37"/>
    </row>
    <row r="35" spans="1:4" x14ac:dyDescent="0.3">
      <c r="A35" s="37" t="s">
        <v>88</v>
      </c>
      <c r="B35" s="37" t="e">
        <f>(B34*B6*B5^2)/2</f>
        <v>#VALUE!</v>
      </c>
      <c r="C35" s="37" t="s">
        <v>89</v>
      </c>
      <c r="D35" s="37"/>
    </row>
    <row r="36" spans="1:4" x14ac:dyDescent="0.3">
      <c r="A36" s="162" t="s">
        <v>132</v>
      </c>
      <c r="B36" s="162"/>
      <c r="C36" s="162"/>
      <c r="D36" s="162"/>
    </row>
    <row r="37" spans="1:4" ht="15" thickBot="1" x14ac:dyDescent="0.35">
      <c r="A37" s="47" t="s">
        <v>45</v>
      </c>
      <c r="B37" s="47" t="s">
        <v>46</v>
      </c>
      <c r="C37" s="47" t="s">
        <v>10</v>
      </c>
      <c r="D37" s="47" t="s">
        <v>47</v>
      </c>
    </row>
    <row r="38" spans="1:4" x14ac:dyDescent="0.3">
      <c r="A38" s="48" t="s">
        <v>48</v>
      </c>
      <c r="B38" s="49">
        <f>17/2</f>
        <v>8.5</v>
      </c>
      <c r="C38" s="48" t="s">
        <v>11</v>
      </c>
      <c r="D38" s="48" t="s">
        <v>49</v>
      </c>
    </row>
    <row r="39" spans="1:4" x14ac:dyDescent="0.3">
      <c r="A39" s="37" t="s">
        <v>37</v>
      </c>
      <c r="B39" s="43">
        <v>10</v>
      </c>
      <c r="C39" s="37" t="s">
        <v>50</v>
      </c>
      <c r="D39" s="37" t="s">
        <v>51</v>
      </c>
    </row>
    <row r="40" spans="1:4" x14ac:dyDescent="0.3">
      <c r="A40" s="37" t="s">
        <v>52</v>
      </c>
      <c r="B40" s="37">
        <f>(B38/60000)/((PI()/4)*(B39*10^-3)^2)</f>
        <v>1.8037560217081474</v>
      </c>
      <c r="C40" s="37" t="s">
        <v>53</v>
      </c>
      <c r="D40" s="37"/>
    </row>
    <row r="41" spans="1:4" x14ac:dyDescent="0.3">
      <c r="A41" s="37" t="s">
        <v>54</v>
      </c>
      <c r="B41" s="37">
        <f>0.98804*1000</f>
        <v>988.04000000000008</v>
      </c>
      <c r="C41" s="37" t="s">
        <v>55</v>
      </c>
      <c r="D41" s="37"/>
    </row>
    <row r="42" spans="1:4" ht="15" thickBot="1" x14ac:dyDescent="0.35">
      <c r="A42" s="160" t="s">
        <v>56</v>
      </c>
      <c r="B42" s="160"/>
      <c r="C42" s="160"/>
      <c r="D42" s="160"/>
    </row>
    <row r="43" spans="1:4" x14ac:dyDescent="0.3">
      <c r="A43" s="12" t="s">
        <v>57</v>
      </c>
      <c r="B43" s="12">
        <f>1.0121*10^-3</f>
        <v>1.0120999999999999E-3</v>
      </c>
      <c r="C43" s="12" t="s">
        <v>58</v>
      </c>
      <c r="D43" s="12" t="s">
        <v>59</v>
      </c>
    </row>
    <row r="44" spans="1:4" x14ac:dyDescent="0.3">
      <c r="A44" s="37" t="s">
        <v>60</v>
      </c>
      <c r="B44" s="37">
        <f>(B41*B40*B39*10^-3)/B43</f>
        <v>17608.764941097896</v>
      </c>
      <c r="C44" s="37"/>
      <c r="D44" s="37"/>
    </row>
    <row r="45" spans="1:4" x14ac:dyDescent="0.3">
      <c r="A45" s="37" t="s">
        <v>61</v>
      </c>
      <c r="B45" s="37" t="str">
        <f>IF(B44&gt;2300,"JA","NEIN")</f>
        <v>JA</v>
      </c>
      <c r="C45" s="37"/>
      <c r="D45" s="37"/>
    </row>
    <row r="46" spans="1:4" ht="15" thickBot="1" x14ac:dyDescent="0.35">
      <c r="A46" s="160" t="s">
        <v>62</v>
      </c>
      <c r="B46" s="160"/>
      <c r="C46" s="160"/>
      <c r="D46" s="160"/>
    </row>
    <row r="47" spans="1:4" x14ac:dyDescent="0.3">
      <c r="A47" s="12" t="s">
        <v>63</v>
      </c>
      <c r="B47" s="12">
        <f>0.3164/B44^0.25</f>
        <v>2.7466558760689229E-2</v>
      </c>
      <c r="C47" s="12"/>
      <c r="D47" s="12" t="s">
        <v>64</v>
      </c>
    </row>
    <row r="48" spans="1:4" x14ac:dyDescent="0.3">
      <c r="A48" s="37" t="s">
        <v>65</v>
      </c>
      <c r="B48" s="37">
        <f>(1/(2*LOG10((B39)/B52)+1.14)^2)</f>
        <v>2.6134501498587013E-2</v>
      </c>
      <c r="C48" s="37"/>
      <c r="D48" s="37"/>
    </row>
    <row r="49" spans="1:4" x14ac:dyDescent="0.3">
      <c r="A49" s="37" t="s">
        <v>66</v>
      </c>
      <c r="B49" s="44">
        <f>B48*B68/B39*10^-3</f>
        <v>1.3067250749293508E-5</v>
      </c>
      <c r="C49" s="37"/>
      <c r="D49" s="37"/>
    </row>
    <row r="50" spans="1:4" ht="15" thickBot="1" x14ac:dyDescent="0.35">
      <c r="A50" s="160" t="s">
        <v>67</v>
      </c>
      <c r="B50" s="160"/>
      <c r="C50" s="160"/>
      <c r="D50" s="160"/>
    </row>
    <row r="51" spans="1:4" x14ac:dyDescent="0.3">
      <c r="A51" s="12" t="s">
        <v>38</v>
      </c>
      <c r="B51" s="46">
        <f>25</f>
        <v>25</v>
      </c>
      <c r="C51" s="12" t="s">
        <v>50</v>
      </c>
      <c r="D51" s="12" t="s">
        <v>68</v>
      </c>
    </row>
    <row r="52" spans="1:4" x14ac:dyDescent="0.3">
      <c r="A52" s="37" t="s">
        <v>69</v>
      </c>
      <c r="B52" s="37">
        <v>0.03</v>
      </c>
      <c r="C52" s="37" t="s">
        <v>50</v>
      </c>
      <c r="D52" s="37" t="s">
        <v>70</v>
      </c>
    </row>
    <row r="53" spans="1:4" x14ac:dyDescent="0.3">
      <c r="A53" s="37" t="s">
        <v>71</v>
      </c>
      <c r="B53" s="37">
        <f>(2.89/(1+1000*B52/B39*10^-3))^12</f>
        <v>327463.51318689005</v>
      </c>
      <c r="C53" s="37"/>
      <c r="D53" s="37"/>
    </row>
    <row r="54" spans="1:4" x14ac:dyDescent="0.3">
      <c r="A54" s="37" t="s">
        <v>72</v>
      </c>
      <c r="B54" s="37">
        <f>B52/B39</f>
        <v>3.0000000000000001E-3</v>
      </c>
      <c r="C54" s="37"/>
      <c r="D54" s="37"/>
    </row>
    <row r="55" spans="1:4" x14ac:dyDescent="0.3">
      <c r="A55" s="37" t="s">
        <v>73</v>
      </c>
      <c r="B55" s="44">
        <f>(128*B49*0.21)*SQRT((B39*10^-3)/(B51*10^-3))+(PI()/2)*((B51*10^-3)/(B39*10^-3))*B48</f>
        <v>0.10285209594255879</v>
      </c>
      <c r="C55" s="37"/>
      <c r="D55" s="37"/>
    </row>
    <row r="56" spans="1:4" ht="15" thickBot="1" x14ac:dyDescent="0.35">
      <c r="A56" s="160" t="s">
        <v>74</v>
      </c>
      <c r="B56" s="160"/>
      <c r="C56" s="160"/>
      <c r="D56" s="160"/>
    </row>
    <row r="57" spans="1:4" x14ac:dyDescent="0.3">
      <c r="A57" s="12" t="s">
        <v>75</v>
      </c>
      <c r="B57" s="12">
        <f>(B39/2)*10^-3*EXP(7*LN(0.02))</f>
        <v>6.400000000000007E-15</v>
      </c>
      <c r="C57" s="12" t="s">
        <v>13</v>
      </c>
      <c r="D57" s="12" t="s">
        <v>76</v>
      </c>
    </row>
    <row r="58" spans="1:4" x14ac:dyDescent="0.3">
      <c r="A58" s="37" t="s">
        <v>77</v>
      </c>
      <c r="B58" s="37">
        <f>(PI()/4)*B39^2</f>
        <v>78.539816339744831</v>
      </c>
      <c r="C58" s="37" t="s">
        <v>78</v>
      </c>
      <c r="D58" s="37"/>
    </row>
    <row r="59" spans="1:4" x14ac:dyDescent="0.3">
      <c r="A59" s="37" t="s">
        <v>79</v>
      </c>
      <c r="B59" s="37">
        <f>B58/2</f>
        <v>39.269908169872416</v>
      </c>
      <c r="C59" s="37" t="s">
        <v>78</v>
      </c>
      <c r="D59" s="37"/>
    </row>
    <row r="60" spans="1:4" x14ac:dyDescent="0.3">
      <c r="A60" s="37" t="s">
        <v>80</v>
      </c>
      <c r="B60" s="37">
        <f>SQRT((4*B59)/PI())</f>
        <v>7.0710678118654755</v>
      </c>
      <c r="C60" s="37" t="s">
        <v>78</v>
      </c>
      <c r="D60" s="37"/>
    </row>
    <row r="61" spans="1:4" x14ac:dyDescent="0.3">
      <c r="A61" s="37" t="s">
        <v>81</v>
      </c>
      <c r="B61" s="37">
        <v>13</v>
      </c>
      <c r="C61" s="37" t="s">
        <v>50</v>
      </c>
      <c r="D61" s="37"/>
    </row>
    <row r="62" spans="1:4" x14ac:dyDescent="0.3">
      <c r="A62" s="37" t="s">
        <v>82</v>
      </c>
      <c r="B62" s="37">
        <f>B58/((PI()/4)*B61^2*2)</f>
        <v>0.29585798816568049</v>
      </c>
      <c r="C62" s="37"/>
      <c r="D62" s="37"/>
    </row>
    <row r="63" spans="1:4" x14ac:dyDescent="0.3">
      <c r="A63" s="37"/>
      <c r="B63" s="37"/>
      <c r="C63" s="37"/>
      <c r="D63" s="37"/>
    </row>
    <row r="64" spans="1:4" x14ac:dyDescent="0.3">
      <c r="A64" s="37" t="s">
        <v>83</v>
      </c>
      <c r="B64" s="45">
        <v>0.12</v>
      </c>
      <c r="C64" s="37" t="s">
        <v>84</v>
      </c>
      <c r="D64" s="37"/>
    </row>
    <row r="65" spans="1:4" ht="15" thickBot="1" x14ac:dyDescent="0.35">
      <c r="A65" s="160" t="s">
        <v>85</v>
      </c>
      <c r="B65" s="160"/>
      <c r="C65" s="160"/>
      <c r="D65" s="160"/>
    </row>
    <row r="66" spans="1:4" x14ac:dyDescent="0.3">
      <c r="A66" s="12" t="s">
        <v>41</v>
      </c>
      <c r="B66" s="46">
        <v>2</v>
      </c>
      <c r="C66" s="12"/>
      <c r="D66" s="12"/>
    </row>
    <row r="67" spans="1:4" x14ac:dyDescent="0.3">
      <c r="A67" s="37" t="s">
        <v>43</v>
      </c>
      <c r="B67" s="43">
        <v>8</v>
      </c>
      <c r="C67" s="37"/>
      <c r="D67" s="37" t="s">
        <v>86</v>
      </c>
    </row>
    <row r="68" spans="1:4" x14ac:dyDescent="0.3">
      <c r="A68" s="37" t="s">
        <v>44</v>
      </c>
      <c r="B68" s="43">
        <v>5</v>
      </c>
      <c r="C68" s="37" t="s">
        <v>13</v>
      </c>
      <c r="D68" s="37" t="s">
        <v>86</v>
      </c>
    </row>
    <row r="69" spans="1:4" x14ac:dyDescent="0.3">
      <c r="A69" s="37" t="s">
        <v>87</v>
      </c>
      <c r="B69" s="37">
        <f>B66*B64+B67*B55+B49*B68</f>
        <v>1.0628821037942167</v>
      </c>
      <c r="C69" s="37"/>
      <c r="D69" s="37"/>
    </row>
    <row r="70" spans="1:4" x14ac:dyDescent="0.3">
      <c r="A70" s="37" t="s">
        <v>88</v>
      </c>
      <c r="B70" s="37">
        <f>(B69*B41*B40^2)/2</f>
        <v>1708.3828931503829</v>
      </c>
      <c r="C70" s="37" t="s">
        <v>89</v>
      </c>
      <c r="D70" s="37"/>
    </row>
  </sheetData>
  <mergeCells count="12">
    <mergeCell ref="A1:D1"/>
    <mergeCell ref="A36:D36"/>
    <mergeCell ref="A7:D7"/>
    <mergeCell ref="A11:D11"/>
    <mergeCell ref="A15:D15"/>
    <mergeCell ref="A21:D21"/>
    <mergeCell ref="A30:D30"/>
    <mergeCell ref="A42:D42"/>
    <mergeCell ref="A46:D46"/>
    <mergeCell ref="A50:D50"/>
    <mergeCell ref="A56:D56"/>
    <mergeCell ref="A65:D6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workbookViewId="0">
      <selection activeCell="J52" sqref="J52"/>
    </sheetView>
  </sheetViews>
  <sheetFormatPr baseColWidth="10" defaultColWidth="11.44140625" defaultRowHeight="14.4" x14ac:dyDescent="0.3"/>
  <cols>
    <col min="1" max="1" width="23.88671875" bestFit="1" customWidth="1"/>
    <col min="2" max="10" width="9.44140625" bestFit="1" customWidth="1"/>
  </cols>
  <sheetData>
    <row r="1" spans="1:10" x14ac:dyDescent="0.3">
      <c r="A1" s="136" t="s">
        <v>133</v>
      </c>
      <c r="B1" s="136"/>
      <c r="C1" s="136"/>
      <c r="D1" s="136"/>
      <c r="E1" s="136"/>
      <c r="F1" s="136"/>
      <c r="G1" s="136"/>
      <c r="H1" s="136"/>
      <c r="I1" s="136"/>
      <c r="J1" s="136"/>
    </row>
    <row r="2" spans="1:10" x14ac:dyDescent="0.3">
      <c r="A2" t="s">
        <v>93</v>
      </c>
      <c r="B2">
        <f>Systemberechnung!B6</f>
        <v>4</v>
      </c>
      <c r="C2">
        <f>Systemberechnung!B7</f>
        <v>6</v>
      </c>
      <c r="D2">
        <f>Systemberechnung!B8</f>
        <v>8</v>
      </c>
      <c r="E2">
        <f>Systemberechnung!B9</f>
        <v>10</v>
      </c>
      <c r="F2">
        <f>Systemberechnung!B10</f>
        <v>12</v>
      </c>
      <c r="G2">
        <f>Systemberechnung!B11</f>
        <v>14</v>
      </c>
      <c r="H2">
        <f>Systemberechnung!B12</f>
        <v>16</v>
      </c>
      <c r="I2">
        <f>Systemberechnung!B13</f>
        <v>18</v>
      </c>
      <c r="J2">
        <f>Systemberechnung!B14</f>
        <v>20</v>
      </c>
    </row>
    <row r="3" spans="1:10" x14ac:dyDescent="0.3">
      <c r="A3" t="s">
        <v>92</v>
      </c>
      <c r="B3">
        <f>Systemberechnung!$B$19</f>
        <v>20</v>
      </c>
      <c r="C3">
        <f>Systemberechnung!$B$19</f>
        <v>20</v>
      </c>
      <c r="D3">
        <f>Systemberechnung!$B$19</f>
        <v>20</v>
      </c>
      <c r="E3">
        <f>Systemberechnung!$B$19</f>
        <v>20</v>
      </c>
      <c r="F3">
        <f>Systemberechnung!$B$19</f>
        <v>20</v>
      </c>
      <c r="G3">
        <f>Systemberechnung!$B$19</f>
        <v>20</v>
      </c>
      <c r="H3">
        <f>Systemberechnung!$B$19</f>
        <v>20</v>
      </c>
      <c r="I3">
        <f>Systemberechnung!$B$19</f>
        <v>20</v>
      </c>
      <c r="J3">
        <f>Systemberechnung!$B$19</f>
        <v>20</v>
      </c>
    </row>
    <row r="4" spans="1:10" x14ac:dyDescent="0.3">
      <c r="A4" t="s">
        <v>91</v>
      </c>
      <c r="B4" s="86">
        <f>(B2/60000)/((PI()/4)*(B3*10^-3)^2)</f>
        <v>0.21220659078919379</v>
      </c>
      <c r="C4" s="86">
        <f t="shared" ref="C4:J4" si="0">(C2/60000)/((PI()/4)*(C3*10^-3)^2)</f>
        <v>0.31830988618379069</v>
      </c>
      <c r="D4" s="86">
        <f t="shared" si="0"/>
        <v>0.42441318157838759</v>
      </c>
      <c r="E4" s="86">
        <f t="shared" si="0"/>
        <v>0.53051647697298443</v>
      </c>
      <c r="F4" s="86">
        <f t="shared" si="0"/>
        <v>0.63661977236758138</v>
      </c>
      <c r="G4" s="86">
        <f t="shared" si="0"/>
        <v>0.74272306776217822</v>
      </c>
      <c r="H4" s="86">
        <f>(H2/60000)/((PI()/4)*(H3*10^-3)^2)</f>
        <v>0.84882636315677518</v>
      </c>
      <c r="I4" s="86">
        <f t="shared" si="0"/>
        <v>0.95492965855137202</v>
      </c>
      <c r="J4" s="86">
        <f t="shared" si="0"/>
        <v>1.0610329539459689</v>
      </c>
    </row>
    <row r="5" spans="1:10" x14ac:dyDescent="0.3">
      <c r="A5" t="s">
        <v>94</v>
      </c>
      <c r="B5" s="86">
        <f>0.98804*1000</f>
        <v>988.04000000000008</v>
      </c>
      <c r="C5" s="86">
        <f t="shared" ref="C5:J5" si="1">0.98804*1000</f>
        <v>988.04000000000008</v>
      </c>
      <c r="D5" s="86">
        <f t="shared" si="1"/>
        <v>988.04000000000008</v>
      </c>
      <c r="E5" s="86">
        <f t="shared" si="1"/>
        <v>988.04000000000008</v>
      </c>
      <c r="F5" s="86">
        <f t="shared" si="1"/>
        <v>988.04000000000008</v>
      </c>
      <c r="G5" s="86">
        <f t="shared" si="1"/>
        <v>988.04000000000008</v>
      </c>
      <c r="H5" s="86">
        <f t="shared" si="1"/>
        <v>988.04000000000008</v>
      </c>
      <c r="I5" s="86">
        <f t="shared" si="1"/>
        <v>988.04000000000008</v>
      </c>
      <c r="J5" s="86">
        <f t="shared" si="1"/>
        <v>988.04000000000008</v>
      </c>
    </row>
    <row r="6" spans="1:10" x14ac:dyDescent="0.3">
      <c r="A6" t="s">
        <v>95</v>
      </c>
      <c r="B6" s="86">
        <f t="shared" ref="B6:J6" si="2">1.0121*10^-3</f>
        <v>1.0120999999999999E-3</v>
      </c>
      <c r="C6" s="86">
        <f t="shared" si="2"/>
        <v>1.0120999999999999E-3</v>
      </c>
      <c r="D6" s="86">
        <f t="shared" si="2"/>
        <v>1.0120999999999999E-3</v>
      </c>
      <c r="E6" s="86">
        <f t="shared" si="2"/>
        <v>1.0120999999999999E-3</v>
      </c>
      <c r="F6" s="86">
        <f t="shared" si="2"/>
        <v>1.0120999999999999E-3</v>
      </c>
      <c r="G6" s="86">
        <f t="shared" si="2"/>
        <v>1.0120999999999999E-3</v>
      </c>
      <c r="H6" s="86">
        <f t="shared" si="2"/>
        <v>1.0120999999999999E-3</v>
      </c>
      <c r="I6" s="86">
        <f t="shared" si="2"/>
        <v>1.0120999999999999E-3</v>
      </c>
      <c r="J6" s="86">
        <f t="shared" si="2"/>
        <v>1.0120999999999999E-3</v>
      </c>
    </row>
    <row r="7" spans="1:10" x14ac:dyDescent="0.3">
      <c r="A7" t="s">
        <v>96</v>
      </c>
      <c r="B7" s="86">
        <f>(B5*B4*B3*10^-3)/B6</f>
        <v>4143.2388096700934</v>
      </c>
      <c r="C7" s="86">
        <f t="shared" ref="C7:J7" si="3">(C5*C4*C3*10^-3)/C6</f>
        <v>6214.8582145051405</v>
      </c>
      <c r="D7" s="86">
        <f t="shared" si="3"/>
        <v>8286.4776193401867</v>
      </c>
      <c r="E7" s="86">
        <f t="shared" si="3"/>
        <v>10358.097024175231</v>
      </c>
      <c r="F7" s="86">
        <f t="shared" si="3"/>
        <v>12429.716429010281</v>
      </c>
      <c r="G7" s="86">
        <f t="shared" si="3"/>
        <v>14501.335833845325</v>
      </c>
      <c r="H7" s="86">
        <f t="shared" si="3"/>
        <v>16572.955238680373</v>
      </c>
      <c r="I7" s="86">
        <f t="shared" si="3"/>
        <v>18644.574643515418</v>
      </c>
      <c r="J7" s="86">
        <f t="shared" si="3"/>
        <v>20716.194048350462</v>
      </c>
    </row>
    <row r="8" spans="1:10" x14ac:dyDescent="0.3">
      <c r="A8" t="s">
        <v>61</v>
      </c>
      <c r="B8" t="str">
        <f t="shared" ref="B8:J8" si="4">IF(B7&gt;2300,"JA","NEIN")</f>
        <v>JA</v>
      </c>
      <c r="C8" t="str">
        <f t="shared" si="4"/>
        <v>JA</v>
      </c>
      <c r="D8" t="str">
        <f t="shared" si="4"/>
        <v>JA</v>
      </c>
      <c r="E8" t="str">
        <f t="shared" si="4"/>
        <v>JA</v>
      </c>
      <c r="F8" t="str">
        <f t="shared" si="4"/>
        <v>JA</v>
      </c>
      <c r="G8" t="str">
        <f t="shared" si="4"/>
        <v>JA</v>
      </c>
      <c r="H8" t="str">
        <f t="shared" si="4"/>
        <v>JA</v>
      </c>
      <c r="I8" t="str">
        <f t="shared" si="4"/>
        <v>JA</v>
      </c>
      <c r="J8" t="str">
        <f t="shared" si="4"/>
        <v>JA</v>
      </c>
    </row>
    <row r="9" spans="1:10" x14ac:dyDescent="0.3">
      <c r="A9" t="s">
        <v>97</v>
      </c>
      <c r="B9" s="86">
        <f t="shared" ref="B9:J9" si="5">0.3164/B7^0.25</f>
        <v>3.9436783232181916E-2</v>
      </c>
      <c r="C9" s="86">
        <f t="shared" si="5"/>
        <v>3.5635156344526714E-2</v>
      </c>
      <c r="D9" s="86">
        <f t="shared" si="5"/>
        <v>3.316224964907958E-2</v>
      </c>
      <c r="E9" s="86">
        <f t="shared" si="5"/>
        <v>3.1362919341285524E-2</v>
      </c>
      <c r="F9" s="86">
        <f t="shared" si="5"/>
        <v>2.996547522711818E-2</v>
      </c>
      <c r="G9" s="86">
        <f t="shared" si="5"/>
        <v>2.8832644166210723E-2</v>
      </c>
      <c r="H9" s="86">
        <f t="shared" si="5"/>
        <v>2.7886016851659774E-2</v>
      </c>
      <c r="I9" s="86">
        <f t="shared" si="5"/>
        <v>2.7076863454345158E-2</v>
      </c>
      <c r="J9" s="86">
        <f t="shared" si="5"/>
        <v>2.6372966445978384E-2</v>
      </c>
    </row>
    <row r="10" spans="1:10" x14ac:dyDescent="0.3">
      <c r="A10" t="s">
        <v>98</v>
      </c>
      <c r="B10" s="86">
        <f t="shared" ref="B10:G10" si="6">(1/(-2*LOG10(B25/(3.71*B3))))^2</f>
        <v>2.171200525546026E-2</v>
      </c>
      <c r="C10" s="86">
        <f t="shared" si="6"/>
        <v>2.171200525546026E-2</v>
      </c>
      <c r="D10" s="86">
        <f t="shared" si="6"/>
        <v>2.171200525546026E-2</v>
      </c>
      <c r="E10" s="86">
        <f t="shared" si="6"/>
        <v>2.171200525546026E-2</v>
      </c>
      <c r="F10" s="86">
        <f t="shared" si="6"/>
        <v>2.171200525546026E-2</v>
      </c>
      <c r="G10" s="86">
        <f t="shared" si="6"/>
        <v>2.171200525546026E-2</v>
      </c>
      <c r="H10" s="86">
        <f>(1/(-2*LOG10(H$25/(3.71*H3))))^2</f>
        <v>2.171200525546026E-2</v>
      </c>
      <c r="I10" s="86">
        <f t="shared" ref="I10:J10" si="7">(1/(-2*LOG10(I25/(3.71*I3))))^2</f>
        <v>2.171200525546026E-2</v>
      </c>
      <c r="J10" s="86">
        <f t="shared" si="7"/>
        <v>2.171200525546026E-2</v>
      </c>
    </row>
    <row r="11" spans="1:10" x14ac:dyDescent="0.3">
      <c r="A11" t="s">
        <v>99</v>
      </c>
      <c r="B11" s="86">
        <f>B10*B46/B3*10^-3</f>
        <v>5.428001313865065E-6</v>
      </c>
      <c r="C11" s="86">
        <f t="shared" ref="C11:J11" si="8">C10*C46/C3*10^-3</f>
        <v>5.428001313865065E-6</v>
      </c>
      <c r="D11" s="86">
        <f t="shared" si="8"/>
        <v>5.428001313865065E-6</v>
      </c>
      <c r="E11" s="86">
        <f t="shared" si="8"/>
        <v>5.428001313865065E-6</v>
      </c>
      <c r="F11" s="86">
        <f t="shared" si="8"/>
        <v>5.428001313865065E-6</v>
      </c>
      <c r="G11" s="86">
        <f t="shared" si="8"/>
        <v>5.428001313865065E-6</v>
      </c>
      <c r="H11" s="86">
        <f t="shared" si="8"/>
        <v>5.428001313865065E-6</v>
      </c>
      <c r="I11" s="86">
        <f t="shared" si="8"/>
        <v>5.428001313865065E-6</v>
      </c>
      <c r="J11" s="86">
        <f t="shared" si="8"/>
        <v>5.428001313865065E-6</v>
      </c>
    </row>
    <row r="12" spans="1:10" x14ac:dyDescent="0.3">
      <c r="A12" s="136" t="s">
        <v>134</v>
      </c>
      <c r="B12" s="136"/>
      <c r="C12" s="136"/>
      <c r="D12" s="136"/>
      <c r="E12" s="136"/>
      <c r="F12" s="136"/>
      <c r="G12" s="136"/>
      <c r="H12" s="136"/>
      <c r="I12" s="136"/>
      <c r="J12" s="136"/>
    </row>
    <row r="13" spans="1:10" x14ac:dyDescent="0.3">
      <c r="A13" t="s">
        <v>93</v>
      </c>
      <c r="B13" s="86">
        <f>Systemberechnung!B6</f>
        <v>4</v>
      </c>
      <c r="C13" s="86">
        <f>Systemberechnung!B7</f>
        <v>6</v>
      </c>
      <c r="D13" s="86">
        <f>Systemberechnung!B8</f>
        <v>8</v>
      </c>
      <c r="E13" s="86">
        <f>Systemberechnung!B9</f>
        <v>10</v>
      </c>
      <c r="F13" s="86">
        <f>Systemberechnung!B10</f>
        <v>12</v>
      </c>
      <c r="G13" s="86">
        <f>Systemberechnung!B11</f>
        <v>14</v>
      </c>
      <c r="H13" s="86">
        <f>Systemberechnung!B12</f>
        <v>16</v>
      </c>
      <c r="I13" s="86">
        <f>Systemberechnung!B13</f>
        <v>18</v>
      </c>
      <c r="J13" s="86">
        <f>Systemberechnung!B14</f>
        <v>20</v>
      </c>
    </row>
    <row r="14" spans="1:10" x14ac:dyDescent="0.3">
      <c r="A14" t="s">
        <v>92</v>
      </c>
      <c r="B14" s="86">
        <f>Systemberechnung!$B$20</f>
        <v>14</v>
      </c>
      <c r="C14" s="86">
        <f>Systemberechnung!$B$20</f>
        <v>14</v>
      </c>
      <c r="D14" s="86">
        <f>Systemberechnung!$B$20</f>
        <v>14</v>
      </c>
      <c r="E14" s="86">
        <f>Systemberechnung!$B$20</f>
        <v>14</v>
      </c>
      <c r="F14" s="86">
        <f>Systemberechnung!$B$20</f>
        <v>14</v>
      </c>
      <c r="G14" s="86">
        <f>Systemberechnung!$B$20</f>
        <v>14</v>
      </c>
      <c r="H14" s="86">
        <f>Systemberechnung!$B$20</f>
        <v>14</v>
      </c>
      <c r="I14" s="86">
        <f>Systemberechnung!$B$20</f>
        <v>14</v>
      </c>
      <c r="J14" s="86">
        <f>Systemberechnung!$B$20</f>
        <v>14</v>
      </c>
    </row>
    <row r="15" spans="1:10" x14ac:dyDescent="0.3">
      <c r="A15" t="s">
        <v>91</v>
      </c>
      <c r="B15" s="86">
        <f>(B13/60000)/((PI()/4)*(B14*10^-3)^2)</f>
        <v>0.43307467507998726</v>
      </c>
      <c r="C15" s="86">
        <f t="shared" ref="C15:G15" si="9">(C13/60000)/((PI()/4)*(C14*10^-3)^2)</f>
        <v>0.64961201261998092</v>
      </c>
      <c r="D15" s="86">
        <f t="shared" si="9"/>
        <v>0.86614935015997452</v>
      </c>
      <c r="E15" s="86">
        <f t="shared" si="9"/>
        <v>1.0826866876999681</v>
      </c>
      <c r="F15" s="86">
        <f t="shared" si="9"/>
        <v>1.2992240252399618</v>
      </c>
      <c r="G15" s="86">
        <f t="shared" si="9"/>
        <v>1.5157613627799553</v>
      </c>
      <c r="H15" s="86">
        <f>(H13/60000)/((PI()/4)*(H14*10^-3)^2)</f>
        <v>1.732298700319949</v>
      </c>
      <c r="I15" s="86">
        <f t="shared" ref="I15:J15" si="10">(I13/60000)/((PI()/4)*(I14*10^-3)^2)</f>
        <v>1.9488360378599425</v>
      </c>
      <c r="J15" s="86">
        <f t="shared" si="10"/>
        <v>2.1653733753999362</v>
      </c>
    </row>
    <row r="16" spans="1:10" x14ac:dyDescent="0.3">
      <c r="A16" t="s">
        <v>94</v>
      </c>
      <c r="B16" s="86">
        <f>0.98804*1000</f>
        <v>988.04000000000008</v>
      </c>
      <c r="C16" s="86">
        <f t="shared" ref="C16:J16" si="11">0.98804*1000</f>
        <v>988.04000000000008</v>
      </c>
      <c r="D16" s="86">
        <f t="shared" si="11"/>
        <v>988.04000000000008</v>
      </c>
      <c r="E16" s="86">
        <f t="shared" si="11"/>
        <v>988.04000000000008</v>
      </c>
      <c r="F16" s="86">
        <f t="shared" si="11"/>
        <v>988.04000000000008</v>
      </c>
      <c r="G16" s="86">
        <f t="shared" si="11"/>
        <v>988.04000000000008</v>
      </c>
      <c r="H16" s="86">
        <f t="shared" si="11"/>
        <v>988.04000000000008</v>
      </c>
      <c r="I16" s="86">
        <f t="shared" si="11"/>
        <v>988.04000000000008</v>
      </c>
      <c r="J16" s="86">
        <f t="shared" si="11"/>
        <v>988.04000000000008</v>
      </c>
    </row>
    <row r="17" spans="1:10" x14ac:dyDescent="0.3">
      <c r="A17" t="s">
        <v>95</v>
      </c>
      <c r="B17" s="86">
        <f t="shared" ref="B17:J17" si="12">1.0121*10^-3</f>
        <v>1.0120999999999999E-3</v>
      </c>
      <c r="C17" s="86">
        <f t="shared" si="12"/>
        <v>1.0120999999999999E-3</v>
      </c>
      <c r="D17" s="86">
        <f t="shared" si="12"/>
        <v>1.0120999999999999E-3</v>
      </c>
      <c r="E17" s="86">
        <f t="shared" si="12"/>
        <v>1.0120999999999999E-3</v>
      </c>
      <c r="F17" s="86">
        <f t="shared" si="12"/>
        <v>1.0120999999999999E-3</v>
      </c>
      <c r="G17" s="86">
        <f t="shared" si="12"/>
        <v>1.0120999999999999E-3</v>
      </c>
      <c r="H17" s="86">
        <f t="shared" si="12"/>
        <v>1.0120999999999999E-3</v>
      </c>
      <c r="I17" s="86">
        <f t="shared" si="12"/>
        <v>1.0120999999999999E-3</v>
      </c>
      <c r="J17" s="86">
        <f t="shared" si="12"/>
        <v>1.0120999999999999E-3</v>
      </c>
    </row>
    <row r="18" spans="1:10" x14ac:dyDescent="0.3">
      <c r="A18" t="s">
        <v>96</v>
      </c>
      <c r="B18" s="86">
        <f>(B16*B15*B14*10^-3)/B17</f>
        <v>5918.9125852429888</v>
      </c>
      <c r="C18" s="86">
        <f t="shared" ref="C18:J18" si="13">(C16*C15*C14*10^-3)/C17</f>
        <v>8878.3688778644828</v>
      </c>
      <c r="D18" s="86">
        <f t="shared" si="13"/>
        <v>11837.825170485978</v>
      </c>
      <c r="E18" s="86">
        <f t="shared" si="13"/>
        <v>14797.281463107471</v>
      </c>
      <c r="F18" s="86">
        <f t="shared" si="13"/>
        <v>17756.737755728966</v>
      </c>
      <c r="G18" s="86">
        <f t="shared" si="13"/>
        <v>20716.194048350462</v>
      </c>
      <c r="H18" s="86">
        <f t="shared" si="13"/>
        <v>23675.650340971955</v>
      </c>
      <c r="I18" s="86">
        <f t="shared" si="13"/>
        <v>26635.106633593448</v>
      </c>
      <c r="J18" s="86">
        <f t="shared" si="13"/>
        <v>29594.562926214941</v>
      </c>
    </row>
    <row r="19" spans="1:10" x14ac:dyDescent="0.3">
      <c r="A19" t="s">
        <v>61</v>
      </c>
      <c r="B19" s="86" t="str">
        <f t="shared" ref="B19:J19" si="14">IF(B18&gt;2300,"JA","NEIN")</f>
        <v>JA</v>
      </c>
      <c r="C19" s="86" t="str">
        <f t="shared" si="14"/>
        <v>JA</v>
      </c>
      <c r="D19" s="86" t="str">
        <f t="shared" si="14"/>
        <v>JA</v>
      </c>
      <c r="E19" s="86" t="str">
        <f t="shared" si="14"/>
        <v>JA</v>
      </c>
      <c r="F19" s="86" t="str">
        <f t="shared" si="14"/>
        <v>JA</v>
      </c>
      <c r="G19" s="86" t="str">
        <f t="shared" si="14"/>
        <v>JA</v>
      </c>
      <c r="H19" s="86" t="str">
        <f t="shared" si="14"/>
        <v>JA</v>
      </c>
      <c r="I19" s="86" t="str">
        <f t="shared" si="14"/>
        <v>JA</v>
      </c>
      <c r="J19" s="86" t="str">
        <f t="shared" si="14"/>
        <v>JA</v>
      </c>
    </row>
    <row r="20" spans="1:10" x14ac:dyDescent="0.3">
      <c r="A20" t="s">
        <v>97</v>
      </c>
      <c r="B20" s="86">
        <f>0.3164/B18^0.25</f>
        <v>3.6072479337102212E-2</v>
      </c>
      <c r="C20" s="86">
        <f t="shared" ref="C20:J20" si="15">0.3164/C18^0.25</f>
        <v>3.2595164604180292E-2</v>
      </c>
      <c r="D20" s="86">
        <f t="shared" si="15"/>
        <v>3.0333218563882942E-2</v>
      </c>
      <c r="E20" s="86">
        <f t="shared" si="15"/>
        <v>2.8687386930851662E-2</v>
      </c>
      <c r="F20" s="86">
        <f t="shared" si="15"/>
        <v>2.7409157070259968E-2</v>
      </c>
      <c r="G20" s="86">
        <f t="shared" si="15"/>
        <v>2.6372966445978384E-2</v>
      </c>
      <c r="H20" s="86">
        <f t="shared" si="15"/>
        <v>2.5507094753476595E-2</v>
      </c>
      <c r="I20" s="86">
        <f t="shared" si="15"/>
        <v>2.4766969245943859E-2</v>
      </c>
      <c r="J20" s="86">
        <f t="shared" si="15"/>
        <v>2.4123120833149422E-2</v>
      </c>
    </row>
    <row r="21" spans="1:10" x14ac:dyDescent="0.3">
      <c r="A21" t="s">
        <v>98</v>
      </c>
      <c r="B21" s="86">
        <f t="shared" ref="B21:G21" si="16">(1/(-2*LOG10(B$25/(3.71*B14))))^2</f>
        <v>2.3838789903891745E-2</v>
      </c>
      <c r="C21" s="86">
        <f t="shared" si="16"/>
        <v>2.3838789903891745E-2</v>
      </c>
      <c r="D21" s="86">
        <f t="shared" si="16"/>
        <v>2.3838789903891745E-2</v>
      </c>
      <c r="E21" s="86">
        <f t="shared" si="16"/>
        <v>2.3838789903891745E-2</v>
      </c>
      <c r="F21" s="86">
        <f t="shared" si="16"/>
        <v>2.3838789903891745E-2</v>
      </c>
      <c r="G21" s="86">
        <f t="shared" si="16"/>
        <v>2.3838789903891745E-2</v>
      </c>
      <c r="H21" s="86">
        <f>(1/(-2*LOG10(H$25/(3.71*H14))))^2</f>
        <v>2.3838789903891745E-2</v>
      </c>
      <c r="I21" s="86">
        <f t="shared" ref="I21:J21" si="17">(1/(-2*LOG10(I$25/(3.71*I14))))^2</f>
        <v>2.3838789903891745E-2</v>
      </c>
      <c r="J21" s="86">
        <f t="shared" si="17"/>
        <v>2.3838789903891745E-2</v>
      </c>
    </row>
    <row r="22" spans="1:10" x14ac:dyDescent="0.3">
      <c r="A22" t="s">
        <v>99</v>
      </c>
      <c r="B22" s="86">
        <f>B21*B47/B14*10^-3</f>
        <v>8.5138535371041946E-6</v>
      </c>
      <c r="C22" s="86">
        <f t="shared" ref="C22:J22" si="18">C21*C47/C14*10^-3</f>
        <v>8.5138535371041946E-6</v>
      </c>
      <c r="D22" s="86">
        <f t="shared" si="18"/>
        <v>8.5138535371041946E-6</v>
      </c>
      <c r="E22" s="86">
        <f t="shared" si="18"/>
        <v>8.5138535371041946E-6</v>
      </c>
      <c r="F22" s="86">
        <f t="shared" si="18"/>
        <v>8.5138535371041946E-6</v>
      </c>
      <c r="G22" s="86">
        <f t="shared" si="18"/>
        <v>8.5138535371041946E-6</v>
      </c>
      <c r="H22" s="86">
        <f t="shared" si="18"/>
        <v>8.5138535371041946E-6</v>
      </c>
      <c r="I22" s="86">
        <f t="shared" si="18"/>
        <v>8.5138535371041946E-6</v>
      </c>
      <c r="J22" s="86">
        <f t="shared" si="18"/>
        <v>8.5138535371041946E-6</v>
      </c>
    </row>
    <row r="23" spans="1:10" x14ac:dyDescent="0.3">
      <c r="A23" s="136" t="s">
        <v>137</v>
      </c>
      <c r="B23" s="136"/>
      <c r="C23" s="136"/>
      <c r="D23" s="136"/>
      <c r="E23" s="136"/>
      <c r="F23" s="136"/>
      <c r="G23" s="136"/>
      <c r="H23" s="136"/>
      <c r="I23" s="136"/>
      <c r="J23" s="136"/>
    </row>
    <row r="24" spans="1:10" x14ac:dyDescent="0.3">
      <c r="A24" t="s">
        <v>100</v>
      </c>
      <c r="B24" s="86">
        <f>Systemberechnung!$B$21</f>
        <v>25</v>
      </c>
      <c r="C24" s="86">
        <f>Systemberechnung!$B$21</f>
        <v>25</v>
      </c>
      <c r="D24" s="86">
        <f>Systemberechnung!$B$21</f>
        <v>25</v>
      </c>
      <c r="E24" s="86">
        <f>Systemberechnung!$B$21</f>
        <v>25</v>
      </c>
      <c r="F24" s="86">
        <f>Systemberechnung!$B$21</f>
        <v>25</v>
      </c>
      <c r="G24" s="86">
        <f>Systemberechnung!$B$21</f>
        <v>25</v>
      </c>
      <c r="H24" s="86">
        <f>Systemberechnung!$B$21</f>
        <v>25</v>
      </c>
      <c r="I24" s="86">
        <f>Systemberechnung!$B$21</f>
        <v>25</v>
      </c>
      <c r="J24" s="86">
        <f>Systemberechnung!$B$21</f>
        <v>25</v>
      </c>
    </row>
    <row r="25" spans="1:10" x14ac:dyDescent="0.3">
      <c r="A25" t="s">
        <v>69</v>
      </c>
      <c r="B25" s="86">
        <v>0.03</v>
      </c>
      <c r="C25" s="86">
        <v>0.03</v>
      </c>
      <c r="D25" s="86">
        <v>0.03</v>
      </c>
      <c r="E25" s="86">
        <v>0.03</v>
      </c>
      <c r="F25" s="86">
        <v>0.03</v>
      </c>
      <c r="G25" s="86">
        <v>0.03</v>
      </c>
      <c r="H25" s="86">
        <v>0.03</v>
      </c>
      <c r="I25" s="86">
        <v>0.03</v>
      </c>
      <c r="J25" s="86">
        <v>0.03</v>
      </c>
    </row>
    <row r="26" spans="1:10" x14ac:dyDescent="0.3">
      <c r="A26" t="s">
        <v>101</v>
      </c>
      <c r="B26" s="86">
        <f t="shared" ref="B26:J26" si="19">(2.89/(1+1000*B25/B3*10^-3))^12</f>
        <v>333397.75379455643</v>
      </c>
      <c r="C26" s="86">
        <f t="shared" si="19"/>
        <v>333397.75379455643</v>
      </c>
      <c r="D26" s="86">
        <f t="shared" si="19"/>
        <v>333397.75379455643</v>
      </c>
      <c r="E26" s="86">
        <f t="shared" si="19"/>
        <v>333397.75379455643</v>
      </c>
      <c r="F26" s="86">
        <f t="shared" si="19"/>
        <v>333397.75379455643</v>
      </c>
      <c r="G26" s="86">
        <f t="shared" si="19"/>
        <v>333397.75379455643</v>
      </c>
      <c r="H26" s="86">
        <f t="shared" si="19"/>
        <v>333397.75379455643</v>
      </c>
      <c r="I26" s="86">
        <f t="shared" si="19"/>
        <v>333397.75379455643</v>
      </c>
      <c r="J26" s="86">
        <f t="shared" si="19"/>
        <v>333397.75379455643</v>
      </c>
    </row>
    <row r="27" spans="1:10" x14ac:dyDescent="0.3">
      <c r="A27" t="s">
        <v>72</v>
      </c>
      <c r="B27" s="86">
        <f t="shared" ref="B27:J27" si="20">B25/B3</f>
        <v>1.5E-3</v>
      </c>
      <c r="C27" s="86">
        <f t="shared" si="20"/>
        <v>1.5E-3</v>
      </c>
      <c r="D27" s="86">
        <f t="shared" si="20"/>
        <v>1.5E-3</v>
      </c>
      <c r="E27" s="86">
        <f t="shared" si="20"/>
        <v>1.5E-3</v>
      </c>
      <c r="F27" s="86">
        <f t="shared" si="20"/>
        <v>1.5E-3</v>
      </c>
      <c r="G27" s="86">
        <f t="shared" si="20"/>
        <v>1.5E-3</v>
      </c>
      <c r="H27" s="86">
        <f t="shared" si="20"/>
        <v>1.5E-3</v>
      </c>
      <c r="I27" s="86">
        <f t="shared" si="20"/>
        <v>1.5E-3</v>
      </c>
      <c r="J27" s="86">
        <f t="shared" si="20"/>
        <v>1.5E-3</v>
      </c>
    </row>
    <row r="28" spans="1:10" x14ac:dyDescent="0.3">
      <c r="A28" t="s">
        <v>102</v>
      </c>
      <c r="B28" s="86">
        <f t="shared" ref="B28:J28" si="21">(128*B11*0.21)*SQRT((B3*10^-3)/(B24*10^-3))+(PI()/2)*((B24*10^-3)/(B3*10^-3))*B10</f>
        <v>4.276192373718285E-2</v>
      </c>
      <c r="C28" s="86">
        <f t="shared" si="21"/>
        <v>4.276192373718285E-2</v>
      </c>
      <c r="D28" s="86">
        <f t="shared" si="21"/>
        <v>4.276192373718285E-2</v>
      </c>
      <c r="E28" s="86">
        <f t="shared" si="21"/>
        <v>4.276192373718285E-2</v>
      </c>
      <c r="F28" s="86">
        <f t="shared" si="21"/>
        <v>4.276192373718285E-2</v>
      </c>
      <c r="G28" s="86">
        <f t="shared" si="21"/>
        <v>4.276192373718285E-2</v>
      </c>
      <c r="H28" s="86">
        <f>(128*H11*0.21)*SQRT((H3*10^-3)/(H24*10^-3))+(PI()/2)*((H24*10^-3)/(H3*10^-3))*H10</f>
        <v>4.276192373718285E-2</v>
      </c>
      <c r="I28" s="86">
        <f t="shared" si="21"/>
        <v>4.276192373718285E-2</v>
      </c>
      <c r="J28" s="86">
        <f t="shared" si="21"/>
        <v>4.276192373718285E-2</v>
      </c>
    </row>
    <row r="29" spans="1:10" x14ac:dyDescent="0.3">
      <c r="A29" s="136" t="s">
        <v>136</v>
      </c>
      <c r="B29" s="136"/>
      <c r="C29" s="136"/>
      <c r="D29" s="136"/>
      <c r="E29" s="136"/>
      <c r="F29" s="136"/>
      <c r="G29" s="136"/>
      <c r="H29" s="136"/>
      <c r="I29" s="136"/>
      <c r="J29" s="136"/>
    </row>
    <row r="30" spans="1:10" x14ac:dyDescent="0.3">
      <c r="A30" t="s">
        <v>100</v>
      </c>
      <c r="B30" s="86">
        <f>Systemberechnung!$B$22</f>
        <v>15</v>
      </c>
      <c r="C30" s="86">
        <f>Systemberechnung!$B$22</f>
        <v>15</v>
      </c>
      <c r="D30" s="86">
        <f>Systemberechnung!$B$22</f>
        <v>15</v>
      </c>
      <c r="E30" s="86">
        <f>Systemberechnung!$B$22</f>
        <v>15</v>
      </c>
      <c r="F30" s="86">
        <f>Systemberechnung!$B$22</f>
        <v>15</v>
      </c>
      <c r="G30" s="86">
        <f>Systemberechnung!$B$22</f>
        <v>15</v>
      </c>
      <c r="H30" s="86">
        <f>Systemberechnung!$B$22</f>
        <v>15</v>
      </c>
      <c r="I30" s="86">
        <f>Systemberechnung!$B$22</f>
        <v>15</v>
      </c>
      <c r="J30" s="86">
        <f>Systemberechnung!$B$22</f>
        <v>15</v>
      </c>
    </row>
    <row r="31" spans="1:10" x14ac:dyDescent="0.3">
      <c r="A31" t="s">
        <v>69</v>
      </c>
      <c r="B31" s="86">
        <v>0.03</v>
      </c>
      <c r="C31" s="86">
        <v>0.03</v>
      </c>
      <c r="D31" s="86">
        <v>0.03</v>
      </c>
      <c r="E31" s="86">
        <v>0.03</v>
      </c>
      <c r="F31" s="86">
        <v>0.03</v>
      </c>
      <c r="G31" s="86">
        <v>0.03</v>
      </c>
      <c r="H31" s="86">
        <v>0.03</v>
      </c>
      <c r="I31" s="86">
        <v>0.03</v>
      </c>
      <c r="J31" s="86">
        <v>0.03</v>
      </c>
    </row>
    <row r="32" spans="1:10" x14ac:dyDescent="0.3">
      <c r="A32" t="s">
        <v>101</v>
      </c>
      <c r="B32" s="86">
        <f>(2.89/(1+1000*B31/B14*10^-3))^12</f>
        <v>330840.36316224688</v>
      </c>
      <c r="C32" s="86">
        <f t="shared" ref="C32:J32" si="22">(2.89/(1+1000*C31/C14*10^-3))^12</f>
        <v>330840.36316224688</v>
      </c>
      <c r="D32" s="86">
        <f t="shared" si="22"/>
        <v>330840.36316224688</v>
      </c>
      <c r="E32" s="86">
        <f t="shared" si="22"/>
        <v>330840.36316224688</v>
      </c>
      <c r="F32" s="86">
        <f t="shared" si="22"/>
        <v>330840.36316224688</v>
      </c>
      <c r="G32" s="86">
        <f t="shared" si="22"/>
        <v>330840.36316224688</v>
      </c>
      <c r="H32" s="86">
        <f t="shared" si="22"/>
        <v>330840.36316224688</v>
      </c>
      <c r="I32" s="86">
        <f t="shared" si="22"/>
        <v>330840.36316224688</v>
      </c>
      <c r="J32" s="86">
        <f t="shared" si="22"/>
        <v>330840.36316224688</v>
      </c>
    </row>
    <row r="33" spans="1:10" x14ac:dyDescent="0.3">
      <c r="A33" t="s">
        <v>72</v>
      </c>
      <c r="B33" s="86">
        <f>B31/B14</f>
        <v>2.142857142857143E-3</v>
      </c>
      <c r="C33" s="86">
        <f t="shared" ref="C33:J33" si="23">C31/C14</f>
        <v>2.142857142857143E-3</v>
      </c>
      <c r="D33" s="86">
        <f t="shared" si="23"/>
        <v>2.142857142857143E-3</v>
      </c>
      <c r="E33" s="86">
        <f t="shared" si="23"/>
        <v>2.142857142857143E-3</v>
      </c>
      <c r="F33" s="86">
        <f t="shared" si="23"/>
        <v>2.142857142857143E-3</v>
      </c>
      <c r="G33" s="86">
        <f t="shared" si="23"/>
        <v>2.142857142857143E-3</v>
      </c>
      <c r="H33" s="86">
        <f t="shared" si="23"/>
        <v>2.142857142857143E-3</v>
      </c>
      <c r="I33" s="86">
        <f t="shared" si="23"/>
        <v>2.142857142857143E-3</v>
      </c>
      <c r="J33" s="86">
        <f t="shared" si="23"/>
        <v>2.142857142857143E-3</v>
      </c>
    </row>
    <row r="34" spans="1:10" x14ac:dyDescent="0.3">
      <c r="A34" t="s">
        <v>102</v>
      </c>
      <c r="B34" s="86">
        <f>(128*B22*0.21)*SQRT((B14*10^-3)/(B30*10^-3))+(PI()/2)*((B30*10^-3)/(B14*10^-3))*B21</f>
        <v>4.0341681995688175E-2</v>
      </c>
      <c r="C34" s="86">
        <f t="shared" ref="C34:J34" si="24">(128*C22*0.21)*SQRT((C14*10^-3)/(C30*10^-3))+(PI()/2)*((C30*10^-3)/(C14*10^-3))*C21</f>
        <v>4.0341681995688175E-2</v>
      </c>
      <c r="D34" s="86">
        <f t="shared" si="24"/>
        <v>4.0341681995688175E-2</v>
      </c>
      <c r="E34" s="86">
        <f t="shared" si="24"/>
        <v>4.0341681995688175E-2</v>
      </c>
      <c r="F34" s="86">
        <f t="shared" si="24"/>
        <v>4.0341681995688175E-2</v>
      </c>
      <c r="G34" s="86">
        <f t="shared" si="24"/>
        <v>4.0341681995688175E-2</v>
      </c>
      <c r="H34" s="86">
        <f t="shared" si="24"/>
        <v>4.0341681995688175E-2</v>
      </c>
      <c r="I34" s="86">
        <f t="shared" si="24"/>
        <v>4.0341681995688175E-2</v>
      </c>
      <c r="J34" s="86">
        <f t="shared" si="24"/>
        <v>4.0341681995688175E-2</v>
      </c>
    </row>
    <row r="35" spans="1:10" x14ac:dyDescent="0.3">
      <c r="A35" s="136" t="s">
        <v>135</v>
      </c>
      <c r="B35" s="136"/>
      <c r="C35" s="136"/>
      <c r="D35" s="136"/>
      <c r="E35" s="136"/>
      <c r="F35" s="136"/>
      <c r="G35" s="136"/>
      <c r="H35" s="136"/>
      <c r="I35" s="136"/>
      <c r="J35" s="136"/>
    </row>
    <row r="36" spans="1:10" x14ac:dyDescent="0.3">
      <c r="A36" t="s">
        <v>103</v>
      </c>
      <c r="B36" s="86">
        <f t="shared" ref="B36:J36" si="25">(B3/2)*10^-3*EXP(7*LN(0.02))</f>
        <v>1.2800000000000014E-14</v>
      </c>
      <c r="C36" s="86">
        <f t="shared" si="25"/>
        <v>1.2800000000000014E-14</v>
      </c>
      <c r="D36" s="86">
        <f t="shared" si="25"/>
        <v>1.2800000000000014E-14</v>
      </c>
      <c r="E36" s="86">
        <f t="shared" si="25"/>
        <v>1.2800000000000014E-14</v>
      </c>
      <c r="F36" s="86">
        <f t="shared" si="25"/>
        <v>1.2800000000000014E-14</v>
      </c>
      <c r="G36" s="86">
        <f t="shared" si="25"/>
        <v>1.2800000000000014E-14</v>
      </c>
      <c r="H36" s="86">
        <f t="shared" si="25"/>
        <v>1.2800000000000014E-14</v>
      </c>
      <c r="I36" s="86">
        <f t="shared" si="25"/>
        <v>1.2800000000000014E-14</v>
      </c>
      <c r="J36" s="86">
        <f t="shared" si="25"/>
        <v>1.2800000000000014E-14</v>
      </c>
    </row>
    <row r="37" spans="1:10" x14ac:dyDescent="0.3">
      <c r="A37" t="s">
        <v>104</v>
      </c>
      <c r="B37" s="86">
        <f t="shared" ref="B37:J37" si="26">(PI()/4)*B3^2</f>
        <v>314.15926535897933</v>
      </c>
      <c r="C37" s="86">
        <f t="shared" si="26"/>
        <v>314.15926535897933</v>
      </c>
      <c r="D37" s="86">
        <f t="shared" si="26"/>
        <v>314.15926535897933</v>
      </c>
      <c r="E37" s="86">
        <f t="shared" si="26"/>
        <v>314.15926535897933</v>
      </c>
      <c r="F37" s="86">
        <f t="shared" si="26"/>
        <v>314.15926535897933</v>
      </c>
      <c r="G37" s="86">
        <f t="shared" si="26"/>
        <v>314.15926535897933</v>
      </c>
      <c r="H37" s="86">
        <f t="shared" si="26"/>
        <v>314.15926535897933</v>
      </c>
      <c r="I37" s="86">
        <f t="shared" si="26"/>
        <v>314.15926535897933</v>
      </c>
      <c r="J37" s="86">
        <f t="shared" si="26"/>
        <v>314.15926535897933</v>
      </c>
    </row>
    <row r="38" spans="1:10" x14ac:dyDescent="0.3">
      <c r="A38" t="s">
        <v>105</v>
      </c>
      <c r="B38" s="86">
        <f t="shared" ref="B38:J38" si="27">B37/2</f>
        <v>157.07963267948966</v>
      </c>
      <c r="C38" s="86">
        <f t="shared" si="27"/>
        <v>157.07963267948966</v>
      </c>
      <c r="D38" s="86">
        <f t="shared" si="27"/>
        <v>157.07963267948966</v>
      </c>
      <c r="E38" s="86">
        <f t="shared" si="27"/>
        <v>157.07963267948966</v>
      </c>
      <c r="F38" s="86">
        <f t="shared" si="27"/>
        <v>157.07963267948966</v>
      </c>
      <c r="G38" s="86">
        <f t="shared" si="27"/>
        <v>157.07963267948966</v>
      </c>
      <c r="H38" s="86">
        <f t="shared" si="27"/>
        <v>157.07963267948966</v>
      </c>
      <c r="I38" s="86">
        <f t="shared" si="27"/>
        <v>157.07963267948966</v>
      </c>
      <c r="J38" s="86">
        <f t="shared" si="27"/>
        <v>157.07963267948966</v>
      </c>
    </row>
    <row r="39" spans="1:10" x14ac:dyDescent="0.3">
      <c r="A39" t="s">
        <v>106</v>
      </c>
      <c r="B39" s="86">
        <f t="shared" ref="B39:J39" si="28">SQRT((4*B38)/PI())</f>
        <v>14.142135623730951</v>
      </c>
      <c r="C39" s="86">
        <f t="shared" si="28"/>
        <v>14.142135623730951</v>
      </c>
      <c r="D39" s="86">
        <f t="shared" si="28"/>
        <v>14.142135623730951</v>
      </c>
      <c r="E39" s="86">
        <f t="shared" si="28"/>
        <v>14.142135623730951</v>
      </c>
      <c r="F39" s="86">
        <f t="shared" si="28"/>
        <v>14.142135623730951</v>
      </c>
      <c r="G39" s="86">
        <f t="shared" si="28"/>
        <v>14.142135623730951</v>
      </c>
      <c r="H39" s="86">
        <f t="shared" si="28"/>
        <v>14.142135623730951</v>
      </c>
      <c r="I39" s="86">
        <f t="shared" si="28"/>
        <v>14.142135623730951</v>
      </c>
      <c r="J39" s="86">
        <f t="shared" si="28"/>
        <v>14.142135623730951</v>
      </c>
    </row>
    <row r="40" spans="1:10" x14ac:dyDescent="0.3">
      <c r="A40" t="s">
        <v>107</v>
      </c>
      <c r="B40" s="86">
        <f>ROUND(B39,0)</f>
        <v>14</v>
      </c>
      <c r="C40" s="86">
        <f t="shared" ref="C40:J40" si="29">ROUND(C39,0)</f>
        <v>14</v>
      </c>
      <c r="D40" s="86">
        <f t="shared" si="29"/>
        <v>14</v>
      </c>
      <c r="E40" s="86">
        <f t="shared" si="29"/>
        <v>14</v>
      </c>
      <c r="F40" s="86">
        <f t="shared" si="29"/>
        <v>14</v>
      </c>
      <c r="G40" s="86">
        <f t="shared" si="29"/>
        <v>14</v>
      </c>
      <c r="H40" s="86">
        <f t="shared" si="29"/>
        <v>14</v>
      </c>
      <c r="I40" s="86">
        <f t="shared" si="29"/>
        <v>14</v>
      </c>
      <c r="J40" s="86">
        <f t="shared" si="29"/>
        <v>14</v>
      </c>
    </row>
    <row r="41" spans="1:10" x14ac:dyDescent="0.3">
      <c r="A41" t="s">
        <v>108</v>
      </c>
      <c r="B41" s="86">
        <f t="shared" ref="B41:J41" si="30">B37/((PI()/4)*B40^2*2)</f>
        <v>1.0204081632653061</v>
      </c>
      <c r="C41" s="86">
        <f t="shared" si="30"/>
        <v>1.0204081632653061</v>
      </c>
      <c r="D41" s="86">
        <f t="shared" si="30"/>
        <v>1.0204081632653061</v>
      </c>
      <c r="E41" s="86">
        <f t="shared" si="30"/>
        <v>1.0204081632653061</v>
      </c>
      <c r="F41" s="86">
        <f t="shared" si="30"/>
        <v>1.0204081632653061</v>
      </c>
      <c r="G41" s="86">
        <f t="shared" si="30"/>
        <v>1.0204081632653061</v>
      </c>
      <c r="H41" s="86">
        <f t="shared" si="30"/>
        <v>1.0204081632653061</v>
      </c>
      <c r="I41" s="86">
        <f t="shared" si="30"/>
        <v>1.0204081632653061</v>
      </c>
      <c r="J41" s="86">
        <f t="shared" si="30"/>
        <v>1.0204081632653061</v>
      </c>
    </row>
    <row r="42" spans="1:10" x14ac:dyDescent="0.3">
      <c r="B42" s="86"/>
      <c r="C42" s="86"/>
      <c r="D42" s="86"/>
      <c r="E42" s="86"/>
      <c r="F42" s="86"/>
      <c r="G42" s="86"/>
      <c r="H42" s="86"/>
      <c r="I42" s="86"/>
      <c r="J42" s="86"/>
    </row>
    <row r="43" spans="1:10" x14ac:dyDescent="0.3">
      <c r="A43" t="s">
        <v>109</v>
      </c>
      <c r="B43" s="87">
        <v>0.12</v>
      </c>
      <c r="C43" s="87">
        <v>0.12</v>
      </c>
      <c r="D43" s="87">
        <v>0.12</v>
      </c>
      <c r="E43" s="87">
        <v>0.12</v>
      </c>
      <c r="F43" s="87">
        <v>0.12</v>
      </c>
      <c r="G43" s="87">
        <v>0.12</v>
      </c>
      <c r="H43" s="87">
        <v>0.12</v>
      </c>
      <c r="I43" s="87">
        <v>0.12</v>
      </c>
      <c r="J43" s="87">
        <v>0.12</v>
      </c>
    </row>
    <row r="44" spans="1:10" x14ac:dyDescent="0.3">
      <c r="A44" t="s">
        <v>110</v>
      </c>
      <c r="B44" s="86">
        <f>Systemberechnung!$B$23</f>
        <v>4</v>
      </c>
      <c r="C44" s="86">
        <f>Systemberechnung!$B$23</f>
        <v>4</v>
      </c>
      <c r="D44" s="86">
        <f>Systemberechnung!$B$23</f>
        <v>4</v>
      </c>
      <c r="E44" s="86">
        <f>Systemberechnung!$B$23</f>
        <v>4</v>
      </c>
      <c r="F44" s="86">
        <f>Systemberechnung!$B$23</f>
        <v>4</v>
      </c>
      <c r="G44" s="86">
        <f>Systemberechnung!$B$23</f>
        <v>4</v>
      </c>
      <c r="H44" s="86">
        <f>Systemberechnung!$B$23</f>
        <v>4</v>
      </c>
      <c r="I44" s="86">
        <f>Systemberechnung!$B$23</f>
        <v>4</v>
      </c>
      <c r="J44" s="86">
        <f>Systemberechnung!$B$23</f>
        <v>4</v>
      </c>
    </row>
    <row r="45" spans="1:10" x14ac:dyDescent="0.3">
      <c r="A45" t="s">
        <v>114</v>
      </c>
      <c r="B45" s="86">
        <f>Systemberechnung!$B$25</f>
        <v>6</v>
      </c>
      <c r="C45" s="86">
        <f>Systemberechnung!$B$25</f>
        <v>6</v>
      </c>
      <c r="D45" s="86">
        <f>Systemberechnung!$B$25</f>
        <v>6</v>
      </c>
      <c r="E45" s="86">
        <f>Systemberechnung!$B$25</f>
        <v>6</v>
      </c>
      <c r="F45" s="86">
        <f>Systemberechnung!$B$25</f>
        <v>6</v>
      </c>
      <c r="G45" s="86">
        <f>Systemberechnung!$B$25</f>
        <v>6</v>
      </c>
      <c r="H45" s="86">
        <f>Systemberechnung!$B$25</f>
        <v>6</v>
      </c>
      <c r="I45" s="86">
        <f>Systemberechnung!$B$25</f>
        <v>6</v>
      </c>
      <c r="J45" s="86">
        <f>Systemberechnung!$B$25</f>
        <v>6</v>
      </c>
    </row>
    <row r="46" spans="1:10" x14ac:dyDescent="0.3">
      <c r="A46" t="s">
        <v>111</v>
      </c>
      <c r="B46" s="86">
        <f>Systemberechnung!$B$27</f>
        <v>5</v>
      </c>
      <c r="C46" s="86">
        <f>Systemberechnung!$B$27</f>
        <v>5</v>
      </c>
      <c r="D46" s="86">
        <f>Systemberechnung!$B$27</f>
        <v>5</v>
      </c>
      <c r="E46" s="86">
        <f>Systemberechnung!$B$27</f>
        <v>5</v>
      </c>
      <c r="F46" s="86">
        <f>Systemberechnung!$B$27</f>
        <v>5</v>
      </c>
      <c r="G46" s="86">
        <f>Systemberechnung!$B$27</f>
        <v>5</v>
      </c>
      <c r="H46" s="86">
        <f>Systemberechnung!$B$27</f>
        <v>5</v>
      </c>
      <c r="I46" s="86">
        <f>Systemberechnung!$B$27</f>
        <v>5</v>
      </c>
      <c r="J46" s="86">
        <f>Systemberechnung!$B$27</f>
        <v>5</v>
      </c>
    </row>
    <row r="47" spans="1:10" x14ac:dyDescent="0.3">
      <c r="A47" t="s">
        <v>112</v>
      </c>
      <c r="B47" s="86">
        <f>Systemberechnung!$B$28</f>
        <v>5</v>
      </c>
      <c r="C47" s="86">
        <f>Systemberechnung!$B$28</f>
        <v>5</v>
      </c>
      <c r="D47" s="86">
        <f>Systemberechnung!$B$28</f>
        <v>5</v>
      </c>
      <c r="E47" s="86">
        <f>Systemberechnung!$B$28</f>
        <v>5</v>
      </c>
      <c r="F47" s="86">
        <f>Systemberechnung!$B$28</f>
        <v>5</v>
      </c>
      <c r="G47" s="86">
        <f>Systemberechnung!$B$28</f>
        <v>5</v>
      </c>
      <c r="H47" s="86">
        <f>Systemberechnung!$B$28</f>
        <v>5</v>
      </c>
      <c r="I47" s="86">
        <f>Systemberechnung!$B$28</f>
        <v>5</v>
      </c>
      <c r="J47" s="86">
        <f>Systemberechnung!$B$28</f>
        <v>5</v>
      </c>
    </row>
    <row r="48" spans="1:10" x14ac:dyDescent="0.3">
      <c r="A48" t="s">
        <v>113</v>
      </c>
      <c r="B48" s="86">
        <f>Systemberechnung!$B$26</f>
        <v>10</v>
      </c>
      <c r="C48" s="86">
        <f>Systemberechnung!$B$26</f>
        <v>10</v>
      </c>
      <c r="D48" s="86">
        <f>Systemberechnung!$B$26</f>
        <v>10</v>
      </c>
      <c r="E48" s="86">
        <f>Systemberechnung!$B$26</f>
        <v>10</v>
      </c>
      <c r="F48" s="86">
        <f>Systemberechnung!$B$26</f>
        <v>10</v>
      </c>
      <c r="G48" s="86">
        <f>Systemberechnung!$B$26</f>
        <v>10</v>
      </c>
      <c r="H48" s="86">
        <f>Systemberechnung!$B$26</f>
        <v>10</v>
      </c>
      <c r="I48" s="86">
        <f>Systemberechnung!$B$26</f>
        <v>10</v>
      </c>
      <c r="J48" s="86">
        <f>Systemberechnung!$B$26</f>
        <v>10</v>
      </c>
    </row>
    <row r="49" spans="1:10" x14ac:dyDescent="0.3">
      <c r="B49" s="86"/>
      <c r="C49" s="86"/>
      <c r="D49" s="86"/>
      <c r="E49" s="86"/>
      <c r="F49" s="86"/>
      <c r="G49" s="86"/>
      <c r="H49" s="86"/>
      <c r="I49" s="86"/>
      <c r="J49" s="86"/>
    </row>
    <row r="50" spans="1:10" x14ac:dyDescent="0.3">
      <c r="A50" t="s">
        <v>138</v>
      </c>
      <c r="B50" s="86">
        <f>B44*B43+B45*B28+B11*B46+B22*B47+B34*B48</f>
        <v>1.1400580716542337</v>
      </c>
      <c r="C50" s="86">
        <f>C44*C43+C45*C28+C11*C46+C22*C47+C34*C48</f>
        <v>1.1400580716542337</v>
      </c>
      <c r="D50" s="86">
        <f t="shared" ref="D50:J50" si="31">D44*D43+D45*D28+D11*D46+D22*D47+D34*D48</f>
        <v>1.1400580716542337</v>
      </c>
      <c r="E50" s="86">
        <f t="shared" si="31"/>
        <v>1.1400580716542337</v>
      </c>
      <c r="F50" s="86">
        <f t="shared" si="31"/>
        <v>1.1400580716542337</v>
      </c>
      <c r="G50" s="86">
        <f>G44*G43+G45*G28+G11*G46+G22*G47+G34*G48</f>
        <v>1.1400580716542337</v>
      </c>
      <c r="H50" s="86">
        <f>H44*H43+H45*H28+H11*H46+H22*H47+H34*H48</f>
        <v>1.1400580716542337</v>
      </c>
      <c r="I50" s="86">
        <f t="shared" si="31"/>
        <v>1.1400580716542337</v>
      </c>
      <c r="J50" s="86">
        <f t="shared" si="31"/>
        <v>1.1400580716542337</v>
      </c>
    </row>
    <row r="51" spans="1:10" x14ac:dyDescent="0.3">
      <c r="A51" t="s">
        <v>115</v>
      </c>
      <c r="B51" s="86">
        <f t="shared" ref="B51:J51" si="32">(B50*B5*B4^2)/2</f>
        <v>25.362335405210143</v>
      </c>
      <c r="C51" s="86">
        <f t="shared" si="32"/>
        <v>57.065254661722825</v>
      </c>
      <c r="D51" s="86">
        <f t="shared" si="32"/>
        <v>101.44934162084057</v>
      </c>
      <c r="E51" s="86">
        <f t="shared" si="32"/>
        <v>158.51459628256336</v>
      </c>
      <c r="F51" s="86">
        <f t="shared" si="32"/>
        <v>228.2610186468913</v>
      </c>
      <c r="G51" s="86">
        <f t="shared" si="32"/>
        <v>310.68860871382418</v>
      </c>
      <c r="H51" s="86">
        <f t="shared" si="32"/>
        <v>405.79736648336228</v>
      </c>
      <c r="I51" s="86">
        <f t="shared" si="32"/>
        <v>513.58729195550529</v>
      </c>
      <c r="J51" s="86">
        <f t="shared" si="32"/>
        <v>634.05838513025344</v>
      </c>
    </row>
    <row r="52" spans="1:10" x14ac:dyDescent="0.3">
      <c r="A52" t="s">
        <v>116</v>
      </c>
      <c r="B52" s="86">
        <f>B51*10^-5</f>
        <v>2.5362335405210146E-4</v>
      </c>
      <c r="C52" s="86">
        <f t="shared" ref="C52:I52" si="33">C51*10^-5</f>
        <v>5.7065254661722831E-4</v>
      </c>
      <c r="D52" s="86">
        <f t="shared" si="33"/>
        <v>1.0144934162084058E-3</v>
      </c>
      <c r="E52" s="86">
        <f t="shared" si="33"/>
        <v>1.5851459628256337E-3</v>
      </c>
      <c r="F52" s="86">
        <f t="shared" si="33"/>
        <v>2.2826101864689132E-3</v>
      </c>
      <c r="G52" s="86">
        <f t="shared" si="33"/>
        <v>3.106886087138242E-3</v>
      </c>
      <c r="H52" s="86">
        <f t="shared" si="33"/>
        <v>4.0579736648336234E-3</v>
      </c>
      <c r="I52" s="86">
        <f t="shared" si="33"/>
        <v>5.1358729195550533E-3</v>
      </c>
      <c r="J52" s="86">
        <f>J51*10^-5</f>
        <v>6.3405838513025349E-3</v>
      </c>
    </row>
  </sheetData>
  <mergeCells count="5">
    <mergeCell ref="A1:J1"/>
    <mergeCell ref="A12:J12"/>
    <mergeCell ref="A23:J23"/>
    <mergeCell ref="A29:J29"/>
    <mergeCell ref="A35:J3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Kühlerberechnung</vt:lpstr>
      <vt:lpstr>Prop Berechnung</vt:lpstr>
      <vt:lpstr>Systemberechnung</vt:lpstr>
      <vt:lpstr>Druckverlust BSP. Rechnung</vt:lpstr>
      <vt:lpstr>Druckverlust 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</dc:creator>
  <cp:keywords/>
  <dc:description/>
  <cp:lastModifiedBy>Lukas Deeken</cp:lastModifiedBy>
  <cp:revision/>
  <dcterms:created xsi:type="dcterms:W3CDTF">2021-03-18T00:16:29Z</dcterms:created>
  <dcterms:modified xsi:type="dcterms:W3CDTF">2022-10-03T18:22:10Z</dcterms:modified>
  <cp:category/>
  <cp:contentStatus/>
</cp:coreProperties>
</file>