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Privat\Git\Projektarbeit-Hochvolt-Elektrik-Komponenten-FSE-Fahrzeug\ressourcen\"/>
    </mc:Choice>
  </mc:AlternateContent>
  <xr:revisionPtr revIDLastSave="0" documentId="13_ncr:1_{456948AC-4549-4E0E-B6D0-DEAA136CF9FD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E121" i="1"/>
  <c r="E122" i="1"/>
  <c r="B125" i="1"/>
  <c r="B129" i="1" s="1"/>
  <c r="B121" i="1"/>
  <c r="B109" i="1"/>
  <c r="B117" i="1"/>
  <c r="B118" i="1"/>
  <c r="B108" i="1"/>
  <c r="B114" i="1"/>
  <c r="B116" i="1"/>
  <c r="B115" i="1"/>
  <c r="E102" i="1"/>
  <c r="B124" i="1"/>
  <c r="B112" i="1"/>
  <c r="B111" i="1"/>
  <c r="B91" i="1"/>
  <c r="B59" i="1"/>
  <c r="B135" i="1"/>
  <c r="B134" i="1"/>
  <c r="B92" i="1"/>
  <c r="B74" i="1"/>
  <c r="B56" i="1"/>
  <c r="B54" i="1"/>
  <c r="B53" i="1"/>
  <c r="B52" i="1"/>
  <c r="B51" i="1"/>
  <c r="B50" i="1"/>
  <c r="B48" i="1"/>
  <c r="B47" i="1"/>
  <c r="B46" i="1"/>
  <c r="B45" i="1"/>
  <c r="B40" i="1"/>
  <c r="B35" i="1"/>
  <c r="B19" i="1"/>
  <c r="F39" i="1"/>
  <c r="B39" i="1" s="1"/>
  <c r="I23" i="1" l="1"/>
  <c r="B21" i="1" s="1"/>
  <c r="G23" i="1"/>
  <c r="D62" i="1"/>
  <c r="B62" i="1" s="1"/>
  <c r="B63" i="1" s="1"/>
  <c r="D63" i="1" s="1"/>
  <c r="B64" i="1" s="1"/>
  <c r="B94" i="1"/>
  <c r="B110" i="1"/>
  <c r="D137" i="1"/>
  <c r="B137" i="1" s="1"/>
  <c r="B146" i="1"/>
  <c r="E144" i="1" s="1"/>
  <c r="E145" i="1" s="1"/>
  <c r="B147" i="1" s="1"/>
  <c r="B151" i="1" s="1"/>
  <c r="B81" i="1"/>
  <c r="E79" i="1" s="1"/>
  <c r="E80" i="1" s="1"/>
  <c r="B82" i="1" s="1"/>
  <c r="B86" i="1" s="1"/>
  <c r="D19" i="1"/>
  <c r="B72" i="1"/>
  <c r="B75" i="1"/>
  <c r="B138" i="1"/>
  <c r="D38" i="1"/>
  <c r="D40" i="1" s="1"/>
  <c r="S71" i="1"/>
  <c r="S51" i="1"/>
  <c r="B23" i="1"/>
  <c r="B90" i="1" l="1"/>
  <c r="B33" i="1"/>
  <c r="B32" i="1"/>
  <c r="D21" i="1"/>
  <c r="B17" i="1"/>
  <c r="B20" i="1"/>
  <c r="B24" i="1" s="1"/>
  <c r="B68" i="1"/>
  <c r="D44" i="1"/>
  <c r="B27" i="1"/>
  <c r="D52" i="1" l="1"/>
  <c r="D68" i="1"/>
  <c r="B69" i="1"/>
  <c r="D72" i="1"/>
  <c r="B7" i="1"/>
  <c r="B31" i="1" s="1"/>
  <c r="H23" i="1"/>
  <c r="F23" i="1"/>
  <c r="B96" i="1" l="1"/>
  <c r="B98" i="1" s="1"/>
  <c r="B101" i="1" l="1"/>
  <c r="D33" i="1"/>
  <c r="B76" i="1"/>
  <c r="B133" i="1"/>
  <c r="B42" i="1"/>
  <c r="D42" i="1" s="1"/>
  <c r="D32" i="1"/>
  <c r="D48" i="1"/>
  <c r="E47" i="1"/>
  <c r="B140" i="1" l="1"/>
  <c r="B153" i="1" s="1"/>
  <c r="B78" i="1"/>
  <c r="B83" i="1" s="1"/>
  <c r="B88" i="1"/>
  <c r="D51" i="1"/>
  <c r="B143" i="1" l="1"/>
  <c r="B148" i="1" s="1"/>
  <c r="B104" i="1"/>
  <c r="B105" i="1" s="1"/>
  <c r="E103" i="1" l="1"/>
</calcChain>
</file>

<file path=xl/sharedStrings.xml><?xml version="1.0" encoding="utf-8"?>
<sst xmlns="http://schemas.openxmlformats.org/spreadsheetml/2006/main" count="351" uniqueCount="193">
  <si>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</si>
  <si>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</si>
  <si>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</si>
  <si>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</si>
  <si>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</si>
  <si>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</si>
  <si>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</si>
  <si>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</si>
  <si>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Ü</t>
  </si>
  <si>
    <t>V</t>
  </si>
  <si>
    <t xml:space="preserve">bis 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</si>
  <si>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</si>
  <si>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</si>
  <si>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</si>
  <si>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</si>
  <si>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</si>
  <si>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</si>
  <si>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</si>
  <si>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</si>
  <si>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</si>
  <si>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>A</t>
  </si>
  <si>
    <t>L_o</t>
  </si>
  <si>
    <t>hz</t>
  </si>
  <si>
    <t>H</t>
  </si>
  <si>
    <t>L_o (Vmin) &gt;</t>
  </si>
  <si>
    <t>L_o (Vmax) &gt;</t>
  </si>
  <si>
    <t>V_In_min</t>
  </si>
  <si>
    <t>V_In_max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</si>
  <si>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</si>
  <si>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</si>
  <si>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</si>
  <si>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</si>
  <si>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</si>
  <si>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</si>
  <si>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</si>
  <si>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</si>
  <si>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</si>
  <si>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</si>
  <si>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</si>
  <si>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</si>
  <si>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</si>
  <si>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</si>
  <si>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</si>
  <si>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</si>
  <si>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</si>
  <si>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</si>
  <si>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</si>
  <si>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</si>
  <si>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</si>
  <si>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</si>
  <si>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</si>
  <si>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</si>
  <si>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</si>
  <si>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</si>
  <si>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</si>
  <si>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</si>
  <si>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</si>
  <si>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</si>
  <si>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</si>
  <si>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</si>
  <si>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</si>
  <si>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</si>
  <si>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</si>
  <si>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</si>
  <si>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</si>
  <si>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</si>
  <si>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</si>
  <si>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</si>
  <si>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</si>
  <si>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</si>
  <si>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</si>
  <si>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</si>
  <si>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</si>
  <si>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</si>
  <si>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</si>
  <si>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</si>
  <si>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</si>
  <si>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</si>
  <si>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</si>
  <si>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</si>
  <si>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</si>
  <si>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</si>
  <si>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</si>
  <si>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</si>
  <si>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</si>
  <si>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</si>
  <si>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</si>
  <si>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</si>
  <si>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</si>
  <si>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</si>
  <si>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</si>
  <si>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</si>
  <si>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</si>
  <si>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</si>
  <si>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</si>
  <si>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</si>
  <si>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</si>
  <si>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</si>
  <si>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</si>
  <si>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</si>
  <si>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</si>
  <si>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</si>
  <si>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</si>
  <si>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Calculated Value</t>
  </si>
  <si>
    <t>Input</t>
  </si>
  <si>
    <t>Active Clamp Mosfet</t>
  </si>
  <si>
    <t>Primary Mosfet</t>
  </si>
  <si>
    <t>P_I_Mag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</si>
  <si>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</si>
  <si>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</si>
  <si>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</si>
  <si>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</si>
  <si>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</si>
  <si>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</si>
  <si>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</si>
  <si>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</si>
  <si>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</si>
  <si>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</si>
  <si>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</si>
  <si>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</si>
  <si>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</si>
  <si>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</si>
  <si>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</si>
  <si>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</si>
  <si>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</si>
  <si>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</si>
  <si>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</si>
  <si>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</si>
  <si>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</si>
  <si>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</si>
  <si>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</si>
  <si>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</si>
  <si>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</si>
  <si>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</si>
  <si>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</si>
  <si>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</si>
  <si>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</si>
  <si>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</si>
  <si>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</si>
  <si>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</si>
  <si>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</si>
  <si>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</si>
  <si>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</si>
  <si>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</si>
  <si>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</si>
  <si>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</si>
  <si>
    <t>AGM2222-562</t>
  </si>
  <si>
    <t>t_amb</t>
  </si>
  <si>
    <t>°C</t>
  </si>
  <si>
    <t>R_t_max</t>
  </si>
  <si>
    <t>t_max_mos</t>
  </si>
  <si>
    <t>K/W</t>
  </si>
  <si>
    <t>R_thJC</t>
  </si>
  <si>
    <t>R_thCS</t>
  </si>
  <si>
    <t>A-sink</t>
  </si>
  <si>
    <t>mm^2</t>
  </si>
  <si>
    <t>R_thSC</t>
  </si>
  <si>
    <t>R_thCA_max</t>
  </si>
  <si>
    <t>Arctivc Silver 5</t>
  </si>
  <si>
    <t>W/mm^2*K</t>
  </si>
  <si>
    <t>W/K</t>
  </si>
  <si>
    <t>geschätzt</t>
  </si>
  <si>
    <t>TO247-3</t>
  </si>
  <si>
    <t>RA-T2X-38E</t>
  </si>
  <si>
    <t>TO264-3</t>
  </si>
  <si>
    <t>TO220-3</t>
  </si>
  <si>
    <t>WA-T220-101E</t>
  </si>
  <si>
    <t>I_D_Max_pulsed</t>
  </si>
  <si>
    <t>P_ACM_Max</t>
  </si>
  <si>
    <t>Safety Factor</t>
  </si>
  <si>
    <t>T_th_gesamt</t>
  </si>
  <si>
    <t>t_max</t>
  </si>
  <si>
    <t>CR101-75</t>
  </si>
  <si>
    <t>General</t>
  </si>
  <si>
    <t>2V Entladeschluss und etwas luft nach unten</t>
  </si>
  <si>
    <t>4,25V Ladeschluss und etwas luft nach oben</t>
  </si>
  <si>
    <t xml:space="preserve"> </t>
  </si>
  <si>
    <t>Min Verbauch des Fahzeuges Ripple soll kleiner sein um in CCM zu bleiben sonst DCM</t>
  </si>
  <si>
    <t>ICR</t>
  </si>
  <si>
    <t>1/1/ESR1+1/ESR2…</t>
  </si>
  <si>
    <t>Werte aus Red Expert von WE</t>
  </si>
  <si>
    <t>gleich wie oben</t>
  </si>
  <si>
    <t>"-&gt;"</t>
  </si>
  <si>
    <t>Zu groß!!!</t>
  </si>
  <si>
    <t>ersatzweise</t>
  </si>
  <si>
    <t>AGM2222-562ME</t>
  </si>
  <si>
    <t>I Ripple</t>
  </si>
  <si>
    <t>I Ripple neu</t>
  </si>
  <si>
    <t>&lt;- fehler fläche falsch</t>
  </si>
  <si>
    <t>CS = Case Sink</t>
  </si>
  <si>
    <t>JC = Junction Case</t>
  </si>
  <si>
    <t>SA = Sink Ambient</t>
  </si>
  <si>
    <t>RT_th_gesamt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</si>
</sst>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%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5" borderId="0" xfId="0" applyNumberFormat="1" applyFill="1"/>
    <xf numFmtId="0" fontId="3" fillId="0" borderId="0" xfId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167" fontId="0" fillId="0" borderId="0" xfId="2" applyNumberFormat="1" applyFont="1"/>
    <xf numFmtId="9" fontId="0" fillId="3" borderId="0" xfId="2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18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41</xdr:row>
      <xdr:rowOff>0</xdr:rowOff>
    </xdr:from>
    <xdr:to>
      <xdr:col>12</xdr:col>
      <xdr:colOff>512444</xdr:colOff>
      <xdr:row>49</xdr:row>
      <xdr:rowOff>91750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46</xdr:row>
      <xdr:rowOff>114301</xdr:rowOff>
    </xdr:from>
    <xdr:to>
      <xdr:col>12</xdr:col>
      <xdr:colOff>190499</xdr:colOff>
      <xdr:row>49</xdr:row>
      <xdr:rowOff>170422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50</xdr:row>
      <xdr:rowOff>15240</xdr:rowOff>
    </xdr:from>
    <xdr:to>
      <xdr:col>11</xdr:col>
      <xdr:colOff>554903</xdr:colOff>
      <xdr:row>54</xdr:row>
      <xdr:rowOff>57149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54</xdr:row>
      <xdr:rowOff>119029</xdr:rowOff>
    </xdr:from>
    <xdr:to>
      <xdr:col>14</xdr:col>
      <xdr:colOff>22531</xdr:colOff>
      <xdr:row>57</xdr:row>
      <xdr:rowOff>172295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3</xdr:col>
      <xdr:colOff>99890</xdr:colOff>
      <xdr:row>16</xdr:row>
      <xdr:rowOff>60463</xdr:rowOff>
    </xdr:from>
    <xdr:to>
      <xdr:col>4</xdr:col>
      <xdr:colOff>361195</xdr:colOff>
      <xdr:row>17</xdr:row>
      <xdr:rowOff>22381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1716" y="3028950"/>
          <a:ext cx="1082940" cy="147448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57</xdr:row>
      <xdr:rowOff>127437</xdr:rowOff>
    </xdr:from>
    <xdr:to>
      <xdr:col>14</xdr:col>
      <xdr:colOff>131708</xdr:colOff>
      <xdr:row>66</xdr:row>
      <xdr:rowOff>547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66</xdr:row>
      <xdr:rowOff>37931</xdr:rowOff>
    </xdr:from>
    <xdr:to>
      <xdr:col>14</xdr:col>
      <xdr:colOff>249746</xdr:colOff>
      <xdr:row>72</xdr:row>
      <xdr:rowOff>133089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65</xdr:row>
      <xdr:rowOff>174061</xdr:rowOff>
    </xdr:from>
    <xdr:to>
      <xdr:col>5</xdr:col>
      <xdr:colOff>778422</xdr:colOff>
      <xdr:row>67</xdr:row>
      <xdr:rowOff>169837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40</xdr:row>
      <xdr:rowOff>140818</xdr:rowOff>
    </xdr:from>
    <xdr:to>
      <xdr:col>33</xdr:col>
      <xdr:colOff>18197</xdr:colOff>
      <xdr:row>53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61912</xdr:colOff>
      <xdr:row>54</xdr:row>
      <xdr:rowOff>2930</xdr:rowOff>
    </xdr:from>
    <xdr:to>
      <xdr:col>33</xdr:col>
      <xdr:colOff>133348</xdr:colOff>
      <xdr:row>66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5432" y="9878450"/>
          <a:ext cx="9828846" cy="2363160"/>
        </a:xfrm>
        <a:prstGeom prst="rect">
          <a:avLst/>
        </a:prstGeom>
      </xdr:spPr>
    </xdr:pic>
    <xdr:clientData/>
  </xdr:twoCellAnchor>
  <xdr:twoCellAnchor>
    <xdr:from>
      <xdr:col>11</xdr:col>
      <xdr:colOff>532055</xdr:colOff>
      <xdr:row>78</xdr:row>
      <xdr:rowOff>110714</xdr:rowOff>
    </xdr:from>
    <xdr:to>
      <xdr:col>20</xdr:col>
      <xdr:colOff>441736</xdr:colOff>
      <xdr:row>101</xdr:row>
      <xdr:rowOff>11766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9999905" y="14226764"/>
          <a:ext cx="5396081" cy="4063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5</xdr:col>
      <xdr:colOff>699246</xdr:colOff>
      <xdr:row>6</xdr:row>
      <xdr:rowOff>170328</xdr:rowOff>
    </xdr:from>
    <xdr:to>
      <xdr:col>12</xdr:col>
      <xdr:colOff>376517</xdr:colOff>
      <xdr:row>10</xdr:row>
      <xdr:rowOff>71717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10CF803F-2A10-8EB4-E575-7B5DDD43E7A7}"/>
            </a:ext>
          </a:extLst>
        </xdr:cNvPr>
        <xdr:cNvSpPr txBox="1"/>
      </xdr:nvSpPr>
      <xdr:spPr>
        <a:xfrm>
          <a:off x="4778187" y="1246093"/>
          <a:ext cx="4374777" cy="618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</a:t>
          </a:r>
          <a:r>
            <a:rPr lang="de-DE" sz="1100" baseline="0"/>
            <a:t> zukunft definitiv potential vorhanden die schaltfrequenz zu vergrößern und den wandler damit kleiner zu halten. Aber hier nur Proof of Concept und damit so wenig wie möglich ändern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ilcraft.com/en-us/products/power/shielded-inductors/high-current-flat-wire/agp-ver/agm2222/?skuId=304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9"/>
  <sheetViews>
    <sheetView tabSelected="1" topLeftCell="A55" zoomScaleNormal="100" workbookViewId="0">
      <selection activeCell="D137" sqref="D137"/>
    </sheetView>
  </sheetViews>
  <sheetFormatPr baseColWidth="10" defaultColWidth="8.88671875" defaultRowHeight="14.4" x14ac:dyDescent="0.3"/>
  <cols>
    <col min="1" max="1" width="17" customWidth="1"/>
    <col min="2" max="2" width="25.33203125" bestFit="1" customWidth="1"/>
    <col min="4" max="4" width="12" bestFit="1" customWidth="1"/>
    <col min="6" max="6" width="12" bestFit="1" customWidth="1"/>
    <col min="7" max="7" width="18.6640625" bestFit="1" customWidth="1"/>
  </cols>
  <sheetData>
    <row r="1" spans="1:10" x14ac:dyDescent="0.3">
      <c r="A1" s="31" t="s">
        <v>173</v>
      </c>
      <c r="B1" s="31"/>
      <c r="C1" s="31"/>
      <c r="D1" s="31"/>
      <c r="E1" s="31"/>
      <c r="F1" s="31"/>
      <c r="G1" s="31"/>
      <c r="H1" s="31"/>
      <c r="I1" s="31"/>
      <c r="J1" t="s">
        <v>53</v>
      </c>
    </row>
    <row r="2" spans="1:10" x14ac:dyDescent="0.3">
      <c r="A2" t="s">
        <v>0</v>
      </c>
      <c r="G2" s="6" t="s">
        <v>103</v>
      </c>
      <c r="J2" t="s">
        <v>52</v>
      </c>
    </row>
    <row r="3" spans="1:10" x14ac:dyDescent="0.3">
      <c r="A3" t="s">
        <v>1</v>
      </c>
      <c r="B3" s="14">
        <v>24</v>
      </c>
      <c r="C3" t="s">
        <v>9</v>
      </c>
      <c r="G3" s="14" t="s">
        <v>104</v>
      </c>
      <c r="J3" t="s">
        <v>54</v>
      </c>
    </row>
    <row r="4" spans="1:10" x14ac:dyDescent="0.3">
      <c r="A4" t="s">
        <v>19</v>
      </c>
      <c r="B4" s="14">
        <v>960</v>
      </c>
      <c r="C4" t="s">
        <v>18</v>
      </c>
      <c r="J4" t="s">
        <v>55</v>
      </c>
    </row>
    <row r="5" spans="1:10" x14ac:dyDescent="0.3">
      <c r="A5" t="s">
        <v>26</v>
      </c>
      <c r="B5" s="14">
        <v>230</v>
      </c>
      <c r="C5" t="s">
        <v>9</v>
      </c>
      <c r="D5" t="s">
        <v>174</v>
      </c>
      <c r="J5" t="s">
        <v>62</v>
      </c>
    </row>
    <row r="6" spans="1:10" x14ac:dyDescent="0.3">
      <c r="A6" t="s">
        <v>27</v>
      </c>
      <c r="B6" s="14">
        <v>630</v>
      </c>
      <c r="C6" t="s">
        <v>9</v>
      </c>
      <c r="D6" t="s">
        <v>175</v>
      </c>
    </row>
    <row r="7" spans="1:10" x14ac:dyDescent="0.3">
      <c r="A7" t="s">
        <v>17</v>
      </c>
      <c r="B7" s="14">
        <f>B4/B3</f>
        <v>40</v>
      </c>
      <c r="C7" t="s">
        <v>20</v>
      </c>
    </row>
    <row r="9" spans="1:10" x14ac:dyDescent="0.3">
      <c r="A9" t="s">
        <v>3</v>
      </c>
      <c r="B9" s="14">
        <v>100000</v>
      </c>
      <c r="C9" t="s">
        <v>22</v>
      </c>
      <c r="D9" t="s">
        <v>4</v>
      </c>
    </row>
    <row r="10" spans="1:10" x14ac:dyDescent="0.3">
      <c r="A10" t="s">
        <v>63</v>
      </c>
      <c r="B10" s="14">
        <v>2</v>
      </c>
      <c r="C10" t="s">
        <v>64</v>
      </c>
    </row>
    <row r="11" spans="1:10" x14ac:dyDescent="0.3">
      <c r="A11" t="s">
        <v>115</v>
      </c>
      <c r="B11" s="14">
        <v>10</v>
      </c>
      <c r="C11" t="s">
        <v>9</v>
      </c>
    </row>
    <row r="13" spans="1:10" x14ac:dyDescent="0.3">
      <c r="A13" t="s">
        <v>147</v>
      </c>
      <c r="B13" s="14">
        <v>50</v>
      </c>
      <c r="C13" t="s">
        <v>148</v>
      </c>
    </row>
    <row r="14" spans="1:10" x14ac:dyDescent="0.3">
      <c r="A14" t="s">
        <v>150</v>
      </c>
      <c r="B14" s="14">
        <v>125</v>
      </c>
      <c r="C14" t="s">
        <v>148</v>
      </c>
    </row>
    <row r="15" spans="1:10" x14ac:dyDescent="0.3">
      <c r="A15" s="31" t="s">
        <v>102</v>
      </c>
      <c r="B15" s="31"/>
      <c r="C15" s="31"/>
      <c r="D15" s="31"/>
      <c r="E15" s="31"/>
      <c r="F15" s="31"/>
      <c r="G15" s="31"/>
      <c r="H15" s="31"/>
      <c r="I15" s="31"/>
    </row>
    <row r="16" spans="1:10" x14ac:dyDescent="0.3">
      <c r="A16" t="s">
        <v>5</v>
      </c>
      <c r="B16" s="14">
        <v>0.6</v>
      </c>
      <c r="C16" t="s">
        <v>10</v>
      </c>
      <c r="D16" s="14">
        <v>0.7</v>
      </c>
      <c r="E16" t="s">
        <v>6</v>
      </c>
    </row>
    <row r="17" spans="1:13" x14ac:dyDescent="0.3">
      <c r="A17" t="s">
        <v>7</v>
      </c>
      <c r="B17" s="14">
        <f>(B3/B6)*B21</f>
        <v>0.20931449502878077</v>
      </c>
    </row>
    <row r="19" spans="1:13" x14ac:dyDescent="0.3">
      <c r="A19" t="s">
        <v>14</v>
      </c>
      <c r="B19" s="11">
        <f>(B5/B3)*B16</f>
        <v>5.75</v>
      </c>
      <c r="C19" t="s">
        <v>2</v>
      </c>
      <c r="D19" s="11">
        <f>(B5/B3)*D16</f>
        <v>6.708333333333333</v>
      </c>
      <c r="M19" s="29"/>
    </row>
    <row r="20" spans="1:13" x14ac:dyDescent="0.3">
      <c r="A20" t="s">
        <v>15</v>
      </c>
      <c r="B20" s="15">
        <f>I23</f>
        <v>10.989010989010989</v>
      </c>
    </row>
    <row r="21" spans="1:13" x14ac:dyDescent="0.3">
      <c r="A21" t="s">
        <v>31</v>
      </c>
      <c r="B21" s="7">
        <f>I23/I25</f>
        <v>5.4945054945054945</v>
      </c>
      <c r="C21" t="s">
        <v>122</v>
      </c>
      <c r="D21" s="18">
        <f>1/B21</f>
        <v>0.182</v>
      </c>
      <c r="E21" t="s">
        <v>123</v>
      </c>
    </row>
    <row r="22" spans="1:13" x14ac:dyDescent="0.3">
      <c r="E22" t="s">
        <v>16</v>
      </c>
      <c r="F22" t="s">
        <v>29</v>
      </c>
      <c r="I22" s="3" t="s">
        <v>29</v>
      </c>
    </row>
    <row r="23" spans="1:13" x14ac:dyDescent="0.3">
      <c r="A23" t="s">
        <v>11</v>
      </c>
      <c r="B23" s="14">
        <f>I24</f>
        <v>3900</v>
      </c>
      <c r="C23" t="s">
        <v>13</v>
      </c>
      <c r="E23" t="s">
        <v>8</v>
      </c>
      <c r="F23" s="14">
        <f>1/0.083</f>
        <v>12.048192771084336</v>
      </c>
      <c r="G23" s="14">
        <f>1/0.182</f>
        <v>5.4945054945054945</v>
      </c>
      <c r="H23" s="14">
        <f>1/0.363</f>
        <v>2.7548209366391188</v>
      </c>
      <c r="I23" s="14">
        <f>1/0.091</f>
        <v>10.989010989010989</v>
      </c>
    </row>
    <row r="24" spans="1:13" x14ac:dyDescent="0.3">
      <c r="A24" t="s">
        <v>12</v>
      </c>
      <c r="B24" s="7">
        <f>B23/(B20^2)</f>
        <v>32.295899999999996</v>
      </c>
      <c r="C24" t="s">
        <v>13</v>
      </c>
      <c r="E24" t="s">
        <v>11</v>
      </c>
      <c r="F24" s="14">
        <v>3100</v>
      </c>
      <c r="G24" s="14">
        <v>2600</v>
      </c>
      <c r="H24" s="14">
        <v>2600</v>
      </c>
      <c r="I24" s="14">
        <v>3900</v>
      </c>
    </row>
    <row r="25" spans="1:13" x14ac:dyDescent="0.3">
      <c r="E25" t="s">
        <v>30</v>
      </c>
      <c r="F25" s="14">
        <v>2</v>
      </c>
      <c r="G25" s="14">
        <v>1</v>
      </c>
      <c r="H25" s="14">
        <v>1</v>
      </c>
      <c r="I25" s="14">
        <v>2</v>
      </c>
    </row>
    <row r="26" spans="1:13" x14ac:dyDescent="0.3">
      <c r="A26" t="s">
        <v>35</v>
      </c>
      <c r="B26" s="14">
        <v>3</v>
      </c>
      <c r="C26" t="s">
        <v>13</v>
      </c>
    </row>
    <row r="27" spans="1:13" x14ac:dyDescent="0.3">
      <c r="A27" t="s">
        <v>34</v>
      </c>
      <c r="B27" s="12">
        <f>1-(B26/B23)</f>
        <v>0.99923076923076926</v>
      </c>
    </row>
    <row r="29" spans="1:13" x14ac:dyDescent="0.3">
      <c r="A29" s="31" t="s">
        <v>101</v>
      </c>
      <c r="B29" s="31"/>
      <c r="C29" s="31"/>
      <c r="D29" s="31"/>
      <c r="E29" s="31"/>
      <c r="F29" s="31"/>
      <c r="G29" s="31"/>
      <c r="H29" s="31"/>
      <c r="I29" s="31"/>
    </row>
    <row r="30" spans="1:13" x14ac:dyDescent="0.3">
      <c r="A30" t="s">
        <v>186</v>
      </c>
      <c r="B30" s="14">
        <v>4</v>
      </c>
      <c r="C30" t="s">
        <v>20</v>
      </c>
      <c r="D30" t="s">
        <v>177</v>
      </c>
    </row>
    <row r="31" spans="1:13" x14ac:dyDescent="0.3">
      <c r="A31" t="s">
        <v>178</v>
      </c>
      <c r="B31" s="30">
        <f>B30/B7</f>
        <v>0.1</v>
      </c>
    </row>
    <row r="32" spans="1:13" x14ac:dyDescent="0.3">
      <c r="A32" t="s">
        <v>24</v>
      </c>
      <c r="B32" s="8">
        <f>(1-((1/B5)*B21*B3))*1/B30*B3*1/B9</f>
        <v>2.5599617773530817E-5</v>
      </c>
      <c r="C32" t="s">
        <v>23</v>
      </c>
      <c r="D32" s="11">
        <f>B32*10^6</f>
        <v>25.599617773530817</v>
      </c>
      <c r="E32" t="s">
        <v>13</v>
      </c>
      <c r="G32" t="s">
        <v>28</v>
      </c>
    </row>
    <row r="33" spans="1:24" x14ac:dyDescent="0.3">
      <c r="A33" t="s">
        <v>25</v>
      </c>
      <c r="B33" s="8">
        <f>(1-((1/B6)*B21*B3))*1/B30*B3*1/B9</f>
        <v>4.7441130298273156E-5</v>
      </c>
      <c r="C33" t="s">
        <v>23</v>
      </c>
      <c r="D33" s="11">
        <f>B33*10^6</f>
        <v>47.441130298273158</v>
      </c>
      <c r="E33" t="s">
        <v>13</v>
      </c>
      <c r="F33" t="s">
        <v>182</v>
      </c>
      <c r="G33" s="2" t="s">
        <v>32</v>
      </c>
      <c r="H33" t="s">
        <v>33</v>
      </c>
      <c r="I33" t="s">
        <v>183</v>
      </c>
    </row>
    <row r="34" spans="1:24" x14ac:dyDescent="0.3">
      <c r="A34" t="s">
        <v>21</v>
      </c>
      <c r="B34" s="14">
        <v>22.4</v>
      </c>
      <c r="C34" t="s">
        <v>13</v>
      </c>
      <c r="D34" s="2"/>
      <c r="F34" t="s">
        <v>184</v>
      </c>
      <c r="G34" t="s">
        <v>185</v>
      </c>
      <c r="H34" t="s">
        <v>33</v>
      </c>
      <c r="I34" s="25" t="s">
        <v>146</v>
      </c>
    </row>
    <row r="35" spans="1:24" x14ac:dyDescent="0.3">
      <c r="A35" t="s">
        <v>187</v>
      </c>
      <c r="B35" s="6">
        <f>B3/(B34*10^-6*B9)*(1-(B3/B6)*B21)</f>
        <v>8.4716304104059219</v>
      </c>
      <c r="C35" t="s">
        <v>20</v>
      </c>
      <c r="D35" s="2"/>
      <c r="I35" s="25"/>
    </row>
    <row r="36" spans="1:24" x14ac:dyDescent="0.3">
      <c r="D36" s="2"/>
      <c r="I36" s="25"/>
    </row>
    <row r="37" spans="1:24" x14ac:dyDescent="0.3">
      <c r="D37" s="2"/>
    </row>
    <row r="38" spans="1:24" x14ac:dyDescent="0.3">
      <c r="A38" t="s">
        <v>56</v>
      </c>
      <c r="B38" s="16">
        <v>0.01</v>
      </c>
      <c r="C38" t="s">
        <v>57</v>
      </c>
      <c r="D38" s="9">
        <f>B3*B38</f>
        <v>0.24</v>
      </c>
      <c r="E38" t="s">
        <v>58</v>
      </c>
    </row>
    <row r="39" spans="1:24" x14ac:dyDescent="0.3">
      <c r="A39" t="s">
        <v>59</v>
      </c>
      <c r="B39" s="14">
        <f>F39*10^-3</f>
        <v>1.6021949078138715E-3</v>
      </c>
      <c r="D39" t="s">
        <v>179</v>
      </c>
      <c r="F39">
        <f>1/((1/55.3)+(1/3.3)+(1/3.3))</f>
        <v>1.6021949078138715</v>
      </c>
      <c r="G39" t="s">
        <v>38</v>
      </c>
      <c r="H39" t="s">
        <v>180</v>
      </c>
    </row>
    <row r="40" spans="1:24" x14ac:dyDescent="0.3">
      <c r="A40" t="s">
        <v>60</v>
      </c>
      <c r="B40" s="8">
        <f>B35/(8*B9*(D38-B30*B39))</f>
        <v>4.5333630246423112E-5</v>
      </c>
      <c r="C40" t="s">
        <v>48</v>
      </c>
      <c r="D40" s="17">
        <f>B40*10^6</f>
        <v>45.333630246423112</v>
      </c>
      <c r="E40" t="s">
        <v>61</v>
      </c>
    </row>
    <row r="42" spans="1:24" x14ac:dyDescent="0.3">
      <c r="A42" t="s">
        <v>36</v>
      </c>
      <c r="B42" s="12">
        <f>(B21*96*10^-3)/(0.5*B30*B7*1.3)</f>
        <v>5.0718512256973788E-3</v>
      </c>
      <c r="C42" t="s">
        <v>37</v>
      </c>
      <c r="D42" s="11">
        <f>B42*10^3</f>
        <v>5.0718512256973787</v>
      </c>
      <c r="E42" t="s">
        <v>38</v>
      </c>
    </row>
    <row r="44" spans="1:24" x14ac:dyDescent="0.3">
      <c r="A44" t="s">
        <v>40</v>
      </c>
      <c r="B44" s="14">
        <v>1</v>
      </c>
      <c r="C44" t="s">
        <v>41</v>
      </c>
      <c r="D44" s="6">
        <f>B44*10^6</f>
        <v>1000000</v>
      </c>
      <c r="E44" t="s">
        <v>37</v>
      </c>
    </row>
    <row r="45" spans="1:24" x14ac:dyDescent="0.3">
      <c r="A45" t="s">
        <v>42</v>
      </c>
      <c r="B45" s="10">
        <f>(D44*((1/((B5/1.25)-1))+1))/(B6/1.25)</f>
        <v>1994.9692080839623</v>
      </c>
      <c r="C45" t="s">
        <v>37</v>
      </c>
    </row>
    <row r="46" spans="1:24" x14ac:dyDescent="0.3">
      <c r="A46" t="s">
        <v>43</v>
      </c>
      <c r="B46" s="10">
        <f>B45*((B6/1.25)-1)-D44</f>
        <v>3469.5116662330693</v>
      </c>
      <c r="C46" t="s">
        <v>37</v>
      </c>
    </row>
    <row r="47" spans="1:24" x14ac:dyDescent="0.3">
      <c r="A47" t="s">
        <v>44</v>
      </c>
      <c r="B47" s="6">
        <f>(B5/D44)/((1/(B45+B46))+(1/D44))</f>
        <v>1.2500000000000209</v>
      </c>
      <c r="C47" t="s">
        <v>9</v>
      </c>
      <c r="D47" t="s">
        <v>45</v>
      </c>
      <c r="E47" s="11">
        <f>(B6/D44)/((1/(B45+B46))+(1/D44))</f>
        <v>3.423913043478318</v>
      </c>
      <c r="F47" t="s">
        <v>9</v>
      </c>
      <c r="R47" t="s">
        <v>87</v>
      </c>
      <c r="S47">
        <v>32.799999999999997</v>
      </c>
      <c r="T47" t="s">
        <v>20</v>
      </c>
      <c r="U47" t="s">
        <v>92</v>
      </c>
      <c r="V47" t="s">
        <v>86</v>
      </c>
      <c r="W47" t="s">
        <v>93</v>
      </c>
    </row>
    <row r="48" spans="1:24" x14ac:dyDescent="0.3">
      <c r="A48" t="s">
        <v>39</v>
      </c>
      <c r="B48" s="10">
        <f>(D16/(0.725*((B9/1000)/300)*(1.25/B47)))*51.1*10^3</f>
        <v>148013.79310345076</v>
      </c>
      <c r="C48" t="s">
        <v>46</v>
      </c>
      <c r="D48" s="10">
        <f>B48*10^-3</f>
        <v>148.01379310345078</v>
      </c>
      <c r="E48" t="s">
        <v>46</v>
      </c>
      <c r="F48" s="5"/>
      <c r="R48" t="s">
        <v>88</v>
      </c>
      <c r="S48">
        <v>3</v>
      </c>
      <c r="T48" t="s">
        <v>20</v>
      </c>
      <c r="V48" t="s">
        <v>94</v>
      </c>
      <c r="W48">
        <v>39.85</v>
      </c>
      <c r="X48" t="s">
        <v>95</v>
      </c>
    </row>
    <row r="49" spans="1:22" x14ac:dyDescent="0.3">
      <c r="A49" s="31" t="s">
        <v>100</v>
      </c>
      <c r="B49" s="31"/>
      <c r="C49" s="31"/>
      <c r="D49" s="31"/>
      <c r="E49" s="31"/>
      <c r="F49" s="31"/>
      <c r="G49" s="31"/>
      <c r="H49" s="31"/>
      <c r="I49" s="31"/>
      <c r="R49" t="s">
        <v>89</v>
      </c>
      <c r="S49">
        <v>1043</v>
      </c>
      <c r="T49" t="s">
        <v>18</v>
      </c>
      <c r="V49" t="s">
        <v>98</v>
      </c>
    </row>
    <row r="50" spans="1:22" x14ac:dyDescent="0.3">
      <c r="A50" t="s">
        <v>7</v>
      </c>
      <c r="B50" s="11">
        <f>B17</f>
        <v>0.20931449502878077</v>
      </c>
      <c r="D50" t="s">
        <v>181</v>
      </c>
      <c r="R50" t="s">
        <v>90</v>
      </c>
      <c r="S50">
        <v>953</v>
      </c>
      <c r="T50" t="s">
        <v>18</v>
      </c>
    </row>
    <row r="51" spans="1:22" x14ac:dyDescent="0.3">
      <c r="A51" t="s">
        <v>47</v>
      </c>
      <c r="B51" s="8">
        <f>(10*(1-B17)^2)/(B23*(2*PI()*(B9/1000))^2)</f>
        <v>4.0605345564331669E-9</v>
      </c>
      <c r="C51" t="s">
        <v>48</v>
      </c>
      <c r="D51" s="13">
        <f>B51*10^9</f>
        <v>4.0605345564331667</v>
      </c>
      <c r="E51" t="s">
        <v>49</v>
      </c>
      <c r="G51" s="1"/>
      <c r="R51" t="s">
        <v>91</v>
      </c>
      <c r="S51" s="4">
        <f>(S50/S49)*100</f>
        <v>91.371045062320235</v>
      </c>
      <c r="T51" t="s">
        <v>97</v>
      </c>
    </row>
    <row r="52" spans="1:22" x14ac:dyDescent="0.3">
      <c r="A52" t="s">
        <v>50</v>
      </c>
      <c r="B52" s="8">
        <f>6*B51</f>
        <v>2.4363207338599E-8</v>
      </c>
      <c r="C52" t="s">
        <v>48</v>
      </c>
      <c r="D52" s="13">
        <f>B52*10^9</f>
        <v>24.363207338599</v>
      </c>
      <c r="E52" t="s">
        <v>49</v>
      </c>
      <c r="R52" t="s">
        <v>96</v>
      </c>
      <c r="S52">
        <v>1.6E-2</v>
      </c>
      <c r="T52" t="s">
        <v>9</v>
      </c>
    </row>
    <row r="53" spans="1:22" x14ac:dyDescent="0.3">
      <c r="A53" t="s">
        <v>5</v>
      </c>
      <c r="B53" s="11">
        <f>(B3/B5)*B21</f>
        <v>0.5733397037744864</v>
      </c>
    </row>
    <row r="54" spans="1:22" x14ac:dyDescent="0.3">
      <c r="A54" t="s">
        <v>51</v>
      </c>
      <c r="B54" s="10">
        <f>(1/(1-B53))*SQRT(B23*10^-6/B51)</f>
        <v>2296.9866312323384</v>
      </c>
      <c r="C54" t="s">
        <v>37</v>
      </c>
    </row>
    <row r="56" spans="1:22" x14ac:dyDescent="0.3">
      <c r="A56" t="s">
        <v>65</v>
      </c>
      <c r="B56" s="6">
        <f>(1.2/(B9/B10))*22.1*10^6</f>
        <v>530.40000000000009</v>
      </c>
      <c r="C56" t="s">
        <v>46</v>
      </c>
    </row>
    <row r="58" spans="1:22" x14ac:dyDescent="0.3">
      <c r="A58" s="31" t="s">
        <v>99</v>
      </c>
      <c r="B58" s="31"/>
      <c r="C58" s="31"/>
      <c r="D58" s="31"/>
      <c r="E58" s="31"/>
      <c r="F58" s="31"/>
      <c r="G58" s="31"/>
      <c r="H58" s="31"/>
      <c r="I58" s="31"/>
    </row>
    <row r="59" spans="1:22" x14ac:dyDescent="0.3">
      <c r="A59" t="s">
        <v>75</v>
      </c>
      <c r="B59" s="6">
        <f>B6*(1/B21)*2</f>
        <v>229.32</v>
      </c>
      <c r="C59" t="s">
        <v>9</v>
      </c>
      <c r="D59" t="s">
        <v>76</v>
      </c>
    </row>
    <row r="60" spans="1:22" x14ac:dyDescent="0.3">
      <c r="A60" t="s">
        <v>67</v>
      </c>
      <c r="B60" s="14">
        <v>4.5</v>
      </c>
      <c r="C60" t="s">
        <v>20</v>
      </c>
      <c r="D60" t="s">
        <v>82</v>
      </c>
    </row>
    <row r="62" spans="1:22" x14ac:dyDescent="0.3">
      <c r="A62" t="s">
        <v>68</v>
      </c>
      <c r="B62" s="23">
        <f>D62*10^-3</f>
        <v>8.0000000000000002E-3</v>
      </c>
      <c r="C62" t="s">
        <v>37</v>
      </c>
      <c r="D62" s="14">
        <f>5*1.6</f>
        <v>8</v>
      </c>
      <c r="E62" t="s">
        <v>38</v>
      </c>
    </row>
    <row r="63" spans="1:22" x14ac:dyDescent="0.3">
      <c r="A63" t="s">
        <v>66</v>
      </c>
      <c r="B63" s="7">
        <f>B60*B62</f>
        <v>3.6000000000000004E-2</v>
      </c>
      <c r="C63" t="s">
        <v>9</v>
      </c>
      <c r="D63" s="6">
        <f>B63*10^3</f>
        <v>36.000000000000007</v>
      </c>
      <c r="E63" t="s">
        <v>69</v>
      </c>
      <c r="F63" t="s">
        <v>77</v>
      </c>
      <c r="G63" t="s">
        <v>79</v>
      </c>
    </row>
    <row r="64" spans="1:22" x14ac:dyDescent="0.3">
      <c r="A64" t="s">
        <v>81</v>
      </c>
      <c r="B64" s="6">
        <f>D63*1.2</f>
        <v>43.20000000000001</v>
      </c>
      <c r="C64" t="s">
        <v>69</v>
      </c>
    </row>
    <row r="65" spans="1:24" x14ac:dyDescent="0.3">
      <c r="G65" s="32" t="s">
        <v>135</v>
      </c>
      <c r="H65" s="33"/>
      <c r="I65" s="33"/>
    </row>
    <row r="66" spans="1:24" x14ac:dyDescent="0.3">
      <c r="A66" t="s">
        <v>71</v>
      </c>
      <c r="B66" s="14">
        <v>2000</v>
      </c>
      <c r="C66" t="s">
        <v>73</v>
      </c>
      <c r="D66" t="s">
        <v>176</v>
      </c>
      <c r="G66" s="33"/>
      <c r="H66" s="33"/>
      <c r="I66" s="33"/>
    </row>
    <row r="67" spans="1:24" x14ac:dyDescent="0.3">
      <c r="A67" t="s">
        <v>72</v>
      </c>
      <c r="B67" s="14">
        <v>300</v>
      </c>
      <c r="C67" t="s">
        <v>9</v>
      </c>
      <c r="G67" s="33"/>
      <c r="H67" s="33"/>
      <c r="I67" s="33"/>
      <c r="J67" t="s">
        <v>164</v>
      </c>
      <c r="R67" t="s">
        <v>87</v>
      </c>
      <c r="S67">
        <v>31.3</v>
      </c>
      <c r="T67" t="s">
        <v>20</v>
      </c>
      <c r="U67" t="s">
        <v>92</v>
      </c>
      <c r="V67" t="s">
        <v>86</v>
      </c>
      <c r="W67" t="s">
        <v>93</v>
      </c>
    </row>
    <row r="68" spans="1:24" x14ac:dyDescent="0.3">
      <c r="A68" t="s">
        <v>70</v>
      </c>
      <c r="B68" s="11">
        <f>B62*SQRT(2*B66*10^-3*((1.3*B67-B3)/(1.3*B67*B34*10^-6)))</f>
        <v>3.2749465225060894</v>
      </c>
      <c r="C68" t="s">
        <v>9</v>
      </c>
      <c r="D68">
        <f>B68*10^3</f>
        <v>3274.9465225060894</v>
      </c>
      <c r="E68" t="s">
        <v>69</v>
      </c>
      <c r="G68" s="33"/>
      <c r="H68" s="33"/>
      <c r="I68" s="33"/>
      <c r="R68" t="s">
        <v>88</v>
      </c>
      <c r="S68">
        <v>2.84</v>
      </c>
      <c r="T68" t="s">
        <v>20</v>
      </c>
      <c r="V68" t="s">
        <v>94</v>
      </c>
      <c r="W68">
        <v>39.85</v>
      </c>
      <c r="X68" t="s">
        <v>95</v>
      </c>
    </row>
    <row r="69" spans="1:24" x14ac:dyDescent="0.3">
      <c r="A69" t="s">
        <v>83</v>
      </c>
      <c r="B69" s="11">
        <f>B68/B62</f>
        <v>409.36831531326118</v>
      </c>
      <c r="C69" t="s">
        <v>20</v>
      </c>
      <c r="D69">
        <v>60</v>
      </c>
      <c r="E69" t="s">
        <v>20</v>
      </c>
      <c r="F69" t="s">
        <v>134</v>
      </c>
      <c r="R69" t="s">
        <v>89</v>
      </c>
      <c r="S69">
        <v>1001</v>
      </c>
      <c r="T69" t="s">
        <v>18</v>
      </c>
      <c r="V69" t="s">
        <v>98</v>
      </c>
    </row>
    <row r="70" spans="1:24" x14ac:dyDescent="0.3">
      <c r="R70" t="s">
        <v>90</v>
      </c>
      <c r="S70">
        <v>953</v>
      </c>
      <c r="T70" t="s">
        <v>18</v>
      </c>
    </row>
    <row r="71" spans="1:24" x14ac:dyDescent="0.3">
      <c r="A71" t="s">
        <v>74</v>
      </c>
      <c r="B71" s="14">
        <v>1000</v>
      </c>
      <c r="C71" t="s">
        <v>37</v>
      </c>
      <c r="D71" t="s">
        <v>80</v>
      </c>
      <c r="R71" t="s">
        <v>91</v>
      </c>
      <c r="S71" s="4">
        <f>(S70/S69)*100</f>
        <v>95.204795204795204</v>
      </c>
      <c r="T71" t="s">
        <v>97</v>
      </c>
    </row>
    <row r="72" spans="1:24" x14ac:dyDescent="0.3">
      <c r="A72" t="s">
        <v>78</v>
      </c>
      <c r="B72" s="12">
        <f>((B71*40*10^-6)+66*10^-3)/D69</f>
        <v>1.7666666666666668E-3</v>
      </c>
      <c r="C72" t="s">
        <v>37</v>
      </c>
      <c r="D72" s="11">
        <f>B72*10^3</f>
        <v>1.7666666666666668</v>
      </c>
      <c r="E72" t="s">
        <v>38</v>
      </c>
      <c r="F72" s="14">
        <v>1.8</v>
      </c>
      <c r="G72" t="s">
        <v>84</v>
      </c>
      <c r="H72" t="s">
        <v>85</v>
      </c>
      <c r="R72" t="s">
        <v>96</v>
      </c>
      <c r="S72">
        <v>1.7999999999999999E-2</v>
      </c>
      <c r="T72" t="s">
        <v>9</v>
      </c>
    </row>
    <row r="73" spans="1:24" x14ac:dyDescent="0.3">
      <c r="D73" s="4"/>
    </row>
    <row r="74" spans="1:24" x14ac:dyDescent="0.3">
      <c r="A74" t="s">
        <v>130</v>
      </c>
      <c r="B74" s="21">
        <f>SQRT((1-B50)*(B7^2+(B35^2/12)))</f>
        <v>35.634613352465081</v>
      </c>
      <c r="C74" t="s">
        <v>20</v>
      </c>
      <c r="D74" s="4"/>
    </row>
    <row r="75" spans="1:24" x14ac:dyDescent="0.3">
      <c r="A75" t="s">
        <v>114</v>
      </c>
      <c r="B75" s="24">
        <f>D75*10^-9</f>
        <v>3.4500000000000003E-7</v>
      </c>
      <c r="C75" t="s">
        <v>117</v>
      </c>
      <c r="D75" s="22">
        <v>345</v>
      </c>
      <c r="E75" t="s">
        <v>116</v>
      </c>
    </row>
    <row r="76" spans="1:24" x14ac:dyDescent="0.3">
      <c r="A76" t="s">
        <v>132</v>
      </c>
      <c r="B76" s="20">
        <f>(B74^2*B62)+(B11*B9*B75)</f>
        <v>10.503605350237462</v>
      </c>
      <c r="C76" t="s">
        <v>18</v>
      </c>
      <c r="D76" s="4"/>
    </row>
    <row r="77" spans="1:24" x14ac:dyDescent="0.3">
      <c r="B77" s="20"/>
      <c r="D77" s="4"/>
      <c r="E77" s="34" t="s">
        <v>158</v>
      </c>
      <c r="F77" s="34"/>
    </row>
    <row r="78" spans="1:24" x14ac:dyDescent="0.3">
      <c r="A78" t="s">
        <v>149</v>
      </c>
      <c r="B78" s="20">
        <f>(B14-B13)/B76</f>
        <v>7.1404053655066564</v>
      </c>
      <c r="C78" t="s">
        <v>151</v>
      </c>
      <c r="D78" s="4"/>
      <c r="E78" s="14">
        <v>0.35</v>
      </c>
      <c r="F78" t="s">
        <v>159</v>
      </c>
    </row>
    <row r="79" spans="1:24" x14ac:dyDescent="0.3">
      <c r="A79" t="s">
        <v>152</v>
      </c>
      <c r="B79" s="23">
        <v>0.1</v>
      </c>
      <c r="C79" t="s">
        <v>151</v>
      </c>
      <c r="D79" s="4"/>
      <c r="E79">
        <f>E78*B81</f>
        <v>177.20149999999998</v>
      </c>
      <c r="F79" t="s">
        <v>160</v>
      </c>
    </row>
    <row r="80" spans="1:24" x14ac:dyDescent="0.3">
      <c r="A80" t="s">
        <v>153</v>
      </c>
      <c r="B80" s="23">
        <v>0.15</v>
      </c>
      <c r="C80" t="s">
        <v>151</v>
      </c>
      <c r="D80" s="4"/>
      <c r="E80">
        <f>1/E79</f>
        <v>5.6432930872481329E-3</v>
      </c>
      <c r="F80" t="s">
        <v>151</v>
      </c>
    </row>
    <row r="81" spans="1:9" x14ac:dyDescent="0.3">
      <c r="A81" t="s">
        <v>154</v>
      </c>
      <c r="B81" s="20">
        <f>19.7*25.7</f>
        <v>506.28999999999996</v>
      </c>
      <c r="C81" t="s">
        <v>155</v>
      </c>
      <c r="D81" s="4"/>
    </row>
    <row r="82" spans="1:9" x14ac:dyDescent="0.3">
      <c r="A82" t="s">
        <v>156</v>
      </c>
      <c r="B82" s="20">
        <f>E80</f>
        <v>5.6432930872481329E-3</v>
      </c>
      <c r="C82" t="s">
        <v>151</v>
      </c>
      <c r="D82" s="4"/>
    </row>
    <row r="83" spans="1:9" x14ac:dyDescent="0.3">
      <c r="A83" t="s">
        <v>157</v>
      </c>
      <c r="B83" s="20">
        <f>B78-B79-B80-B82</f>
        <v>6.8847620724194085</v>
      </c>
      <c r="C83" t="s">
        <v>151</v>
      </c>
      <c r="D83" s="4"/>
    </row>
    <row r="84" spans="1:9" x14ac:dyDescent="0.3">
      <c r="B84" s="20"/>
      <c r="D84" s="4"/>
    </row>
    <row r="85" spans="1:9" x14ac:dyDescent="0.3">
      <c r="A85" t="s">
        <v>172</v>
      </c>
      <c r="B85">
        <v>4.7</v>
      </c>
      <c r="C85" t="s">
        <v>151</v>
      </c>
      <c r="D85" s="4"/>
    </row>
    <row r="86" spans="1:9" x14ac:dyDescent="0.3">
      <c r="A86" t="s">
        <v>170</v>
      </c>
      <c r="B86" s="19">
        <f>B79+B80+B82+B85</f>
        <v>4.955643293087248</v>
      </c>
      <c r="D86" s="4"/>
    </row>
    <row r="87" spans="1:9" x14ac:dyDescent="0.3">
      <c r="D87" s="4"/>
    </row>
    <row r="88" spans="1:9" x14ac:dyDescent="0.3">
      <c r="A88" t="s">
        <v>171</v>
      </c>
      <c r="B88">
        <f>B13+B76*B86</f>
        <v>102.05212140713962</v>
      </c>
      <c r="C88" t="s">
        <v>148</v>
      </c>
    </row>
    <row r="89" spans="1:9" x14ac:dyDescent="0.3">
      <c r="A89" s="31" t="s">
        <v>105</v>
      </c>
      <c r="B89" s="31"/>
      <c r="C89" s="31"/>
      <c r="D89" s="31"/>
      <c r="E89" s="31"/>
      <c r="F89" s="31"/>
      <c r="G89" s="31"/>
      <c r="H89" s="31"/>
      <c r="I89" s="31"/>
    </row>
    <row r="90" spans="1:9" x14ac:dyDescent="0.3">
      <c r="A90" t="s">
        <v>107</v>
      </c>
      <c r="B90" s="21">
        <f>0.5*B21*(B3/(B23*10^-6))*(1/B9)*2</f>
        <v>0.33812341504649202</v>
      </c>
      <c r="C90" t="s">
        <v>20</v>
      </c>
      <c r="F90" s="33" t="s">
        <v>125</v>
      </c>
      <c r="G90" s="33"/>
    </row>
    <row r="91" spans="1:9" x14ac:dyDescent="0.3">
      <c r="A91" t="s">
        <v>108</v>
      </c>
      <c r="B91" s="21">
        <f>B108</f>
        <v>956.13236267372599</v>
      </c>
      <c r="D91" t="s">
        <v>109</v>
      </c>
      <c r="F91" s="33"/>
      <c r="G91" s="33"/>
      <c r="H91" t="s">
        <v>165</v>
      </c>
    </row>
    <row r="92" spans="1:9" x14ac:dyDescent="0.3">
      <c r="A92" t="s">
        <v>167</v>
      </c>
      <c r="B92" s="21">
        <f>(1/B21)*(B7+(B35/2))</f>
        <v>8.050918367346938</v>
      </c>
      <c r="C92" t="s">
        <v>20</v>
      </c>
      <c r="F92" s="33"/>
      <c r="G92" s="33"/>
    </row>
    <row r="93" spans="1:9" x14ac:dyDescent="0.3">
      <c r="B93" s="21"/>
      <c r="F93" s="26"/>
      <c r="G93" s="26"/>
    </row>
    <row r="94" spans="1:9" x14ac:dyDescent="0.3">
      <c r="A94" t="s">
        <v>68</v>
      </c>
      <c r="B94" s="21">
        <f>1*1.5</f>
        <v>1.5</v>
      </c>
      <c r="C94" t="s">
        <v>37</v>
      </c>
      <c r="F94" s="26"/>
      <c r="G94" s="26"/>
    </row>
    <row r="95" spans="1:9" x14ac:dyDescent="0.3">
      <c r="B95" s="21"/>
      <c r="F95" s="26"/>
      <c r="G95" s="26"/>
    </row>
    <row r="96" spans="1:9" x14ac:dyDescent="0.3">
      <c r="A96" t="s">
        <v>112</v>
      </c>
      <c r="B96" s="4">
        <f>B90^2*B94</f>
        <v>0.17149116570405346</v>
      </c>
      <c r="C96" t="s">
        <v>18</v>
      </c>
      <c r="F96" s="26"/>
      <c r="G96" s="26"/>
    </row>
    <row r="97" spans="1:9" x14ac:dyDescent="0.3">
      <c r="A97" t="s">
        <v>169</v>
      </c>
      <c r="B97" s="4">
        <v>2</v>
      </c>
      <c r="F97" s="26"/>
      <c r="G97" s="26"/>
    </row>
    <row r="98" spans="1:9" x14ac:dyDescent="0.3">
      <c r="A98" t="s">
        <v>168</v>
      </c>
      <c r="B98" s="4">
        <f>B96*B97</f>
        <v>0.34298233140810691</v>
      </c>
      <c r="C98" t="s">
        <v>18</v>
      </c>
      <c r="F98" s="26"/>
      <c r="G98" s="26"/>
    </row>
    <row r="99" spans="1:9" x14ac:dyDescent="0.3">
      <c r="B99" s="4"/>
      <c r="F99" s="26"/>
      <c r="G99" s="26"/>
    </row>
    <row r="100" spans="1:9" x14ac:dyDescent="0.3">
      <c r="B100" s="20"/>
      <c r="D100" s="4"/>
      <c r="E100" s="34" t="s">
        <v>158</v>
      </c>
      <c r="F100" s="34"/>
      <c r="G100" s="26"/>
    </row>
    <row r="101" spans="1:9" x14ac:dyDescent="0.3">
      <c r="A101" t="s">
        <v>149</v>
      </c>
      <c r="B101" s="20">
        <f>(B14-B13)/B98</f>
        <v>218.67015624999993</v>
      </c>
      <c r="C101" t="s">
        <v>151</v>
      </c>
      <c r="D101" s="4"/>
      <c r="E101" s="14">
        <v>0.35</v>
      </c>
      <c r="F101" t="s">
        <v>159</v>
      </c>
      <c r="G101" s="26"/>
    </row>
    <row r="102" spans="1:9" x14ac:dyDescent="0.3">
      <c r="A102" t="s">
        <v>152</v>
      </c>
      <c r="B102" s="23">
        <v>0.6</v>
      </c>
      <c r="C102" t="s">
        <v>151</v>
      </c>
      <c r="D102" s="4"/>
      <c r="E102">
        <f>E101*B104</f>
        <v>21.91</v>
      </c>
      <c r="F102" t="s">
        <v>160</v>
      </c>
      <c r="G102" s="26" t="s">
        <v>188</v>
      </c>
    </row>
    <row r="103" spans="1:9" x14ac:dyDescent="0.3">
      <c r="A103" t="s">
        <v>153</v>
      </c>
      <c r="B103" s="23">
        <v>62</v>
      </c>
      <c r="C103" t="s">
        <v>151</v>
      </c>
      <c r="D103" s="4" t="s">
        <v>161</v>
      </c>
      <c r="E103">
        <f>1/E102</f>
        <v>4.5641259698767686E-2</v>
      </c>
      <c r="F103" t="s">
        <v>151</v>
      </c>
      <c r="G103" s="26"/>
    </row>
    <row r="104" spans="1:9" x14ac:dyDescent="0.3">
      <c r="A104" t="s">
        <v>170</v>
      </c>
      <c r="B104" s="20">
        <f>B102+B103</f>
        <v>62.6</v>
      </c>
      <c r="D104" s="4"/>
      <c r="G104" s="26"/>
    </row>
    <row r="105" spans="1:9" x14ac:dyDescent="0.3">
      <c r="A105" t="s">
        <v>171</v>
      </c>
      <c r="B105" s="20">
        <f>(B98*B104)+B13</f>
        <v>71.470693946147492</v>
      </c>
      <c r="C105" t="s">
        <v>148</v>
      </c>
      <c r="D105" s="4"/>
      <c r="G105" s="26"/>
    </row>
    <row r="106" spans="1:9" x14ac:dyDescent="0.3">
      <c r="B106" s="20"/>
      <c r="D106" s="4"/>
      <c r="G106" s="26"/>
    </row>
    <row r="107" spans="1:9" x14ac:dyDescent="0.3">
      <c r="A107" s="31" t="s">
        <v>106</v>
      </c>
      <c r="B107" s="31"/>
      <c r="C107" s="31"/>
      <c r="D107" s="31"/>
      <c r="E107" s="31"/>
      <c r="F107" s="31"/>
      <c r="G107" s="31"/>
      <c r="H107" s="31"/>
      <c r="I107" s="31"/>
    </row>
    <row r="108" spans="1:9" x14ac:dyDescent="0.3">
      <c r="A108" t="s">
        <v>110</v>
      </c>
      <c r="B108" s="4">
        <f>((B6^2)/(B6-(B3*B21)))*1.2</f>
        <v>956.13236267372599</v>
      </c>
      <c r="C108" t="s">
        <v>9</v>
      </c>
    </row>
    <row r="109" spans="1:9" x14ac:dyDescent="0.3">
      <c r="A109" t="s">
        <v>111</v>
      </c>
      <c r="B109" s="4">
        <f>SQRT(B114/B110)</f>
        <v>5.5123576586177476</v>
      </c>
      <c r="C109" t="s">
        <v>20</v>
      </c>
    </row>
    <row r="110" spans="1:9" x14ac:dyDescent="0.3">
      <c r="A110" t="s">
        <v>68</v>
      </c>
      <c r="B110">
        <f>0.15*1.5</f>
        <v>0.22499999999999998</v>
      </c>
      <c r="C110" t="s">
        <v>37</v>
      </c>
      <c r="F110" s="33" t="s">
        <v>124</v>
      </c>
      <c r="G110" s="33"/>
    </row>
    <row r="111" spans="1:9" x14ac:dyDescent="0.3">
      <c r="A111" t="s">
        <v>114</v>
      </c>
      <c r="B111" s="1">
        <f>D111*10^-9</f>
        <v>3.0000000000000004E-8</v>
      </c>
      <c r="C111" t="s">
        <v>117</v>
      </c>
      <c r="D111" s="14">
        <v>30</v>
      </c>
      <c r="E111" t="s">
        <v>116</v>
      </c>
      <c r="F111" s="33"/>
      <c r="G111" s="33"/>
      <c r="H111" t="s">
        <v>162</v>
      </c>
    </row>
    <row r="112" spans="1:9" x14ac:dyDescent="0.3">
      <c r="A112" t="s">
        <v>120</v>
      </c>
      <c r="B112" s="1">
        <f>D112*10^-9</f>
        <v>6.0000000000000008E-9</v>
      </c>
      <c r="C112" t="s">
        <v>117</v>
      </c>
      <c r="D112">
        <v>6</v>
      </c>
      <c r="E112" t="s">
        <v>116</v>
      </c>
      <c r="F112" s="33"/>
      <c r="G112" s="33"/>
    </row>
    <row r="114" spans="1:6" x14ac:dyDescent="0.3">
      <c r="A114" t="s">
        <v>112</v>
      </c>
      <c r="B114" s="4">
        <f>B21*(B3/B5)*((1/B21)*B7)^2*B110</f>
        <v>6.8368695652173894</v>
      </c>
      <c r="C114" t="s">
        <v>18</v>
      </c>
    </row>
    <row r="115" spans="1:6" x14ac:dyDescent="0.3">
      <c r="A115" t="s">
        <v>113</v>
      </c>
      <c r="B115" s="4">
        <f>B111*B11*B9</f>
        <v>3.0000000000000002E-2</v>
      </c>
      <c r="C115" t="s">
        <v>18</v>
      </c>
    </row>
    <row r="116" spans="1:6" x14ac:dyDescent="0.3">
      <c r="A116" t="s">
        <v>118</v>
      </c>
      <c r="B116" s="4">
        <f>0.5*B7*D21*(B6/(1-B53))*(B112/2)*B9</f>
        <v>1.6124303247480403</v>
      </c>
      <c r="C116" t="s">
        <v>18</v>
      </c>
    </row>
    <row r="117" spans="1:6" x14ac:dyDescent="0.3">
      <c r="A117" t="s">
        <v>119</v>
      </c>
      <c r="B117" s="4">
        <f>0.5*B7*D21*B108*(B112/2)*B9</f>
        <v>1.0440965400397089</v>
      </c>
      <c r="C117" t="s">
        <v>18</v>
      </c>
    </row>
    <row r="118" spans="1:6" x14ac:dyDescent="0.3">
      <c r="A118" t="s">
        <v>121</v>
      </c>
      <c r="B118" s="4">
        <f>B114+B115+B116+B117</f>
        <v>9.523396430005139</v>
      </c>
      <c r="C118" t="s">
        <v>18</v>
      </c>
    </row>
    <row r="119" spans="1:6" x14ac:dyDescent="0.3">
      <c r="B119" s="4"/>
      <c r="E119" s="28" t="s">
        <v>158</v>
      </c>
      <c r="F119" s="28"/>
    </row>
    <row r="120" spans="1:6" x14ac:dyDescent="0.3">
      <c r="B120" s="20"/>
      <c r="D120" s="4"/>
      <c r="E120" s="14">
        <v>0.35</v>
      </c>
      <c r="F120" t="s">
        <v>159</v>
      </c>
    </row>
    <row r="121" spans="1:6" x14ac:dyDescent="0.3">
      <c r="A121" t="s">
        <v>149</v>
      </c>
      <c r="B121" s="20">
        <f>(B14-B13)/B118</f>
        <v>7.8753415917559915</v>
      </c>
      <c r="C121" t="s">
        <v>151</v>
      </c>
      <c r="D121" s="4"/>
      <c r="E121">
        <f>E120*B124</f>
        <v>112.84</v>
      </c>
      <c r="F121" t="s">
        <v>160</v>
      </c>
    </row>
    <row r="122" spans="1:6" x14ac:dyDescent="0.3">
      <c r="A122" t="s">
        <v>152</v>
      </c>
      <c r="B122" s="23">
        <v>0.9</v>
      </c>
      <c r="C122" t="s">
        <v>151</v>
      </c>
      <c r="D122" s="4"/>
      <c r="E122">
        <f>1/E121</f>
        <v>8.8621056362991838E-3</v>
      </c>
      <c r="F122" t="s">
        <v>151</v>
      </c>
    </row>
    <row r="123" spans="1:6" x14ac:dyDescent="0.3">
      <c r="B123" s="23"/>
      <c r="D123" s="4"/>
    </row>
    <row r="124" spans="1:6" x14ac:dyDescent="0.3">
      <c r="A124" t="s">
        <v>154</v>
      </c>
      <c r="B124" s="20">
        <f>15.5*20.8</f>
        <v>322.40000000000003</v>
      </c>
      <c r="C124" t="s">
        <v>155</v>
      </c>
      <c r="D124" s="4" t="s">
        <v>190</v>
      </c>
    </row>
    <row r="125" spans="1:6" x14ac:dyDescent="0.3">
      <c r="A125" t="s">
        <v>153</v>
      </c>
      <c r="B125" s="20">
        <f>E122</f>
        <v>8.8621056362991838E-3</v>
      </c>
      <c r="C125" t="s">
        <v>151</v>
      </c>
      <c r="D125" s="4" t="s">
        <v>189</v>
      </c>
    </row>
    <row r="126" spans="1:6" x14ac:dyDescent="0.3">
      <c r="A126" t="s">
        <v>157</v>
      </c>
      <c r="B126" s="20"/>
      <c r="D126" s="4" t="s">
        <v>191</v>
      </c>
    </row>
    <row r="127" spans="1:6" x14ac:dyDescent="0.3">
      <c r="B127" s="20"/>
      <c r="D127" s="4"/>
    </row>
    <row r="128" spans="1:6" x14ac:dyDescent="0.3">
      <c r="A128" t="s">
        <v>163</v>
      </c>
      <c r="B128">
        <v>3.9</v>
      </c>
      <c r="C128" t="s">
        <v>151</v>
      </c>
      <c r="D128" s="4"/>
    </row>
    <row r="129" spans="1:9" x14ac:dyDescent="0.3">
      <c r="A129" t="s">
        <v>192</v>
      </c>
      <c r="B129" s="19">
        <f>B122+B125+B128</f>
        <v>4.8088621056362992</v>
      </c>
      <c r="C129" t="s">
        <v>151</v>
      </c>
      <c r="D129" s="4"/>
    </row>
    <row r="130" spans="1:9" x14ac:dyDescent="0.3">
      <c r="D130" s="4"/>
    </row>
    <row r="131" spans="1:9" x14ac:dyDescent="0.3">
      <c r="A131" t="s">
        <v>171</v>
      </c>
      <c r="B131">
        <f>B13+B118*B129</f>
        <v>95.796700209203721</v>
      </c>
      <c r="C131" t="s">
        <v>148</v>
      </c>
    </row>
    <row r="132" spans="1:9" x14ac:dyDescent="0.3">
      <c r="A132" s="31" t="s">
        <v>126</v>
      </c>
      <c r="B132" s="31"/>
      <c r="C132" s="31"/>
      <c r="D132" s="31"/>
      <c r="E132" s="31"/>
      <c r="F132" s="31"/>
      <c r="G132" s="31"/>
      <c r="H132" s="31"/>
      <c r="I132" s="31"/>
    </row>
    <row r="133" spans="1:9" x14ac:dyDescent="0.3">
      <c r="A133" t="s">
        <v>127</v>
      </c>
      <c r="B133" s="4">
        <f>(B3/(1-(B3/(B5*D21))))*1.2</f>
        <v>67.501007838745792</v>
      </c>
      <c r="C133" t="s">
        <v>9</v>
      </c>
      <c r="D133" t="s">
        <v>129</v>
      </c>
    </row>
    <row r="134" spans="1:9" x14ac:dyDescent="0.3">
      <c r="A134" t="s">
        <v>127</v>
      </c>
      <c r="B134" s="4">
        <f>(B3/(B9*2*SQRT(B23*10^-6*B51)))</f>
        <v>30.154861431004125</v>
      </c>
      <c r="C134" t="s">
        <v>9</v>
      </c>
      <c r="D134" t="s">
        <v>128</v>
      </c>
    </row>
    <row r="135" spans="1:9" x14ac:dyDescent="0.3">
      <c r="A135" t="s">
        <v>130</v>
      </c>
      <c r="B135">
        <f>SQRT(B53*(B7^2+(B35^2/12)))</f>
        <v>30.344233465774721</v>
      </c>
      <c r="C135" t="s">
        <v>20</v>
      </c>
    </row>
    <row r="136" spans="1:9" x14ac:dyDescent="0.3">
      <c r="F136" s="33" t="s">
        <v>133</v>
      </c>
      <c r="G136" s="33"/>
    </row>
    <row r="137" spans="1:9" x14ac:dyDescent="0.3">
      <c r="A137" t="s">
        <v>68</v>
      </c>
      <c r="B137" s="19">
        <f>D137*10^-3</f>
        <v>2.0400000000000001E-3</v>
      </c>
      <c r="C137" t="s">
        <v>37</v>
      </c>
      <c r="D137">
        <f>1.7*1.2</f>
        <v>2.04</v>
      </c>
      <c r="E137" t="s">
        <v>38</v>
      </c>
      <c r="F137" s="33"/>
      <c r="G137" s="33"/>
      <c r="H137" t="s">
        <v>165</v>
      </c>
    </row>
    <row r="138" spans="1:9" x14ac:dyDescent="0.3">
      <c r="A138" t="s">
        <v>114</v>
      </c>
      <c r="B138" s="1">
        <f>D138*10^-9</f>
        <v>1.24E-7</v>
      </c>
      <c r="C138" t="s">
        <v>117</v>
      </c>
      <c r="D138">
        <v>124</v>
      </c>
      <c r="E138" t="s">
        <v>116</v>
      </c>
      <c r="F138" s="33"/>
      <c r="G138" s="33"/>
    </row>
    <row r="140" spans="1:9" x14ac:dyDescent="0.3">
      <c r="A140" t="s">
        <v>131</v>
      </c>
      <c r="B140" s="27">
        <f>(B135^2*B137)+(B11*B138*B9)</f>
        <v>2.0023759094359028</v>
      </c>
      <c r="C140" t="s">
        <v>18</v>
      </c>
    </row>
    <row r="141" spans="1:9" x14ac:dyDescent="0.3">
      <c r="B141" s="4"/>
    </row>
    <row r="142" spans="1:9" x14ac:dyDescent="0.3">
      <c r="B142" s="20"/>
      <c r="D142" s="4"/>
      <c r="E142" s="34" t="s">
        <v>158</v>
      </c>
      <c r="F142" s="34"/>
    </row>
    <row r="143" spans="1:9" x14ac:dyDescent="0.3">
      <c r="A143" t="s">
        <v>149</v>
      </c>
      <c r="B143" s="20">
        <f>(B14-B13)/B140</f>
        <v>37.455504556648677</v>
      </c>
      <c r="C143" t="s">
        <v>151</v>
      </c>
      <c r="D143" s="4"/>
      <c r="E143" s="14">
        <v>0.35</v>
      </c>
      <c r="F143" t="s">
        <v>159</v>
      </c>
    </row>
    <row r="144" spans="1:9" x14ac:dyDescent="0.3">
      <c r="A144" t="s">
        <v>152</v>
      </c>
      <c r="B144" s="23">
        <v>0.6</v>
      </c>
      <c r="C144" t="s">
        <v>151</v>
      </c>
      <c r="D144" s="4"/>
      <c r="E144">
        <f>E143*B146</f>
        <v>59.005099999999999</v>
      </c>
      <c r="F144" t="s">
        <v>160</v>
      </c>
    </row>
    <row r="145" spans="1:9" x14ac:dyDescent="0.3">
      <c r="B145" s="23"/>
      <c r="D145" s="4"/>
      <c r="E145">
        <f>1/E144</f>
        <v>1.6947687572769134E-2</v>
      </c>
      <c r="F145" t="s">
        <v>151</v>
      </c>
    </row>
    <row r="146" spans="1:9" x14ac:dyDescent="0.3">
      <c r="A146" t="s">
        <v>154</v>
      </c>
      <c r="B146" s="20">
        <f>10.67*15.8</f>
        <v>168.58600000000001</v>
      </c>
      <c r="C146" t="s">
        <v>155</v>
      </c>
      <c r="D146" s="4"/>
    </row>
    <row r="147" spans="1:9" x14ac:dyDescent="0.3">
      <c r="A147" t="s">
        <v>153</v>
      </c>
      <c r="B147" s="20">
        <f>E145</f>
        <v>1.6947687572769134E-2</v>
      </c>
      <c r="C147" t="s">
        <v>151</v>
      </c>
      <c r="D147" s="4"/>
    </row>
    <row r="148" spans="1:9" x14ac:dyDescent="0.3">
      <c r="A148" t="s">
        <v>157</v>
      </c>
      <c r="B148" s="20">
        <f>B143-B144-B145-B147</f>
        <v>36.838556869075909</v>
      </c>
      <c r="C148" t="s">
        <v>151</v>
      </c>
      <c r="D148" s="4"/>
    </row>
    <row r="149" spans="1:9" x14ac:dyDescent="0.3">
      <c r="B149" s="20"/>
      <c r="D149" s="4"/>
    </row>
    <row r="150" spans="1:9" x14ac:dyDescent="0.3">
      <c r="A150" t="s">
        <v>166</v>
      </c>
      <c r="B150">
        <v>12</v>
      </c>
      <c r="C150" t="s">
        <v>151</v>
      </c>
      <c r="D150" s="4"/>
    </row>
    <row r="151" spans="1:9" x14ac:dyDescent="0.3">
      <c r="A151" t="s">
        <v>170</v>
      </c>
      <c r="B151" s="19">
        <f>B144+B145+B147+B150</f>
        <v>12.616947687572768</v>
      </c>
      <c r="C151" t="s">
        <v>151</v>
      </c>
      <c r="D151" s="4"/>
    </row>
    <row r="152" spans="1:9" x14ac:dyDescent="0.3">
      <c r="D152" s="4"/>
    </row>
    <row r="153" spans="1:9" x14ac:dyDescent="0.3">
      <c r="A153" t="s">
        <v>171</v>
      </c>
      <c r="B153">
        <f>B13+B140*B151</f>
        <v>75.263872100208729</v>
      </c>
      <c r="C153" t="s">
        <v>148</v>
      </c>
    </row>
    <row r="154" spans="1:9" x14ac:dyDescent="0.3">
      <c r="A154" s="31" t="s">
        <v>136</v>
      </c>
      <c r="B154" s="31"/>
      <c r="C154" s="31"/>
      <c r="D154" s="31"/>
      <c r="E154" s="31"/>
      <c r="F154" s="31"/>
      <c r="G154" s="31"/>
      <c r="H154" s="31"/>
      <c r="I154" s="31"/>
    </row>
    <row r="155" spans="1:9" x14ac:dyDescent="0.3">
      <c r="A155" t="s">
        <v>137</v>
      </c>
    </row>
    <row r="156" spans="1:9" x14ac:dyDescent="0.3">
      <c r="A156" t="s">
        <v>143</v>
      </c>
      <c r="B156" t="s">
        <v>138</v>
      </c>
      <c r="C156" t="s">
        <v>144</v>
      </c>
    </row>
    <row r="157" spans="1:9" x14ac:dyDescent="0.3">
      <c r="A157" t="s">
        <v>139</v>
      </c>
      <c r="B157">
        <v>15</v>
      </c>
      <c r="C157">
        <v>6.25</v>
      </c>
    </row>
    <row r="158" spans="1:9" x14ac:dyDescent="0.3">
      <c r="A158" t="s">
        <v>142</v>
      </c>
      <c r="B158" t="s">
        <v>140</v>
      </c>
      <c r="C158" t="s">
        <v>145</v>
      </c>
    </row>
    <row r="159" spans="1:9" x14ac:dyDescent="0.3">
      <c r="A159" t="s">
        <v>141</v>
      </c>
      <c r="B159">
        <v>800</v>
      </c>
      <c r="C159">
        <v>1000</v>
      </c>
    </row>
  </sheetData>
  <mergeCells count="16">
    <mergeCell ref="A154:I154"/>
    <mergeCell ref="A49:I49"/>
    <mergeCell ref="A15:I15"/>
    <mergeCell ref="A29:I29"/>
    <mergeCell ref="A58:I58"/>
    <mergeCell ref="E77:F77"/>
    <mergeCell ref="E142:F142"/>
    <mergeCell ref="A1:I1"/>
    <mergeCell ref="G65:I68"/>
    <mergeCell ref="A132:I132"/>
    <mergeCell ref="F136:G138"/>
    <mergeCell ref="A89:I89"/>
    <mergeCell ref="A107:I107"/>
    <mergeCell ref="F110:G112"/>
    <mergeCell ref="F90:G92"/>
    <mergeCell ref="E100:F100"/>
  </mergeCells>
  <phoneticPr fontId="2" type="noConversion"/>
  <hyperlinks>
    <hyperlink ref="I34" r:id="rId1" display="https://www.coilcraft.com/en-us/products/power/shielded-inductors/high-current-flat-wire/agp-ver/agm2222/?skuId=30439" xr:uid="{65A06BCB-7F4F-4354-B81C-D2D05E16C3B9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2023-01-25T14:25:27Z</dcterms:modified>
</cp:coreProperties>
</file>