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Privat\Git\Projektarbeit-Hochvolt-Elektrik-Komponenten-FSE-Fahrzeug\calc\"/>
    </mc:Choice>
  </mc:AlternateContent>
  <xr:revisionPtr revIDLastSave="0" documentId="13_ncr:1_{CEE174AC-4A1B-42D9-A5B2-3E2373E80BB3}" xr6:coauthVersionLast="47" xr6:coauthVersionMax="47" xr10:uidLastSave="{00000000-0000-0000-0000-000000000000}"/>
  <bookViews>
    <workbookView xWindow="-108" yWindow="-108" windowWidth="30936" windowHeight="16896" activeTab="1" xr2:uid="{00000000-000D-0000-FFFF-FFFF00000000}"/>
  </bookViews>
  <sheets>
    <sheet name="Benchmarking" sheetId="3" r:id="rId1"/>
    <sheet name="Zellvergleich" sheetId="4" r:id="rId2"/>
    <sheet name="Zellvergleich Detailiert" sheetId="5" r:id="rId3"/>
    <sheet name="Entladeeffizienz VTC6" sheetId="1" r:id="rId4"/>
    <sheet name="Voltage SOC Current VTC6"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3" l="1"/>
  <c r="K22" i="3"/>
  <c r="K7" i="4"/>
  <c r="K18" i="4" s="1"/>
  <c r="J7" i="4"/>
  <c r="I7" i="4"/>
  <c r="I18" i="4" s="1"/>
  <c r="I19" i="4" s="1"/>
  <c r="H12" i="4"/>
  <c r="H13" i="4" s="1"/>
  <c r="I12" i="4"/>
  <c r="I13" i="4" s="1"/>
  <c r="J12" i="4"/>
  <c r="J13" i="4" s="1"/>
  <c r="K12" i="4"/>
  <c r="K13" i="4" s="1"/>
  <c r="H15" i="4"/>
  <c r="H16" i="4" s="1"/>
  <c r="I15" i="4"/>
  <c r="I16" i="4" s="1"/>
  <c r="J15" i="4"/>
  <c r="J16" i="4" s="1"/>
  <c r="K15" i="4"/>
  <c r="K16" i="4" s="1"/>
  <c r="H18" i="4"/>
  <c r="J18" i="4"/>
  <c r="J19" i="4" s="1"/>
  <c r="H19" i="4"/>
  <c r="H21" i="4"/>
  <c r="H22" i="4" s="1"/>
  <c r="I21" i="4"/>
  <c r="J21" i="4"/>
  <c r="J22" i="4" s="1"/>
  <c r="K21" i="4"/>
  <c r="K22" i="4"/>
  <c r="H24" i="4"/>
  <c r="H25" i="4" s="1"/>
  <c r="H32" i="4" s="1"/>
  <c r="H33" i="4" s="1"/>
  <c r="H40" i="4" s="1"/>
  <c r="D15" i="4"/>
  <c r="D16" i="4" s="1"/>
  <c r="E15" i="4"/>
  <c r="F15" i="4"/>
  <c r="G15" i="4"/>
  <c r="G16" i="4" s="1"/>
  <c r="L15" i="4"/>
  <c r="M15" i="4"/>
  <c r="N15" i="4"/>
  <c r="O15" i="4"/>
  <c r="O16" i="4" s="1"/>
  <c r="P15" i="4"/>
  <c r="Q15" i="4"/>
  <c r="R15" i="4"/>
  <c r="S15" i="4"/>
  <c r="S16" i="4" s="1"/>
  <c r="T15" i="4"/>
  <c r="C15" i="4"/>
  <c r="C12" i="4"/>
  <c r="D12" i="4"/>
  <c r="E12" i="4"/>
  <c r="F12" i="4"/>
  <c r="G12" i="4"/>
  <c r="L12" i="4"/>
  <c r="M12" i="4"/>
  <c r="M13" i="4" s="1"/>
  <c r="N12" i="4"/>
  <c r="O12" i="4"/>
  <c r="O13" i="4" s="1"/>
  <c r="P12" i="4"/>
  <c r="P13" i="4" s="1"/>
  <c r="Q12" i="4"/>
  <c r="R12" i="4"/>
  <c r="S12" i="4"/>
  <c r="T12" i="4"/>
  <c r="C18" i="4"/>
  <c r="C19" i="4" s="1"/>
  <c r="I22" i="3"/>
  <c r="Q22" i="3" s="1"/>
  <c r="G21" i="3"/>
  <c r="H21" i="3"/>
  <c r="J6" i="3"/>
  <c r="J12" i="3"/>
  <c r="J14" i="3"/>
  <c r="J15" i="3"/>
  <c r="J16" i="3"/>
  <c r="J17" i="3"/>
  <c r="J18" i="3"/>
  <c r="I6" i="3"/>
  <c r="K6" i="3" s="1"/>
  <c r="I7" i="3"/>
  <c r="K7" i="3" s="1"/>
  <c r="I8" i="3"/>
  <c r="K8" i="3" s="1"/>
  <c r="I9" i="3"/>
  <c r="K9" i="3" s="1"/>
  <c r="I10" i="3"/>
  <c r="K10" i="3" s="1"/>
  <c r="I11" i="3"/>
  <c r="K11" i="3" s="1"/>
  <c r="I12" i="3"/>
  <c r="Q12" i="3" s="1"/>
  <c r="I13" i="3"/>
  <c r="Q13" i="3" s="1"/>
  <c r="I14" i="3"/>
  <c r="K14" i="3" s="1"/>
  <c r="I15" i="3"/>
  <c r="K15" i="3" s="1"/>
  <c r="I16" i="3"/>
  <c r="Q16" i="3" s="1"/>
  <c r="I17" i="3"/>
  <c r="Q17" i="3" s="1"/>
  <c r="I18" i="3"/>
  <c r="K18" i="3" s="1"/>
  <c r="I19" i="3"/>
  <c r="K19" i="3" s="1"/>
  <c r="I20" i="3"/>
  <c r="K20" i="3" s="1"/>
  <c r="I5" i="3"/>
  <c r="K5" i="3" s="1"/>
  <c r="D3" i="2"/>
  <c r="D3" i="1"/>
  <c r="D4" i="1"/>
  <c r="D5" i="1"/>
  <c r="D6" i="1"/>
  <c r="D7" i="1"/>
  <c r="D8" i="1"/>
  <c r="D9" i="1"/>
  <c r="D10" i="1"/>
  <c r="E10" i="1" s="1"/>
  <c r="F10" i="1" s="1"/>
  <c r="D11" i="1"/>
  <c r="D12" i="1"/>
  <c r="D13" i="1"/>
  <c r="C2" i="1"/>
  <c r="E4" i="1"/>
  <c r="E3" i="1"/>
  <c r="M21" i="3"/>
  <c r="L21" i="3"/>
  <c r="T21" i="4"/>
  <c r="T22" i="4" s="1"/>
  <c r="S21" i="4"/>
  <c r="S22" i="4" s="1"/>
  <c r="R21" i="4"/>
  <c r="Q21" i="4"/>
  <c r="P21" i="4"/>
  <c r="P22" i="4" s="1"/>
  <c r="O21" i="4"/>
  <c r="N21" i="4"/>
  <c r="M21" i="4"/>
  <c r="L21" i="4"/>
  <c r="L22" i="4" s="1"/>
  <c r="G21" i="4"/>
  <c r="G22" i="4" s="1"/>
  <c r="F21" i="4"/>
  <c r="E21" i="4"/>
  <c r="D21" i="4"/>
  <c r="C21" i="4"/>
  <c r="C22" i="4" s="1"/>
  <c r="T18" i="4"/>
  <c r="T19" i="4" s="1"/>
  <c r="S18" i="4"/>
  <c r="S19" i="4" s="1"/>
  <c r="R18" i="4"/>
  <c r="R19" i="4" s="1"/>
  <c r="Q18" i="4"/>
  <c r="P18" i="4"/>
  <c r="P19" i="4" s="1"/>
  <c r="O18" i="4"/>
  <c r="O19" i="4" s="1"/>
  <c r="N18" i="4"/>
  <c r="N19" i="4" s="1"/>
  <c r="M18" i="4"/>
  <c r="M19" i="4" s="1"/>
  <c r="L18" i="4"/>
  <c r="L19" i="4" s="1"/>
  <c r="G18" i="4"/>
  <c r="G19" i="4" s="1"/>
  <c r="F18" i="4"/>
  <c r="F19" i="4" s="1"/>
  <c r="E18" i="4"/>
  <c r="D18" i="4"/>
  <c r="R22" i="3"/>
  <c r="O20" i="3"/>
  <c r="R20" i="3" s="1"/>
  <c r="Q19" i="3"/>
  <c r="O19" i="3"/>
  <c r="R19" i="3" s="1"/>
  <c r="Q18" i="3"/>
  <c r="O18" i="3"/>
  <c r="R18" i="3" s="1"/>
  <c r="R17" i="3"/>
  <c r="O16" i="3"/>
  <c r="R16" i="3" s="1"/>
  <c r="R15" i="3"/>
  <c r="Q15" i="3"/>
  <c r="R14" i="3"/>
  <c r="P14" i="3"/>
  <c r="R13" i="3"/>
  <c r="O12" i="3"/>
  <c r="R12" i="3" s="1"/>
  <c r="O11" i="3"/>
  <c r="R11" i="3" s="1"/>
  <c r="O10" i="3"/>
  <c r="R10" i="3" s="1"/>
  <c r="Q9" i="3"/>
  <c r="O9" i="3"/>
  <c r="R9" i="3" s="1"/>
  <c r="R8" i="3"/>
  <c r="R7" i="3"/>
  <c r="Q7" i="3"/>
  <c r="Q6" i="3"/>
  <c r="O6" i="3"/>
  <c r="R6" i="3" s="1"/>
  <c r="O5" i="3"/>
  <c r="R5" i="3" s="1"/>
  <c r="B55" i="2"/>
  <c r="D5" i="2" s="1"/>
  <c r="D6" i="2" s="1"/>
  <c r="D7" i="2" s="1"/>
  <c r="D8" i="2" s="1"/>
  <c r="D9" i="2" s="1"/>
  <c r="D10" i="2" s="1"/>
  <c r="D11" i="2" s="1"/>
  <c r="D12" i="2" s="1"/>
  <c r="D13" i="2" s="1"/>
  <c r="D14" i="2" s="1"/>
  <c r="D15" i="2" s="1"/>
  <c r="D16" i="2" s="1"/>
  <c r="K19" i="4" l="1"/>
  <c r="K24" i="4"/>
  <c r="K25" i="4" s="1"/>
  <c r="K32" i="4" s="1"/>
  <c r="K33" i="4" s="1"/>
  <c r="K40" i="4" s="1"/>
  <c r="J24" i="4"/>
  <c r="J25" i="4" s="1"/>
  <c r="I24" i="4"/>
  <c r="I25" i="4" s="1"/>
  <c r="I32" i="4" s="1"/>
  <c r="I33" i="4" s="1"/>
  <c r="I40" i="4" s="1"/>
  <c r="I22" i="4"/>
  <c r="H34" i="4"/>
  <c r="H39" i="4" s="1"/>
  <c r="J28" i="4"/>
  <c r="J29" i="4" s="1"/>
  <c r="I28" i="4"/>
  <c r="I29" i="4" s="1"/>
  <c r="H28" i="4"/>
  <c r="H29" i="4" s="1"/>
  <c r="Q11" i="3"/>
  <c r="J22" i="3"/>
  <c r="J13" i="3"/>
  <c r="K17" i="3"/>
  <c r="J11" i="3"/>
  <c r="Q20" i="3"/>
  <c r="K16" i="3"/>
  <c r="J10" i="3"/>
  <c r="Q8" i="3"/>
  <c r="J9" i="3"/>
  <c r="Q10" i="3"/>
  <c r="J20" i="3"/>
  <c r="J8" i="3"/>
  <c r="J19" i="3"/>
  <c r="J7" i="3"/>
  <c r="Q24" i="4"/>
  <c r="Q25" i="4" s="1"/>
  <c r="Q34" i="4" s="1"/>
  <c r="E19" i="4"/>
  <c r="Q19" i="4"/>
  <c r="D19" i="4"/>
  <c r="C24" i="4"/>
  <c r="C13" i="4"/>
  <c r="F13" i="4"/>
  <c r="F16" i="4"/>
  <c r="P16" i="4"/>
  <c r="O22" i="4"/>
  <c r="E13" i="4"/>
  <c r="F22" i="4"/>
  <c r="M22" i="4"/>
  <c r="G13" i="4"/>
  <c r="S13" i="4"/>
  <c r="T13" i="4"/>
  <c r="Q13" i="4"/>
  <c r="R13" i="4"/>
  <c r="R22" i="4"/>
  <c r="N16" i="4"/>
  <c r="D13" i="4"/>
  <c r="C16" i="4"/>
  <c r="Q16" i="4"/>
  <c r="E16" i="4"/>
  <c r="N24" i="4"/>
  <c r="L16" i="4"/>
  <c r="M16" i="4"/>
  <c r="O24" i="4"/>
  <c r="G24" i="4"/>
  <c r="L13" i="4"/>
  <c r="R16" i="4"/>
  <c r="Q22" i="4"/>
  <c r="N13" i="4"/>
  <c r="T16" i="4"/>
  <c r="D22" i="4"/>
  <c r="L24" i="4"/>
  <c r="T24" i="4"/>
  <c r="S24" i="4"/>
  <c r="E22" i="4"/>
  <c r="M24" i="4"/>
  <c r="J5" i="3"/>
  <c r="J21" i="3" s="1"/>
  <c r="K13" i="3"/>
  <c r="K12" i="3"/>
  <c r="I21" i="3"/>
  <c r="Q14" i="3"/>
  <c r="O21" i="3"/>
  <c r="P10" i="3"/>
  <c r="P20" i="3"/>
  <c r="P8" i="3"/>
  <c r="R21" i="3"/>
  <c r="Q5" i="3"/>
  <c r="P18" i="3"/>
  <c r="P12" i="3"/>
  <c r="P24" i="4"/>
  <c r="D24" i="4"/>
  <c r="E24" i="4"/>
  <c r="F24" i="4"/>
  <c r="R24" i="4"/>
  <c r="N22" i="4"/>
  <c r="P6" i="3"/>
  <c r="P13" i="3"/>
  <c r="P16" i="3"/>
  <c r="P9" i="3"/>
  <c r="P7" i="3"/>
  <c r="P11" i="3"/>
  <c r="P19" i="3"/>
  <c r="P17" i="3"/>
  <c r="P5" i="3"/>
  <c r="P22" i="3"/>
  <c r="P15" i="3"/>
  <c r="B57" i="2"/>
  <c r="B58" i="2" s="1"/>
  <c r="B59" i="2" s="1"/>
  <c r="B60" i="2" s="1"/>
  <c r="B61" i="2" s="1"/>
  <c r="K28" i="4" l="1"/>
  <c r="K29" i="4" s="1"/>
  <c r="K34" i="4"/>
  <c r="K39" i="4" s="1"/>
  <c r="K26" i="4"/>
  <c r="K27" i="4" s="1"/>
  <c r="K63" i="4"/>
  <c r="J26" i="4"/>
  <c r="J27" i="4" s="1"/>
  <c r="J63" i="4"/>
  <c r="J34" i="4"/>
  <c r="J39" i="4" s="1"/>
  <c r="J32" i="4"/>
  <c r="J33" i="4" s="1"/>
  <c r="J40" i="4" s="1"/>
  <c r="I34" i="4"/>
  <c r="I39" i="4" s="1"/>
  <c r="I26" i="4"/>
  <c r="I27" i="4" s="1"/>
  <c r="I63" i="4"/>
  <c r="H26" i="4"/>
  <c r="H27" i="4" s="1"/>
  <c r="H63" i="4"/>
  <c r="C28" i="4"/>
  <c r="C29" i="4" s="1"/>
  <c r="C63" i="4" s="1"/>
  <c r="C25" i="4"/>
  <c r="N28" i="4"/>
  <c r="N29" i="4" s="1"/>
  <c r="N63" i="4" s="1"/>
  <c r="N25" i="4"/>
  <c r="P28" i="4"/>
  <c r="P29" i="4" s="1"/>
  <c r="P63" i="4" s="1"/>
  <c r="P25" i="4"/>
  <c r="O28" i="4"/>
  <c r="O29" i="4" s="1"/>
  <c r="O63" i="4" s="1"/>
  <c r="O25" i="4"/>
  <c r="M28" i="4"/>
  <c r="M29" i="4" s="1"/>
  <c r="M63" i="4" s="1"/>
  <c r="M25" i="4"/>
  <c r="G28" i="4"/>
  <c r="G29" i="4" s="1"/>
  <c r="G63" i="4" s="1"/>
  <c r="G25" i="4"/>
  <c r="E28" i="4"/>
  <c r="E29" i="4" s="1"/>
  <c r="E63" i="4" s="1"/>
  <c r="E25" i="4"/>
  <c r="L28" i="4"/>
  <c r="L29" i="4" s="1"/>
  <c r="L63" i="4" s="1"/>
  <c r="L25" i="4"/>
  <c r="R28" i="4"/>
  <c r="R29" i="4" s="1"/>
  <c r="R63" i="4" s="1"/>
  <c r="R25" i="4"/>
  <c r="S28" i="4"/>
  <c r="S29" i="4" s="1"/>
  <c r="S63" i="4" s="1"/>
  <c r="S25" i="4"/>
  <c r="T28" i="4"/>
  <c r="T29" i="4" s="1"/>
  <c r="T63" i="4" s="1"/>
  <c r="T25" i="4"/>
  <c r="F28" i="4"/>
  <c r="F29" i="4" s="1"/>
  <c r="F63" i="4" s="1"/>
  <c r="F25" i="4"/>
  <c r="Q28" i="4"/>
  <c r="Q29" i="4" s="1"/>
  <c r="Q63" i="4" s="1"/>
  <c r="D28" i="4"/>
  <c r="D29" i="4" s="1"/>
  <c r="D63" i="4" s="1"/>
  <c r="D25" i="4"/>
  <c r="Q21" i="3"/>
  <c r="P21" i="3"/>
  <c r="B62" i="2"/>
  <c r="B63" i="2" s="1"/>
  <c r="B64" i="2" s="1"/>
  <c r="B65" i="2" s="1"/>
  <c r="B66" i="2" s="1"/>
  <c r="B67" i="2" s="1"/>
  <c r="B68" i="2" s="1"/>
  <c r="K31" i="4" l="1"/>
  <c r="K38" i="4" s="1"/>
  <c r="K41" i="4" s="1"/>
  <c r="K42" i="4" s="1"/>
  <c r="K44" i="4"/>
  <c r="K45" i="4" s="1"/>
  <c r="K47" i="4"/>
  <c r="K48" i="4" s="1"/>
  <c r="K49" i="4" s="1"/>
  <c r="K50" i="4"/>
  <c r="K51" i="4" s="1"/>
  <c r="K52" i="4" s="1"/>
  <c r="J44" i="4"/>
  <c r="J45" i="4" s="1"/>
  <c r="J50" i="4"/>
  <c r="J51" i="4" s="1"/>
  <c r="J52" i="4" s="1"/>
  <c r="J31" i="4"/>
  <c r="J38" i="4" s="1"/>
  <c r="J41" i="4" s="1"/>
  <c r="J42" i="4" s="1"/>
  <c r="J47" i="4"/>
  <c r="J48" i="4" s="1"/>
  <c r="J49" i="4" s="1"/>
  <c r="I44" i="4"/>
  <c r="I45" i="4" s="1"/>
  <c r="I31" i="4"/>
  <c r="I38" i="4" s="1"/>
  <c r="I41" i="4" s="1"/>
  <c r="I42" i="4" s="1"/>
  <c r="I47" i="4"/>
  <c r="I48" i="4" s="1"/>
  <c r="I49" i="4" s="1"/>
  <c r="I50" i="4"/>
  <c r="I51" i="4" s="1"/>
  <c r="I52" i="4" s="1"/>
  <c r="H44" i="4"/>
  <c r="H45" i="4" s="1"/>
  <c r="H47" i="4"/>
  <c r="H48" i="4" s="1"/>
  <c r="H49" i="4" s="1"/>
  <c r="H31" i="4"/>
  <c r="H38" i="4" s="1"/>
  <c r="H41" i="4" s="1"/>
  <c r="H42" i="4" s="1"/>
  <c r="H50" i="4"/>
  <c r="H51" i="4" s="1"/>
  <c r="H52" i="4" s="1"/>
  <c r="N34" i="4"/>
  <c r="N26" i="4"/>
  <c r="F34" i="4"/>
  <c r="F26" i="4"/>
  <c r="S34" i="4"/>
  <c r="S39" i="4" s="1"/>
  <c r="S26" i="4"/>
  <c r="E34" i="4"/>
  <c r="E39" i="4" s="1"/>
  <c r="E26" i="4"/>
  <c r="E27" i="4" s="1"/>
  <c r="C34" i="4"/>
  <c r="C39" i="4" s="1"/>
  <c r="C26" i="4"/>
  <c r="C27" i="4" s="1"/>
  <c r="C44" i="4" s="1"/>
  <c r="O34" i="4"/>
  <c r="O39" i="4" s="1"/>
  <c r="O26" i="4"/>
  <c r="O27" i="4" s="1"/>
  <c r="P34" i="4"/>
  <c r="P26" i="4"/>
  <c r="G34" i="4"/>
  <c r="G39" i="4" s="1"/>
  <c r="G26" i="4"/>
  <c r="G27" i="4" s="1"/>
  <c r="R34" i="4"/>
  <c r="R39" i="4" s="1"/>
  <c r="R26" i="4"/>
  <c r="R27" i="4" s="1"/>
  <c r="D34" i="4"/>
  <c r="D39" i="4" s="1"/>
  <c r="D26" i="4"/>
  <c r="D27" i="4" s="1"/>
  <c r="T34" i="4"/>
  <c r="T39" i="4" s="1"/>
  <c r="T26" i="4"/>
  <c r="T27" i="4" s="1"/>
  <c r="M34" i="4"/>
  <c r="M39" i="4" s="1"/>
  <c r="M26" i="4"/>
  <c r="M27" i="4" s="1"/>
  <c r="L34" i="4"/>
  <c r="L39" i="4" s="1"/>
  <c r="L26" i="4"/>
  <c r="L27" i="4" s="1"/>
  <c r="F27" i="4"/>
  <c r="F50" i="4" s="1"/>
  <c r="F51" i="4" s="1"/>
  <c r="F52" i="4" s="1"/>
  <c r="F39" i="4"/>
  <c r="Q26" i="4"/>
  <c r="N27" i="4"/>
  <c r="Q27" i="4"/>
  <c r="P27" i="4"/>
  <c r="S27" i="4"/>
  <c r="S32" i="4"/>
  <c r="S33" i="4" s="1"/>
  <c r="S40" i="4" s="1"/>
  <c r="O32" i="4"/>
  <c r="O33" i="4" s="1"/>
  <c r="O40" i="4" s="1"/>
  <c r="P39" i="4"/>
  <c r="P32" i="4"/>
  <c r="P33" i="4" s="1"/>
  <c r="P40" i="4" s="1"/>
  <c r="D32" i="4"/>
  <c r="D33" i="4" s="1"/>
  <c r="D40" i="4" s="1"/>
  <c r="R32" i="4"/>
  <c r="R33" i="4" s="1"/>
  <c r="R40" i="4" s="1"/>
  <c r="F32" i="4"/>
  <c r="F33" i="4" s="1"/>
  <c r="F40" i="4" s="1"/>
  <c r="L32" i="4"/>
  <c r="L33" i="4" s="1"/>
  <c r="L40" i="4" s="1"/>
  <c r="N39" i="4"/>
  <c r="N32" i="4"/>
  <c r="N33" i="4" s="1"/>
  <c r="N40" i="4" s="1"/>
  <c r="E32" i="4"/>
  <c r="E33" i="4" s="1"/>
  <c r="E40" i="4" s="1"/>
  <c r="G32" i="4"/>
  <c r="G33" i="4" s="1"/>
  <c r="G40" i="4" s="1"/>
  <c r="T32" i="4"/>
  <c r="T33" i="4" s="1"/>
  <c r="T40" i="4" s="1"/>
  <c r="M32" i="4"/>
  <c r="M33" i="4" s="1"/>
  <c r="M40" i="4" s="1"/>
  <c r="Q32" i="4"/>
  <c r="Q33" i="4" s="1"/>
  <c r="Q40" i="4" s="1"/>
  <c r="Q39" i="4"/>
  <c r="C32" i="4"/>
  <c r="C33" i="4" s="1"/>
  <c r="C40" i="4" s="1"/>
  <c r="F4" i="1"/>
  <c r="F3" i="1"/>
  <c r="E13" i="1"/>
  <c r="F13" i="1" s="1"/>
  <c r="K53" i="4" l="1"/>
  <c r="K46" i="4"/>
  <c r="J46" i="4"/>
  <c r="J53" i="4"/>
  <c r="I53" i="4"/>
  <c r="I46" i="4"/>
  <c r="H53" i="4"/>
  <c r="H46" i="4"/>
  <c r="F44" i="4"/>
  <c r="F45" i="4" s="1"/>
  <c r="F53" i="4" s="1"/>
  <c r="N44" i="4"/>
  <c r="N45" i="4" s="1"/>
  <c r="Q47" i="4"/>
  <c r="Q48" i="4" s="1"/>
  <c r="Q49" i="4" s="1"/>
  <c r="E47" i="4"/>
  <c r="E48" i="4" s="1"/>
  <c r="E49" i="4" s="1"/>
  <c r="T47" i="4"/>
  <c r="T48" i="4" s="1"/>
  <c r="T49" i="4" s="1"/>
  <c r="F47" i="4"/>
  <c r="F48" i="4" s="1"/>
  <c r="F49" i="4" s="1"/>
  <c r="O47" i="4"/>
  <c r="O48" i="4" s="1"/>
  <c r="O49" i="4" s="1"/>
  <c r="D47" i="4"/>
  <c r="D48" i="4" s="1"/>
  <c r="D49" i="4" s="1"/>
  <c r="P47" i="4"/>
  <c r="P48" i="4" s="1"/>
  <c r="P49" i="4" s="1"/>
  <c r="N47" i="4"/>
  <c r="N48" i="4" s="1"/>
  <c r="N49" i="4" s="1"/>
  <c r="R47" i="4"/>
  <c r="R48" i="4" s="1"/>
  <c r="R49" i="4" s="1"/>
  <c r="S47" i="4"/>
  <c r="S48" i="4" s="1"/>
  <c r="S49" i="4" s="1"/>
  <c r="F31" i="4"/>
  <c r="F38" i="4" s="1"/>
  <c r="G47" i="4"/>
  <c r="G48" i="4" s="1"/>
  <c r="G49" i="4" s="1"/>
  <c r="M47" i="4"/>
  <c r="M48" i="4" s="1"/>
  <c r="M49" i="4" s="1"/>
  <c r="N31" i="4"/>
  <c r="N38" i="4" s="1"/>
  <c r="N41" i="4" s="1"/>
  <c r="N42" i="4" s="1"/>
  <c r="L47" i="4"/>
  <c r="L48" i="4" s="1"/>
  <c r="L49" i="4" s="1"/>
  <c r="C47" i="4"/>
  <c r="C48" i="4" s="1"/>
  <c r="C49" i="4" s="1"/>
  <c r="C45" i="4"/>
  <c r="F46" i="4"/>
  <c r="N46" i="4"/>
  <c r="N50" i="4"/>
  <c r="N51" i="4" s="1"/>
  <c r="N52" i="4" s="1"/>
  <c r="S50" i="4"/>
  <c r="S51" i="4" s="1"/>
  <c r="S52" i="4" s="1"/>
  <c r="S44" i="4"/>
  <c r="S45" i="4" s="1"/>
  <c r="S53" i="4" s="1"/>
  <c r="M50" i="4"/>
  <c r="M51" i="4" s="1"/>
  <c r="M52" i="4" s="1"/>
  <c r="M44" i="4"/>
  <c r="M45" i="4" s="1"/>
  <c r="T50" i="4"/>
  <c r="T51" i="4" s="1"/>
  <c r="T52" i="4" s="1"/>
  <c r="T44" i="4"/>
  <c r="T45" i="4" s="1"/>
  <c r="T53" i="4" s="1"/>
  <c r="L50" i="4"/>
  <c r="L51" i="4" s="1"/>
  <c r="L52" i="4" s="1"/>
  <c r="L44" i="4"/>
  <c r="L45" i="4" s="1"/>
  <c r="C50" i="4"/>
  <c r="C51" i="4" s="1"/>
  <c r="C52" i="4" s="1"/>
  <c r="T31" i="4"/>
  <c r="T38" i="4" s="1"/>
  <c r="T41" i="4" s="1"/>
  <c r="T42" i="4" s="1"/>
  <c r="G50" i="4"/>
  <c r="G51" i="4" s="1"/>
  <c r="G52" i="4" s="1"/>
  <c r="G44" i="4"/>
  <c r="G45" i="4" s="1"/>
  <c r="E50" i="4"/>
  <c r="E51" i="4" s="1"/>
  <c r="E52" i="4" s="1"/>
  <c r="E44" i="4"/>
  <c r="E45" i="4" s="1"/>
  <c r="E53" i="4" s="1"/>
  <c r="Q31" i="4"/>
  <c r="Q38" i="4" s="1"/>
  <c r="Q41" i="4" s="1"/>
  <c r="Q42" i="4" s="1"/>
  <c r="Q44" i="4"/>
  <c r="Q45" i="4" s="1"/>
  <c r="Q53" i="4" s="1"/>
  <c r="Q50" i="4"/>
  <c r="Q51" i="4" s="1"/>
  <c r="Q52" i="4" s="1"/>
  <c r="O50" i="4"/>
  <c r="O51" i="4" s="1"/>
  <c r="O52" i="4" s="1"/>
  <c r="O44" i="4"/>
  <c r="O45" i="4" s="1"/>
  <c r="R50" i="4"/>
  <c r="R51" i="4" s="1"/>
  <c r="R52" i="4" s="1"/>
  <c r="R44" i="4"/>
  <c r="R45" i="4" s="1"/>
  <c r="R53" i="4" s="1"/>
  <c r="D44" i="4"/>
  <c r="D45" i="4" s="1"/>
  <c r="D53" i="4" s="1"/>
  <c r="D50" i="4"/>
  <c r="D51" i="4" s="1"/>
  <c r="D52" i="4" s="1"/>
  <c r="P50" i="4"/>
  <c r="P51" i="4" s="1"/>
  <c r="P52" i="4" s="1"/>
  <c r="P44" i="4"/>
  <c r="P45" i="4" s="1"/>
  <c r="F41" i="4"/>
  <c r="F42" i="4" s="1"/>
  <c r="S31" i="4"/>
  <c r="S38" i="4" s="1"/>
  <c r="S41" i="4" s="1"/>
  <c r="S42" i="4" s="1"/>
  <c r="L31" i="4"/>
  <c r="C31" i="4"/>
  <c r="C38" i="4" s="1"/>
  <c r="M31" i="4"/>
  <c r="G31" i="4"/>
  <c r="E31" i="4"/>
  <c r="O31" i="4"/>
  <c r="D31" i="4"/>
  <c r="P31" i="4"/>
  <c r="R31" i="4"/>
  <c r="E5" i="1"/>
  <c r="F5" i="1" s="1"/>
  <c r="E6" i="1"/>
  <c r="F6" i="1" s="1"/>
  <c r="E7" i="1"/>
  <c r="F7" i="1" s="1"/>
  <c r="E8" i="1"/>
  <c r="F8" i="1" s="1"/>
  <c r="E9" i="1"/>
  <c r="F9" i="1" s="1"/>
  <c r="E11" i="1"/>
  <c r="F11" i="1" s="1"/>
  <c r="E12" i="1"/>
  <c r="F12" i="1" s="1"/>
  <c r="C8" i="1"/>
  <c r="C7" i="1"/>
  <c r="C9" i="1"/>
  <c r="C10" i="1"/>
  <c r="C11" i="1"/>
  <c r="C12" i="1"/>
  <c r="C13" i="1"/>
  <c r="C3" i="1"/>
  <c r="C4" i="1"/>
  <c r="C5" i="1"/>
  <c r="C6" i="1"/>
  <c r="K54" i="4" l="1"/>
  <c r="K58" i="4" s="1"/>
  <c r="K57" i="4"/>
  <c r="K61" i="4"/>
  <c r="J54" i="4"/>
  <c r="J58" i="4" s="1"/>
  <c r="J59" i="4"/>
  <c r="I54" i="4"/>
  <c r="I58" i="4" s="1"/>
  <c r="I57" i="4"/>
  <c r="I60" i="4"/>
  <c r="I61" i="4"/>
  <c r="H54" i="4"/>
  <c r="H58" i="4" s="1"/>
  <c r="H59" i="4"/>
  <c r="H57" i="4"/>
  <c r="H56" i="4"/>
  <c r="E54" i="4"/>
  <c r="E57" i="4" s="1"/>
  <c r="S54" i="4"/>
  <c r="S58" i="4" s="1"/>
  <c r="Q54" i="4"/>
  <c r="Q61" i="4" s="1"/>
  <c r="T54" i="4"/>
  <c r="T58" i="4" s="1"/>
  <c r="D54" i="4"/>
  <c r="D57" i="4" s="1"/>
  <c r="R54" i="4"/>
  <c r="R58" i="4" s="1"/>
  <c r="N53" i="4"/>
  <c r="F54" i="4"/>
  <c r="S46" i="4"/>
  <c r="L46" i="4"/>
  <c r="L53" i="4" s="1"/>
  <c r="P46" i="4"/>
  <c r="P53" i="4" s="1"/>
  <c r="Q46" i="4"/>
  <c r="D46" i="4"/>
  <c r="E46" i="4"/>
  <c r="T46" i="4"/>
  <c r="R46" i="4"/>
  <c r="G46" i="4"/>
  <c r="G53" i="4" s="1"/>
  <c r="M46" i="4"/>
  <c r="M53" i="4" s="1"/>
  <c r="O46" i="4"/>
  <c r="O53" i="4" s="1"/>
  <c r="C46" i="4"/>
  <c r="C53" i="4" s="1"/>
  <c r="G38" i="4"/>
  <c r="G41" i="4" s="1"/>
  <c r="G42" i="4" s="1"/>
  <c r="P38" i="4"/>
  <c r="P41" i="4" s="1"/>
  <c r="P42" i="4" s="1"/>
  <c r="R38" i="4"/>
  <c r="R41" i="4" s="1"/>
  <c r="R42" i="4" s="1"/>
  <c r="E38" i="4"/>
  <c r="E41" i="4" s="1"/>
  <c r="E42" i="4" s="1"/>
  <c r="D38" i="4"/>
  <c r="D41" i="4" s="1"/>
  <c r="D42" i="4" s="1"/>
  <c r="L38" i="4"/>
  <c r="L41" i="4" s="1"/>
  <c r="L42" i="4" s="1"/>
  <c r="O38" i="4"/>
  <c r="O41" i="4" s="1"/>
  <c r="O42" i="4" s="1"/>
  <c r="M38" i="4"/>
  <c r="M41" i="4" s="1"/>
  <c r="M42" i="4" s="1"/>
  <c r="C41" i="4"/>
  <c r="C42" i="4" s="1"/>
  <c r="K60" i="4" l="1"/>
  <c r="K59" i="4"/>
  <c r="K62" i="4"/>
  <c r="K64" i="4"/>
  <c r="K56" i="4"/>
  <c r="J57" i="4"/>
  <c r="J61" i="4"/>
  <c r="J56" i="4"/>
  <c r="J60" i="4"/>
  <c r="I56" i="4"/>
  <c r="I59" i="4"/>
  <c r="I64" i="4"/>
  <c r="I62" i="4"/>
  <c r="H60" i="4"/>
  <c r="H61" i="4"/>
  <c r="Q62" i="4"/>
  <c r="Q64" i="4"/>
  <c r="S57" i="4"/>
  <c r="S60" i="4"/>
  <c r="S59" i="4"/>
  <c r="S61" i="4"/>
  <c r="Q56" i="4"/>
  <c r="Q58" i="4"/>
  <c r="Q59" i="4"/>
  <c r="Q57" i="4"/>
  <c r="Q60" i="4"/>
  <c r="E60" i="4"/>
  <c r="E59" i="4"/>
  <c r="E56" i="4"/>
  <c r="E58" i="4"/>
  <c r="E61" i="4"/>
  <c r="F56" i="4"/>
  <c r="F58" i="4"/>
  <c r="F61" i="4"/>
  <c r="F57" i="4"/>
  <c r="F59" i="4"/>
  <c r="F60" i="4"/>
  <c r="D60" i="4"/>
  <c r="D59" i="4"/>
  <c r="D56" i="4"/>
  <c r="D58" i="4"/>
  <c r="D61" i="4"/>
  <c r="T56" i="4"/>
  <c r="R60" i="4"/>
  <c r="R59" i="4"/>
  <c r="R61" i="4"/>
  <c r="T60" i="4"/>
  <c r="R56" i="4"/>
  <c r="T59" i="4"/>
  <c r="T57" i="4"/>
  <c r="R57" i="4"/>
  <c r="S56" i="4"/>
  <c r="T61" i="4"/>
  <c r="P54" i="4"/>
  <c r="P61" i="4" s="1"/>
  <c r="O54" i="4"/>
  <c r="O59" i="4" s="1"/>
  <c r="N54" i="4"/>
  <c r="N59" i="4" s="1"/>
  <c r="C54" i="4"/>
  <c r="C61" i="4" s="1"/>
  <c r="M54" i="4"/>
  <c r="M60" i="4" s="1"/>
  <c r="G54" i="4"/>
  <c r="G58" i="4" s="1"/>
  <c r="L54" i="4"/>
  <c r="L58" i="4" s="1"/>
  <c r="J62" i="4" l="1"/>
  <c r="J64" i="4"/>
  <c r="H64" i="4"/>
  <c r="H62" i="4"/>
  <c r="L56" i="4"/>
  <c r="G56" i="4"/>
  <c r="T62" i="4"/>
  <c r="T64" i="4"/>
  <c r="F62" i="4"/>
  <c r="F64" i="4"/>
  <c r="R62" i="4"/>
  <c r="R64" i="4"/>
  <c r="E62" i="4"/>
  <c r="E64" i="4"/>
  <c r="C62" i="4"/>
  <c r="C64" i="4"/>
  <c r="S62" i="4"/>
  <c r="S64" i="4"/>
  <c r="L60" i="4"/>
  <c r="P62" i="4"/>
  <c r="P64" i="4"/>
  <c r="D62" i="4"/>
  <c r="D64" i="4"/>
  <c r="P59" i="4"/>
  <c r="P57" i="4"/>
  <c r="L57" i="4"/>
  <c r="L59" i="4"/>
  <c r="M59" i="4"/>
  <c r="N60" i="4"/>
  <c r="N56" i="4"/>
  <c r="N58" i="4"/>
  <c r="M61" i="4"/>
  <c r="N57" i="4"/>
  <c r="M57" i="4"/>
  <c r="O56" i="4"/>
  <c r="O58" i="4"/>
  <c r="N61" i="4"/>
  <c r="O60" i="4"/>
  <c r="G61" i="4"/>
  <c r="C59" i="4"/>
  <c r="G60" i="4"/>
  <c r="C60" i="4"/>
  <c r="P56" i="4"/>
  <c r="P58" i="4"/>
  <c r="O57" i="4"/>
  <c r="G57" i="4"/>
  <c r="M56" i="4"/>
  <c r="M58" i="4"/>
  <c r="O61" i="4"/>
  <c r="G59" i="4"/>
  <c r="C56" i="4"/>
  <c r="C58" i="4"/>
  <c r="P60" i="4"/>
  <c r="L61" i="4"/>
  <c r="C57" i="4"/>
  <c r="N62" i="4" l="1"/>
  <c r="N64" i="4"/>
  <c r="M62" i="4"/>
  <c r="M64" i="4"/>
  <c r="O62" i="4"/>
  <c r="O64" i="4"/>
  <c r="G62" i="4"/>
  <c r="G64" i="4"/>
  <c r="L62" i="4"/>
  <c r="L64" i="4"/>
</calcChain>
</file>

<file path=xl/sharedStrings.xml><?xml version="1.0" encoding="utf-8"?>
<sst xmlns="http://schemas.openxmlformats.org/spreadsheetml/2006/main" count="877" uniqueCount="275">
  <si>
    <t>Corrected Discharge Current</t>
  </si>
  <si>
    <t>0.2</t>
  </si>
  <si>
    <t>0.5</t>
  </si>
  <si>
    <t>2.847</t>
  </si>
  <si>
    <t>2.842</t>
  </si>
  <si>
    <t>2.837</t>
  </si>
  <si>
    <t>2.835</t>
  </si>
  <si>
    <t>2.833</t>
  </si>
  <si>
    <t>2.832</t>
  </si>
  <si>
    <t>2.83</t>
  </si>
  <si>
    <t>2.825</t>
  </si>
  <si>
    <t>2.81</t>
  </si>
  <si>
    <t>2.8</t>
  </si>
  <si>
    <t>2.72</t>
  </si>
  <si>
    <t>0.090909091</t>
  </si>
  <si>
    <t>2.95</t>
  </si>
  <si>
    <t>2.945</t>
  </si>
  <si>
    <t>2.94</t>
  </si>
  <si>
    <t>2.93</t>
  </si>
  <si>
    <t>2.925</t>
  </si>
  <si>
    <t>2.92</t>
  </si>
  <si>
    <t>2.91</t>
  </si>
  <si>
    <t>2.9</t>
  </si>
  <si>
    <t>2.88</t>
  </si>
  <si>
    <t>2.86</t>
  </si>
  <si>
    <t>0.181818182</t>
  </si>
  <si>
    <t>3.09</t>
  </si>
  <si>
    <t>3.08</t>
  </si>
  <si>
    <t>3.07</t>
  </si>
  <si>
    <t>3.06</t>
  </si>
  <si>
    <t>3.055</t>
  </si>
  <si>
    <t>3.045</t>
  </si>
  <si>
    <t>3.03</t>
  </si>
  <si>
    <t>3.01</t>
  </si>
  <si>
    <t>2.98</t>
  </si>
  <si>
    <t>2.87</t>
  </si>
  <si>
    <t>0.272727273</t>
  </si>
  <si>
    <t>3.25</t>
  </si>
  <si>
    <t>3.24</t>
  </si>
  <si>
    <t>3.23</t>
  </si>
  <si>
    <t>3.21</t>
  </si>
  <si>
    <t>3.2</t>
  </si>
  <si>
    <t>3.157</t>
  </si>
  <si>
    <t>3.15</t>
  </si>
  <si>
    <t>3.12</t>
  </si>
  <si>
    <t>0.363636364</t>
  </si>
  <si>
    <t>3.4</t>
  </si>
  <si>
    <t>3.41</t>
  </si>
  <si>
    <t>3.38</t>
  </si>
  <si>
    <t>3.36</t>
  </si>
  <si>
    <t>3.34</t>
  </si>
  <si>
    <t>3.305</t>
  </si>
  <si>
    <t>3.27</t>
  </si>
  <si>
    <t>3.22</t>
  </si>
  <si>
    <t>3.16</t>
  </si>
  <si>
    <t>3.05</t>
  </si>
  <si>
    <t>0.454545455</t>
  </si>
  <si>
    <t>3.525</t>
  </si>
  <si>
    <t>3.52</t>
  </si>
  <si>
    <t>3.515</t>
  </si>
  <si>
    <t>3.49</t>
  </si>
  <si>
    <t>3.47</t>
  </si>
  <si>
    <t>3.43</t>
  </si>
  <si>
    <t>3.3</t>
  </si>
  <si>
    <t>0.545454545</t>
  </si>
  <si>
    <t>3.66</t>
  </si>
  <si>
    <t>3.65</t>
  </si>
  <si>
    <t>3.63</t>
  </si>
  <si>
    <t>3.6</t>
  </si>
  <si>
    <t>3.57</t>
  </si>
  <si>
    <t>3.5</t>
  </si>
  <si>
    <t>3.45</t>
  </si>
  <si>
    <t>3.37</t>
  </si>
  <si>
    <t>3.31</t>
  </si>
  <si>
    <t>0.636363636</t>
  </si>
  <si>
    <t>3.765</t>
  </si>
  <si>
    <t>3.755</t>
  </si>
  <si>
    <t>3.74</t>
  </si>
  <si>
    <t>3.715</t>
  </si>
  <si>
    <t>3.659</t>
  </si>
  <si>
    <t>3.645</t>
  </si>
  <si>
    <t>3.54</t>
  </si>
  <si>
    <t>3.46</t>
  </si>
  <si>
    <t>0.727272727</t>
  </si>
  <si>
    <t>3.86</t>
  </si>
  <si>
    <t>3.85</t>
  </si>
  <si>
    <t>3.83</t>
  </si>
  <si>
    <t>3.805</t>
  </si>
  <si>
    <t>3.78</t>
  </si>
  <si>
    <t>3.695</t>
  </si>
  <si>
    <t>3.64</t>
  </si>
  <si>
    <t>3.55</t>
  </si>
  <si>
    <t>0.818181818</t>
  </si>
  <si>
    <t>4</t>
  </si>
  <si>
    <t>3.985</t>
  </si>
  <si>
    <t>3.97</t>
  </si>
  <si>
    <t>3.935</t>
  </si>
  <si>
    <t>3.9</t>
  </si>
  <si>
    <t>3.8</t>
  </si>
  <si>
    <t>3.73</t>
  </si>
  <si>
    <t>3.535</t>
  </si>
  <si>
    <t>3.33</t>
  </si>
  <si>
    <t>0.909090909</t>
  </si>
  <si>
    <t>4.072</t>
  </si>
  <si>
    <t>4.068</t>
  </si>
  <si>
    <t>4.05</t>
  </si>
  <si>
    <t>4.02</t>
  </si>
  <si>
    <t>3.98</t>
  </si>
  <si>
    <t>3.93</t>
  </si>
  <si>
    <t>3.875</t>
  </si>
  <si>
    <t>3.815</t>
  </si>
  <si>
    <t>3.71</t>
  </si>
  <si>
    <t>4.18</t>
  </si>
  <si>
    <t>4.17</t>
  </si>
  <si>
    <t>4.15</t>
  </si>
  <si>
    <t>4.13</t>
  </si>
  <si>
    <t>4.11</t>
  </si>
  <si>
    <t>4.08</t>
  </si>
  <si>
    <t>3.88</t>
  </si>
  <si>
    <t>3.77</t>
  </si>
  <si>
    <t>3.59</t>
  </si>
  <si>
    <t>0.3</t>
  </si>
  <si>
    <t>0.1</t>
  </si>
  <si>
    <t>0.427272727</t>
  </si>
  <si>
    <t>0.263636364</t>
  </si>
  <si>
    <t>0.490909091</t>
  </si>
  <si>
    <t>0.345454545</t>
  </si>
  <si>
    <t>0.554545455</t>
  </si>
  <si>
    <t>0.618181818</t>
  </si>
  <si>
    <t>0.509090909</t>
  </si>
  <si>
    <t>0.681818182</t>
  </si>
  <si>
    <t>0.590909091</t>
  </si>
  <si>
    <t>0.745454545</t>
  </si>
  <si>
    <t>0.672727273</t>
  </si>
  <si>
    <t>0.809090909</t>
  </si>
  <si>
    <t>0.754545455</t>
  </si>
  <si>
    <t>0.872727273</t>
  </si>
  <si>
    <t>0.836363636</t>
  </si>
  <si>
    <t>0.936363636</t>
  </si>
  <si>
    <t>0.918181818</t>
  </si>
  <si>
    <t>SOC [%]</t>
  </si>
  <si>
    <t>Dischargecurrent [A]</t>
  </si>
  <si>
    <t>Teamdaten</t>
  </si>
  <si>
    <t>Zellchemie</t>
  </si>
  <si>
    <t>Teamname</t>
  </si>
  <si>
    <t>Jahr</t>
  </si>
  <si>
    <t>FSG Platzierung</t>
  </si>
  <si>
    <t>Endurance geschafft</t>
  </si>
  <si>
    <t>LiCoO2</t>
  </si>
  <si>
    <t>RWTH Aachen</t>
  </si>
  <si>
    <t>LiNiCoMnO2</t>
  </si>
  <si>
    <t>TU Berlin</t>
  </si>
  <si>
    <t>TU Braunschweig</t>
  </si>
  <si>
    <t>LiNiCoAlO2</t>
  </si>
  <si>
    <t>Technische Universität Chemnitz</t>
  </si>
  <si>
    <t>LiPo</t>
  </si>
  <si>
    <t>OTH</t>
  </si>
  <si>
    <t>BAYREUTH</t>
  </si>
  <si>
    <t>DARMSTADT</t>
  </si>
  <si>
    <t>Lithium-ion Polymer</t>
  </si>
  <si>
    <t>DRESDEN</t>
  </si>
  <si>
    <t>EINDHOVEN</t>
  </si>
  <si>
    <t>LiCoO2, pouch cells</t>
  </si>
  <si>
    <t>TU Bergakademie Freiberg</t>
  </si>
  <si>
    <t>LiPo - Cobalt Oxide</t>
  </si>
  <si>
    <t>GÖTTINGEN</t>
  </si>
  <si>
    <t>Lithium Polymer</t>
  </si>
  <si>
    <t>HELSINKI</t>
  </si>
  <si>
    <t>JINZHOU</t>
  </si>
  <si>
    <t>KARLSRUHE</t>
  </si>
  <si>
    <t>Li(NiCoMn)O2</t>
  </si>
  <si>
    <t>KASSEL</t>
  </si>
  <si>
    <t>Kiel</t>
  </si>
  <si>
    <t>Energus Packs</t>
  </si>
  <si>
    <t>1x5</t>
  </si>
  <si>
    <t>1x6</t>
  </si>
  <si>
    <t>2x4</t>
  </si>
  <si>
    <t>1x5 RT</t>
  </si>
  <si>
    <t>ANR26650m1B</t>
  </si>
  <si>
    <t>F706094</t>
  </si>
  <si>
    <t>F1187021</t>
  </si>
  <si>
    <t>GB-LFP1865-11</t>
  </si>
  <si>
    <t>AMP20M1HD-A  </t>
  </si>
  <si>
    <t>Sony VTC6</t>
  </si>
  <si>
    <t>Keeppower IMR26650</t>
  </si>
  <si>
    <t>Samsung INR21700-40T</t>
  </si>
  <si>
    <t>Sony US26650FTC1</t>
  </si>
  <si>
    <t>LG INR18650HG2</t>
  </si>
  <si>
    <t>Samsung 25R</t>
  </si>
  <si>
    <t>Sony VTC5A</t>
  </si>
  <si>
    <t>Apexium INR18650</t>
  </si>
  <si>
    <t>Vapcell INR18650</t>
  </si>
  <si>
    <t>Enercig 18650 3000mAh (Green) 2016</t>
  </si>
  <si>
    <t>Molicel INR18650-P26A</t>
  </si>
  <si>
    <t>Samsung INR21700-30T</t>
  </si>
  <si>
    <t>Testdaten von dampfakkus.de/ und lygte-info.dk/</t>
  </si>
  <si>
    <t>Preis</t>
  </si>
  <si>
    <t>Cell Type</t>
  </si>
  <si>
    <t>1x4</t>
  </si>
  <si>
    <t>I Peak</t>
  </si>
  <si>
    <t>I avg</t>
  </si>
  <si>
    <t>Wh (Ah * Nennspannung)</t>
  </si>
  <si>
    <t>m [g]</t>
  </si>
  <si>
    <t>m_B [kg]</t>
  </si>
  <si>
    <t>n</t>
  </si>
  <si>
    <t>n_max</t>
  </si>
  <si>
    <t>Top team</t>
  </si>
  <si>
    <t>Discharge Rate</t>
  </si>
  <si>
    <t>Dischacharged Capacity</t>
  </si>
  <si>
    <t>Discharge time</t>
  </si>
  <si>
    <t>Discharge Effizienz</t>
  </si>
  <si>
    <t>Input Values</t>
  </si>
  <si>
    <t>Alter Datensatz</t>
  </si>
  <si>
    <t>SOC bezogen auf 3Ah -&gt; 100%</t>
  </si>
  <si>
    <t>Teams mit beachtend mehr Budget</t>
  </si>
  <si>
    <t>Errechnete Parameter</t>
  </si>
  <si>
    <t>Gesamtdurchschnitte</t>
  </si>
  <si>
    <t>[Kg]</t>
  </si>
  <si>
    <t>Kapazität</t>
  </si>
  <si>
    <t>[kWh]</t>
  </si>
  <si>
    <t>TS-Volt</t>
  </si>
  <si>
    <t>[V]</t>
  </si>
  <si>
    <t xml:space="preserve">Leistung </t>
  </si>
  <si>
    <t>[Kw]</t>
  </si>
  <si>
    <t>P2W</t>
  </si>
  <si>
    <t>[kW/Kg]</t>
  </si>
  <si>
    <t xml:space="preserve">Cap2W </t>
  </si>
  <si>
    <t>[kWh/Kg]</t>
  </si>
  <si>
    <t xml:space="preserve">Cap2P </t>
  </si>
  <si>
    <t>(kWh/kW)</t>
  </si>
  <si>
    <t>Limit 80kW</t>
  </si>
  <si>
    <t>Baltic Racing (Ziel)</t>
  </si>
  <si>
    <t xml:space="preserve">Weight </t>
  </si>
  <si>
    <t>Front</t>
  </si>
  <si>
    <t>Rear</t>
  </si>
  <si>
    <t>Total</t>
  </si>
  <si>
    <t>Distri</t>
  </si>
  <si>
    <t>wo D</t>
  </si>
  <si>
    <t>U max</t>
  </si>
  <si>
    <t>U_nenn</t>
  </si>
  <si>
    <t>Anzahl Paralleler Zellen</t>
  </si>
  <si>
    <t>Gerundet</t>
  </si>
  <si>
    <t>m [Kg]</t>
  </si>
  <si>
    <t>Wh</t>
  </si>
  <si>
    <t>Input Daten</t>
  </si>
  <si>
    <t>Akku Parameter</t>
  </si>
  <si>
    <t>Config bestimmung</t>
  </si>
  <si>
    <t>Anzahl Serieller Zellen</t>
  </si>
  <si>
    <t>Energie [MJ]</t>
  </si>
  <si>
    <t>Größter Teiler</t>
  </si>
  <si>
    <t>max V</t>
  </si>
  <si>
    <t>n abgerundet</t>
  </si>
  <si>
    <t>Differenz</t>
  </si>
  <si>
    <t>mindest anzahl Stacks Serie</t>
  </si>
  <si>
    <t>Zellen per BMS</t>
  </si>
  <si>
    <t>Anzahl Serieller Zellen pro Stack</t>
  </si>
  <si>
    <t xml:space="preserve">Anzahl Serieller Stacks </t>
  </si>
  <si>
    <t>Gesamt Parameter</t>
  </si>
  <si>
    <t>Config</t>
  </si>
  <si>
    <t>n_zellen</t>
  </si>
  <si>
    <t>Fertige Akku</t>
  </si>
  <si>
    <t>avg V</t>
  </si>
  <si>
    <t>I Peak [A]</t>
  </si>
  <si>
    <t>Avg P [kW]</t>
  </si>
  <si>
    <t>max P [kW]</t>
  </si>
  <si>
    <t>Eingabe Werte</t>
  </si>
  <si>
    <t>Preis [€]</t>
  </si>
  <si>
    <t>Kapazität über entladestrom</t>
  </si>
  <si>
    <t>Temperatur über entladestrom</t>
  </si>
  <si>
    <t>Stack-aufteilung</t>
  </si>
  <si>
    <t>Max Stack Parameter (Rules)</t>
  </si>
  <si>
    <t>Wieviele Zellen können an einen BMS Chip angeschlossen werden. Manchmal gegehen auch 14 oder gar 16. Dementsprechend hier die 3 lieblingsconfigs angeben</t>
  </si>
  <si>
    <t>min Avg P</t>
  </si>
  <si>
    <t>min Wh</t>
  </si>
  <si>
    <t>min max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</si>
</sst>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 #,##0.00\ &quot;€&quot;_-;\-* #,##0.00\ &quot;€&quot;_-;_-* &quot;-&quot;??\ &quot;€&quot;_-;_-@_-"/>
    <numFmt numFmtId="164" formatCode="0.000"/>
    <numFmt numFmtId="165" formatCode="_-* #,##0_-;\-* #,##0_-;_-* &quot;-&quot;??_-;_-@_-"/>
    <numFmt numFmtId="166" formatCode="0.00\ \A"/>
    <numFmt numFmtId="167" formatCode="0.00\ &quot;Ah&quot;"/>
    <numFmt numFmtId="168" formatCode="0.00\ &quot;As&quot;"/>
    <numFmt numFmtId="169" formatCode="0\ &quot;s&quot;"/>
    <numFmt numFmtId="170" formatCode="0.0"/>
    <numFmt numFmtId="171" formatCode="0\ &quot;V&quot;"/>
    <numFmt numFmtId="172" formatCode="0\ &quot;Kg&quot;"/>
    <numFmt numFmtId="173" formatCode="0\ &quot;MJ&quot;"/>
    <numFmt numFmtId="174" formatCode="0.0&quot;A&quot;"/>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22"/>
      <color theme="1"/>
      <name val="Calibri"/>
      <family val="2"/>
      <scheme val="minor"/>
    </font>
    <font>
      <b/>
      <sz val="11"/>
      <color theme="1"/>
      <name val="Calibri"/>
      <family val="2"/>
      <scheme val="minor"/>
    </font>
    <font>
      <sz val="11"/>
      <color theme="0"/>
      <name val="Calibri"/>
      <family val="2"/>
      <scheme val="minor"/>
    </font>
    <font>
      <b/>
      <sz val="11"/>
      <color theme="8"/>
      <name val="Calibri"/>
      <family val="2"/>
      <scheme val="minor"/>
    </font>
    <font>
      <sz val="11"/>
      <color theme="8"/>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26"/>
      <color theme="1"/>
      <name val="Calibri"/>
      <family val="2"/>
      <scheme val="minor"/>
    </font>
  </fonts>
  <fills count="4">
    <fill>
      <patternFill patternType="none"/>
    </fill>
    <fill>
      <patternFill patternType="gray125"/>
    </fill>
    <fill>
      <patternFill patternType="solid">
        <fgColor rgb="FFC6EFCE"/>
      </patternFill>
    </fill>
    <fill>
      <patternFill patternType="solid">
        <fgColor theme="4"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cellStyleXfs>
  <cellXfs count="149">
    <xf numFmtId="0" fontId="0" fillId="0" borderId="0" xfId="0"/>
    <xf numFmtId="49" fontId="0" fillId="0" borderId="0" xfId="0" applyNumberFormat="1"/>
    <xf numFmtId="2" fontId="0" fillId="0" borderId="0" xfId="0" applyNumberFormat="1"/>
    <xf numFmtId="0" fontId="0" fillId="0" borderId="0" xfId="0" applyAlignment="1">
      <alignment horizontal="center"/>
    </xf>
    <xf numFmtId="164" fontId="0" fillId="0" borderId="0" xfId="0" applyNumberFormat="1"/>
    <xf numFmtId="0" fontId="0" fillId="0" borderId="6" xfId="0" applyBorder="1"/>
    <xf numFmtId="0" fontId="0" fillId="0" borderId="7" xfId="0" applyBorder="1"/>
    <xf numFmtId="164" fontId="0" fillId="0" borderId="8" xfId="0" applyNumberFormat="1" applyBorder="1"/>
    <xf numFmtId="164" fontId="0" fillId="0" borderId="9" xfId="0" applyNumberFormat="1" applyBorder="1"/>
    <xf numFmtId="0" fontId="0" fillId="0" borderId="10" xfId="0" applyBorder="1"/>
    <xf numFmtId="0" fontId="0" fillId="0" borderId="11" xfId="0" applyBorder="1"/>
    <xf numFmtId="0" fontId="0" fillId="0" borderId="12" xfId="0" applyBorder="1"/>
    <xf numFmtId="0" fontId="0" fillId="0" borderId="9" xfId="0" applyBorder="1"/>
    <xf numFmtId="165" fontId="0" fillId="0" borderId="0" xfId="0" applyNumberFormat="1"/>
    <xf numFmtId="0" fontId="0" fillId="0" borderId="0" xfId="1" applyNumberFormat="1" applyFont="1"/>
    <xf numFmtId="0" fontId="3" fillId="0" borderId="0" xfId="0" applyFont="1"/>
    <xf numFmtId="0" fontId="7" fillId="0" borderId="0" xfId="0" applyFont="1"/>
    <xf numFmtId="9" fontId="0" fillId="0" borderId="13" xfId="2" applyFont="1" applyBorder="1"/>
    <xf numFmtId="9" fontId="0" fillId="0" borderId="15" xfId="2" applyFont="1" applyBorder="1"/>
    <xf numFmtId="0" fontId="9" fillId="0" borderId="16" xfId="0" applyFont="1" applyBorder="1"/>
    <xf numFmtId="0" fontId="9" fillId="0" borderId="17" xfId="0" applyFont="1" applyBorder="1"/>
    <xf numFmtId="0" fontId="9" fillId="0" borderId="18" xfId="0" applyFont="1" applyBorder="1"/>
    <xf numFmtId="0" fontId="0" fillId="0" borderId="2" xfId="0" applyBorder="1"/>
    <xf numFmtId="9" fontId="0" fillId="0" borderId="3" xfId="2" applyFont="1" applyBorder="1"/>
    <xf numFmtId="166" fontId="6" fillId="0" borderId="22" xfId="0" applyNumberFormat="1" applyFont="1" applyBorder="1"/>
    <xf numFmtId="166" fontId="7" fillId="0" borderId="23" xfId="0" applyNumberFormat="1" applyFont="1" applyBorder="1"/>
    <xf numFmtId="166" fontId="7" fillId="0" borderId="24" xfId="0" applyNumberFormat="1" applyFont="1" applyBorder="1"/>
    <xf numFmtId="167" fontId="6" fillId="0" borderId="19" xfId="0" applyNumberFormat="1" applyFont="1" applyBorder="1"/>
    <xf numFmtId="167" fontId="7" fillId="0" borderId="20" xfId="0" applyNumberFormat="1" applyFont="1" applyBorder="1"/>
    <xf numFmtId="167" fontId="7" fillId="0" borderId="21" xfId="0" applyNumberFormat="1" applyFont="1" applyBorder="1"/>
    <xf numFmtId="168" fontId="4" fillId="0" borderId="19" xfId="0" applyNumberFormat="1" applyFont="1" applyBorder="1"/>
    <xf numFmtId="168" fontId="0" fillId="0" borderId="20" xfId="0" applyNumberFormat="1" applyBorder="1"/>
    <xf numFmtId="168" fontId="0" fillId="0" borderId="21" xfId="0" applyNumberFormat="1" applyBorder="1"/>
    <xf numFmtId="0" fontId="0" fillId="0" borderId="19" xfId="0" applyBorder="1"/>
    <xf numFmtId="169" fontId="8" fillId="0" borderId="20" xfId="0" applyNumberFormat="1" applyFont="1" applyBorder="1"/>
    <xf numFmtId="169" fontId="8" fillId="0" borderId="21" xfId="0" applyNumberFormat="1" applyFont="1" applyBorder="1"/>
    <xf numFmtId="166" fontId="0" fillId="0" borderId="20" xfId="0" applyNumberFormat="1" applyBorder="1"/>
    <xf numFmtId="166" fontId="0" fillId="0" borderId="21" xfId="0" applyNumberFormat="1" applyBorder="1"/>
    <xf numFmtId="0" fontId="0" fillId="0" borderId="1" xfId="0" applyBorder="1"/>
    <xf numFmtId="0" fontId="0" fillId="0" borderId="5" xfId="0" applyBorder="1"/>
    <xf numFmtId="0" fontId="0" fillId="0" borderId="13" xfId="0" applyBorder="1"/>
    <xf numFmtId="0" fontId="0" fillId="0" borderId="14" xfId="0" applyBorder="1"/>
    <xf numFmtId="0" fontId="0" fillId="0" borderId="15" xfId="0" applyBorder="1"/>
    <xf numFmtId="0" fontId="0" fillId="0" borderId="3" xfId="0" applyBorder="1"/>
    <xf numFmtId="0" fontId="0" fillId="0" borderId="4" xfId="0" applyBorder="1"/>
    <xf numFmtId="0" fontId="5" fillId="0" borderId="0" xfId="0" applyFont="1"/>
    <xf numFmtId="0" fontId="0" fillId="0" borderId="0" xfId="0" applyAlignment="1">
      <alignment horizontal="center" wrapText="1"/>
    </xf>
    <xf numFmtId="2" fontId="0" fillId="0" borderId="14" xfId="0" applyNumberFormat="1" applyBorder="1"/>
    <xf numFmtId="164" fontId="0" fillId="0" borderId="14" xfId="0" applyNumberFormat="1" applyBorder="1"/>
    <xf numFmtId="0" fontId="0" fillId="0" borderId="25" xfId="0" applyBorder="1"/>
    <xf numFmtId="0" fontId="0" fillId="0" borderId="26" xfId="0" applyBorder="1"/>
    <xf numFmtId="2" fontId="0" fillId="0" borderId="26" xfId="0" applyNumberFormat="1" applyBorder="1"/>
    <xf numFmtId="164" fontId="0" fillId="0" borderId="26" xfId="0" applyNumberFormat="1" applyBorder="1"/>
    <xf numFmtId="0" fontId="0" fillId="0" borderId="27" xfId="0" applyBorder="1"/>
    <xf numFmtId="0" fontId="0" fillId="0" borderId="14" xfId="0" applyBorder="1" applyAlignment="1">
      <alignment horizontal="center" wrapText="1"/>
    </xf>
    <xf numFmtId="2" fontId="0" fillId="0" borderId="5" xfId="0" applyNumberFormat="1" applyBorder="1"/>
    <xf numFmtId="2" fontId="0" fillId="0" borderId="25" xfId="0" applyNumberFormat="1" applyBorder="1"/>
    <xf numFmtId="164" fontId="0" fillId="0" borderId="13" xfId="0" applyNumberFormat="1" applyBorder="1"/>
    <xf numFmtId="2" fontId="0" fillId="0" borderId="4" xfId="0" applyNumberFormat="1" applyBorder="1"/>
    <xf numFmtId="164" fontId="0" fillId="0" borderId="15" xfId="0" applyNumberFormat="1" applyBorder="1"/>
    <xf numFmtId="2" fontId="0" fillId="0" borderId="1" xfId="0" applyNumberFormat="1" applyBorder="1"/>
    <xf numFmtId="164" fontId="0" fillId="0" borderId="2" xfId="0" applyNumberFormat="1" applyBorder="1"/>
    <xf numFmtId="164" fontId="0" fillId="0" borderId="3" xfId="0" applyNumberFormat="1" applyBorder="1"/>
    <xf numFmtId="170" fontId="0" fillId="0" borderId="0" xfId="0" applyNumberFormat="1"/>
    <xf numFmtId="1" fontId="0" fillId="0" borderId="0" xfId="0" applyNumberFormat="1"/>
    <xf numFmtId="2" fontId="0" fillId="0" borderId="2" xfId="0" applyNumberFormat="1" applyBorder="1"/>
    <xf numFmtId="2" fontId="0" fillId="0" borderId="3" xfId="0" applyNumberFormat="1" applyBorder="1"/>
    <xf numFmtId="2" fontId="0" fillId="0" borderId="15" xfId="0" applyNumberFormat="1" applyBorder="1"/>
    <xf numFmtId="0" fontId="0" fillId="0" borderId="16" xfId="0" applyBorder="1"/>
    <xf numFmtId="0" fontId="4" fillId="0" borderId="28" xfId="0" applyFont="1" applyBorder="1"/>
    <xf numFmtId="0" fontId="0" fillId="0" borderId="28" xfId="0" applyBorder="1"/>
    <xf numFmtId="0" fontId="0" fillId="0" borderId="29" xfId="0" applyBorder="1"/>
    <xf numFmtId="0" fontId="4" fillId="0" borderId="30" xfId="0" applyFont="1" applyBorder="1"/>
    <xf numFmtId="1" fontId="0" fillId="0" borderId="13" xfId="0" applyNumberFormat="1" applyBorder="1"/>
    <xf numFmtId="0" fontId="0" fillId="0" borderId="30" xfId="0" applyBorder="1"/>
    <xf numFmtId="1" fontId="0" fillId="0" borderId="2" xfId="0" applyNumberFormat="1" applyBorder="1"/>
    <xf numFmtId="1" fontId="0" fillId="0" borderId="3" xfId="0" applyNumberFormat="1" applyBorder="1"/>
    <xf numFmtId="1" fontId="0" fillId="0" borderId="14" xfId="0" applyNumberFormat="1" applyBorder="1"/>
    <xf numFmtId="1" fontId="0" fillId="0" borderId="15" xfId="0" applyNumberFormat="1" applyBorder="1"/>
    <xf numFmtId="170" fontId="0" fillId="0" borderId="2" xfId="0" applyNumberFormat="1" applyBorder="1"/>
    <xf numFmtId="170" fontId="0" fillId="0" borderId="3" xfId="0" applyNumberFormat="1" applyBorder="1"/>
    <xf numFmtId="170" fontId="0" fillId="0" borderId="13" xfId="0" applyNumberFormat="1" applyBorder="1"/>
    <xf numFmtId="170" fontId="0" fillId="0" borderId="14" xfId="0" applyNumberFormat="1" applyBorder="1"/>
    <xf numFmtId="170" fontId="0" fillId="0" borderId="15" xfId="0" applyNumberFormat="1" applyBorder="1"/>
    <xf numFmtId="0" fontId="10" fillId="0" borderId="0" xfId="0" applyFont="1" applyAlignment="1">
      <alignment horizontal="center" vertical="center" wrapText="1"/>
    </xf>
    <xf numFmtId="0" fontId="4" fillId="0" borderId="14" xfId="0" applyFont="1" applyBorder="1"/>
    <xf numFmtId="0" fontId="4" fillId="0" borderId="15" xfId="0" applyFont="1" applyBorder="1"/>
    <xf numFmtId="0" fontId="4" fillId="0" borderId="0" xfId="0" applyFont="1"/>
    <xf numFmtId="0" fontId="4" fillId="0" borderId="2" xfId="0" applyFont="1" applyBorder="1"/>
    <xf numFmtId="0" fontId="4" fillId="0" borderId="3" xfId="0" applyFont="1" applyBorder="1"/>
    <xf numFmtId="1" fontId="0" fillId="0" borderId="1" xfId="0" applyNumberFormat="1" applyBorder="1"/>
    <xf numFmtId="0" fontId="4" fillId="3" borderId="3" xfId="0" applyFont="1" applyFill="1" applyBorder="1" applyAlignment="1">
      <alignment horizontal="center"/>
    </xf>
    <xf numFmtId="0" fontId="4" fillId="3" borderId="13" xfId="0" applyFont="1" applyFill="1" applyBorder="1" applyAlignment="1">
      <alignment horizontal="center"/>
    </xf>
    <xf numFmtId="0" fontId="4" fillId="3" borderId="28" xfId="0" applyFont="1" applyFill="1" applyBorder="1" applyAlignment="1">
      <alignment horizontal="center" vertical="center"/>
    </xf>
    <xf numFmtId="0" fontId="4" fillId="3" borderId="30" xfId="0" applyFont="1" applyFill="1" applyBorder="1" applyAlignment="1">
      <alignment horizontal="center" vertical="center"/>
    </xf>
    <xf numFmtId="171" fontId="4" fillId="3" borderId="28" xfId="0" applyNumberFormat="1" applyFont="1" applyFill="1" applyBorder="1" applyAlignment="1">
      <alignment horizontal="center" vertical="center"/>
    </xf>
    <xf numFmtId="172" fontId="4" fillId="3" borderId="30" xfId="0" applyNumberFormat="1" applyFont="1" applyFill="1" applyBorder="1" applyAlignment="1">
      <alignment horizontal="center" vertical="center"/>
    </xf>
    <xf numFmtId="173" fontId="4" fillId="3" borderId="30" xfId="0" applyNumberFormat="1" applyFont="1" applyFill="1" applyBorder="1" applyAlignment="1">
      <alignment horizontal="center" vertical="center"/>
    </xf>
    <xf numFmtId="0" fontId="4" fillId="3" borderId="5" xfId="0" applyFont="1" applyFill="1" applyBorder="1"/>
    <xf numFmtId="0" fontId="4" fillId="3" borderId="0" xfId="0" applyFont="1" applyFill="1"/>
    <xf numFmtId="0" fontId="4" fillId="3" borderId="13" xfId="0" applyFont="1" applyFill="1" applyBorder="1"/>
    <xf numFmtId="0" fontId="4" fillId="3" borderId="4" xfId="0" applyFont="1" applyFill="1" applyBorder="1"/>
    <xf numFmtId="0" fontId="4" fillId="3" borderId="14" xfId="0" applyFont="1" applyFill="1" applyBorder="1"/>
    <xf numFmtId="0" fontId="4" fillId="3" borderId="15" xfId="0" applyFont="1" applyFill="1" applyBorder="1"/>
    <xf numFmtId="44" fontId="4" fillId="3" borderId="0" xfId="1" applyFont="1" applyFill="1" applyBorder="1"/>
    <xf numFmtId="44" fontId="0" fillId="0" borderId="0" xfId="0" applyNumberFormat="1"/>
    <xf numFmtId="0" fontId="0" fillId="0" borderId="0" xfId="0" applyAlignment="1">
      <alignment wrapText="1"/>
    </xf>
    <xf numFmtId="0" fontId="8" fillId="0" borderId="0" xfId="3" applyFont="1" applyFill="1"/>
    <xf numFmtId="0" fontId="8" fillId="0" borderId="13" xfId="3" applyFont="1" applyFill="1" applyBorder="1"/>
    <xf numFmtId="0" fontId="8" fillId="0" borderId="15" xfId="3" applyFont="1" applyFill="1" applyBorder="1"/>
    <xf numFmtId="174" fontId="4" fillId="0" borderId="16" xfId="0" applyNumberFormat="1" applyFont="1" applyBorder="1"/>
    <xf numFmtId="174" fontId="4" fillId="0" borderId="17" xfId="0" applyNumberFormat="1" applyFont="1" applyBorder="1"/>
    <xf numFmtId="174" fontId="4" fillId="0" borderId="18" xfId="0" applyNumberFormat="1" applyFont="1" applyBorder="1"/>
    <xf numFmtId="9" fontId="0" fillId="0" borderId="28" xfId="0" applyNumberFormat="1" applyBorder="1"/>
    <xf numFmtId="9" fontId="0" fillId="0" borderId="30" xfId="0" applyNumberFormat="1" applyBorder="1"/>
    <xf numFmtId="9" fontId="0" fillId="0" borderId="29" xfId="0" applyNumberFormat="1" applyBorder="1"/>
    <xf numFmtId="167" fontId="0" fillId="0" borderId="28" xfId="0" applyNumberFormat="1" applyBorder="1" applyAlignment="1">
      <alignment horizontal="center" vertical="center" wrapText="1"/>
    </xf>
    <xf numFmtId="167" fontId="0" fillId="0" borderId="30" xfId="0" applyNumberFormat="1" applyBorder="1" applyAlignment="1">
      <alignment horizontal="center" vertical="center" wrapText="1"/>
    </xf>
    <xf numFmtId="167" fontId="0" fillId="0" borderId="29" xfId="0" applyNumberFormat="1" applyBorder="1" applyAlignment="1">
      <alignment horizontal="center" vertical="center" wrapText="1"/>
    </xf>
    <xf numFmtId="0" fontId="0" fillId="0" borderId="17" xfId="0" applyBorder="1"/>
    <xf numFmtId="0" fontId="0" fillId="0" borderId="18" xfId="0" applyBorder="1"/>
    <xf numFmtId="0" fontId="8" fillId="0" borderId="0" xfId="3" applyFont="1" applyFill="1" applyBorder="1"/>
    <xf numFmtId="174" fontId="4" fillId="0" borderId="0" xfId="0" applyNumberFormat="1" applyFont="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 xfId="0" applyBorder="1" applyAlignment="1">
      <alignment horizontal="center" wrapText="1"/>
    </xf>
    <xf numFmtId="0" fontId="0" fillId="0" borderId="0" xfId="0" applyAlignment="1">
      <alignment horizontal="center" wrapText="1"/>
    </xf>
    <xf numFmtId="0" fontId="0" fillId="0" borderId="14" xfId="0" applyBorder="1" applyAlignment="1">
      <alignment horizontal="center" wrapText="1"/>
    </xf>
    <xf numFmtId="0" fontId="0" fillId="0" borderId="2" xfId="0" applyBorder="1" applyAlignment="1">
      <alignment horizontal="center"/>
    </xf>
    <xf numFmtId="0" fontId="10"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0" fillId="0" borderId="3" xfId="0" applyBorder="1" applyAlignment="1">
      <alignment horizontal="center"/>
    </xf>
    <xf numFmtId="0" fontId="10" fillId="0" borderId="0" xfId="0" applyFont="1" applyAlignment="1">
      <alignment horizontal="center"/>
    </xf>
    <xf numFmtId="0" fontId="10" fillId="0" borderId="28"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9" xfId="0" applyFont="1" applyBorder="1" applyAlignment="1">
      <alignment horizontal="center" vertical="center" wrapText="1"/>
    </xf>
    <xf numFmtId="0" fontId="0" fillId="0" borderId="16" xfId="0" applyBorder="1" applyAlignment="1">
      <alignment horizontal="left"/>
    </xf>
    <xf numFmtId="0" fontId="0" fillId="0" borderId="17" xfId="0" applyBorder="1" applyAlignment="1">
      <alignment horizontal="left"/>
    </xf>
    <xf numFmtId="0" fontId="0" fillId="0" borderId="0" xfId="0" applyAlignment="1">
      <alignment horizontal="center"/>
    </xf>
    <xf numFmtId="0" fontId="4" fillId="0" borderId="14" xfId="0" applyFont="1" applyBorder="1" applyAlignment="1">
      <alignment horizontal="center"/>
    </xf>
    <xf numFmtId="0" fontId="0" fillId="0" borderId="5"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center"/>
    </xf>
    <xf numFmtId="0" fontId="11" fillId="0" borderId="0" xfId="0" applyFont="1" applyAlignment="1">
      <alignment horizontal="center"/>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29" xfId="0" applyBorder="1" applyAlignment="1">
      <alignment horizontal="center" vertical="center" wrapText="1"/>
    </xf>
  </cellXfs>
  <cellStyles count="4">
    <cellStyle name="Gut" xfId="3" builtinId="26"/>
    <cellStyle name="Prozent" xfId="2" builtinId="5"/>
    <cellStyle name="Standard" xfId="0" builtinId="0"/>
    <cellStyle name="Währung" xfId="1" builtinId="4"/>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Temperatur über Entladestrom</a:t>
            </a:r>
            <a:r>
              <a:rPr lang="de-DE" sz="1400" b="0" i="0" u="none" strike="noStrike" baseline="0"/>
              <a:t>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'Zellvergleich Detailiert'!$B$17</c:f>
              <c:strCache>
                <c:ptCount val="1"/>
                <c:pt idx="0">
                  <c:v>LG INR18650HG2</c:v>
                </c:pt>
              </c:strCache>
            </c:strRef>
          </c:tx>
          <c:spPr>
            <a:ln w="28575" cap="rnd">
              <a:solidFill>
                <a:schemeClr val="accent1"/>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Detailiert'!$C$17:$E$17</c:f>
              <c:numCache>
                <c:formatCode>General</c:formatCode>
                <c:ptCount val="3"/>
                <c:pt idx="0">
                  <c:v>44</c:v>
                </c:pt>
                <c:pt idx="1">
                  <c:v>81</c:v>
                </c:pt>
                <c:pt idx="2">
                  <c:v>90</c:v>
                </c:pt>
              </c:numCache>
            </c:numRef>
          </c:val>
          <c:smooth val="0"/>
          <c:extLst>
            <c:ext xmlns:c16="http://schemas.microsoft.com/office/drawing/2014/chart" uri="{C3380CC4-5D6E-409C-BE32-E72D297353CC}">
              <c16:uniqueId val="{00000000-BC86-4A9D-871B-CDE60266CC86}"/>
            </c:ext>
          </c:extLst>
        </c:ser>
        <c:ser>
          <c:idx val="1"/>
          <c:order val="1"/>
          <c:tx>
            <c:strRef>
              <c:f>'Zellvergleich Detailiert'!$B$18</c:f>
              <c:strCache>
                <c:ptCount val="1"/>
                <c:pt idx="0">
                  <c:v>Samsung 25R</c:v>
                </c:pt>
              </c:strCache>
            </c:strRef>
          </c:tx>
          <c:spPr>
            <a:ln w="28575" cap="rnd">
              <a:solidFill>
                <a:schemeClr val="accent2"/>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Detailiert'!$C$18:$E$18</c:f>
              <c:numCache>
                <c:formatCode>General</c:formatCode>
                <c:ptCount val="3"/>
                <c:pt idx="0">
                  <c:v>47</c:v>
                </c:pt>
                <c:pt idx="1">
                  <c:v>90</c:v>
                </c:pt>
                <c:pt idx="2">
                  <c:v>95</c:v>
                </c:pt>
              </c:numCache>
            </c:numRef>
          </c:val>
          <c:smooth val="0"/>
          <c:extLst>
            <c:ext xmlns:c16="http://schemas.microsoft.com/office/drawing/2014/chart" uri="{C3380CC4-5D6E-409C-BE32-E72D297353CC}">
              <c16:uniqueId val="{00000001-BC86-4A9D-871B-CDE60266CC86}"/>
            </c:ext>
          </c:extLst>
        </c:ser>
        <c:ser>
          <c:idx val="2"/>
          <c:order val="2"/>
          <c:tx>
            <c:strRef>
              <c:f>'Zellvergleich Detailiert'!$B$19</c:f>
              <c:strCache>
                <c:ptCount val="1"/>
                <c:pt idx="0">
                  <c:v>Sony VTC5A</c:v>
                </c:pt>
              </c:strCache>
            </c:strRef>
          </c:tx>
          <c:spPr>
            <a:ln w="28575" cap="rnd">
              <a:solidFill>
                <a:schemeClr val="accent3"/>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Detailiert'!$C$19:$E$19</c:f>
              <c:numCache>
                <c:formatCode>General</c:formatCode>
                <c:ptCount val="3"/>
                <c:pt idx="0">
                  <c:v>34</c:v>
                </c:pt>
                <c:pt idx="1">
                  <c:v>42</c:v>
                </c:pt>
                <c:pt idx="2">
                  <c:v>48</c:v>
                </c:pt>
              </c:numCache>
            </c:numRef>
          </c:val>
          <c:smooth val="0"/>
          <c:extLst>
            <c:ext xmlns:c16="http://schemas.microsoft.com/office/drawing/2014/chart" uri="{C3380CC4-5D6E-409C-BE32-E72D297353CC}">
              <c16:uniqueId val="{00000002-BC86-4A9D-871B-CDE60266CC86}"/>
            </c:ext>
          </c:extLst>
        </c:ser>
        <c:ser>
          <c:idx val="3"/>
          <c:order val="3"/>
          <c:tx>
            <c:strRef>
              <c:f>'Zellvergleich Detailiert'!$B$20</c:f>
              <c:strCache>
                <c:ptCount val="1"/>
                <c:pt idx="0">
                  <c:v>Sony VTC6</c:v>
                </c:pt>
              </c:strCache>
            </c:strRef>
          </c:tx>
          <c:spPr>
            <a:ln w="28575" cap="rnd">
              <a:solidFill>
                <a:schemeClr val="accent4"/>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Detailiert'!$C$20:$E$20</c:f>
              <c:numCache>
                <c:formatCode>General</c:formatCode>
                <c:ptCount val="3"/>
                <c:pt idx="0">
                  <c:v>49</c:v>
                </c:pt>
                <c:pt idx="1">
                  <c:v>75</c:v>
                </c:pt>
                <c:pt idx="2">
                  <c:v>91</c:v>
                </c:pt>
              </c:numCache>
            </c:numRef>
          </c:val>
          <c:smooth val="0"/>
          <c:extLst>
            <c:ext xmlns:c16="http://schemas.microsoft.com/office/drawing/2014/chart" uri="{C3380CC4-5D6E-409C-BE32-E72D297353CC}">
              <c16:uniqueId val="{00000003-BC86-4A9D-871B-CDE60266CC86}"/>
            </c:ext>
          </c:extLst>
        </c:ser>
        <c:ser>
          <c:idx val="4"/>
          <c:order val="4"/>
          <c:tx>
            <c:strRef>
              <c:f>'Zellvergleich Detailiert'!$B$21</c:f>
              <c:strCache>
                <c:ptCount val="1"/>
                <c:pt idx="0">
                  <c:v>Apexium INR18650</c:v>
                </c:pt>
              </c:strCache>
            </c:strRef>
          </c:tx>
          <c:spPr>
            <a:ln w="28575" cap="rnd">
              <a:solidFill>
                <a:schemeClr val="accent5"/>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Detailiert'!$C$21:$E$21</c:f>
              <c:numCache>
                <c:formatCode>General</c:formatCode>
                <c:ptCount val="3"/>
                <c:pt idx="0">
                  <c:v>30</c:v>
                </c:pt>
                <c:pt idx="1">
                  <c:v>38</c:v>
                </c:pt>
                <c:pt idx="2">
                  <c:v>50</c:v>
                </c:pt>
              </c:numCache>
            </c:numRef>
          </c:val>
          <c:smooth val="0"/>
          <c:extLst>
            <c:ext xmlns:c16="http://schemas.microsoft.com/office/drawing/2014/chart" uri="{C3380CC4-5D6E-409C-BE32-E72D297353CC}">
              <c16:uniqueId val="{00000004-BC86-4A9D-871B-CDE60266CC86}"/>
            </c:ext>
          </c:extLst>
        </c:ser>
        <c:ser>
          <c:idx val="5"/>
          <c:order val="5"/>
          <c:tx>
            <c:strRef>
              <c:f>'Zellvergleich Detailiert'!$B$22</c:f>
              <c:strCache>
                <c:ptCount val="1"/>
                <c:pt idx="0">
                  <c:v>Vapcell INR18650</c:v>
                </c:pt>
              </c:strCache>
            </c:strRef>
          </c:tx>
          <c:spPr>
            <a:ln w="28575" cap="rnd">
              <a:solidFill>
                <a:schemeClr val="accent6"/>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Detailiert'!$C$22:$E$22</c:f>
              <c:numCache>
                <c:formatCode>General</c:formatCode>
                <c:ptCount val="3"/>
                <c:pt idx="0">
                  <c:v>28</c:v>
                </c:pt>
                <c:pt idx="1">
                  <c:v>33</c:v>
                </c:pt>
                <c:pt idx="2">
                  <c:v>43</c:v>
                </c:pt>
              </c:numCache>
            </c:numRef>
          </c:val>
          <c:smooth val="0"/>
          <c:extLst>
            <c:ext xmlns:c16="http://schemas.microsoft.com/office/drawing/2014/chart" uri="{C3380CC4-5D6E-409C-BE32-E72D297353CC}">
              <c16:uniqueId val="{00000005-BC86-4A9D-871B-CDE60266CC86}"/>
            </c:ext>
          </c:extLst>
        </c:ser>
        <c:ser>
          <c:idx val="6"/>
          <c:order val="6"/>
          <c:tx>
            <c:strRef>
              <c:f>'Zellvergleich Detailiert'!$B$23</c:f>
              <c:strCache>
                <c:ptCount val="1"/>
                <c:pt idx="0">
                  <c:v>Enercig 18650 3000mAh (Green) 2016</c:v>
                </c:pt>
              </c:strCache>
            </c:strRef>
          </c:tx>
          <c:spPr>
            <a:ln w="28575" cap="rnd">
              <a:solidFill>
                <a:schemeClr val="accent1">
                  <a:lumMod val="60000"/>
                </a:schemeClr>
              </a:solidFill>
              <a:prstDash val="dash"/>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Detailiert'!$C$23:$E$23</c:f>
              <c:numCache>
                <c:formatCode>General</c:formatCode>
                <c:ptCount val="3"/>
                <c:pt idx="0">
                  <c:v>44</c:v>
                </c:pt>
                <c:pt idx="1">
                  <c:v>55</c:v>
                </c:pt>
                <c:pt idx="2">
                  <c:v>92</c:v>
                </c:pt>
              </c:numCache>
            </c:numRef>
          </c:val>
          <c:smooth val="0"/>
          <c:extLst>
            <c:ext xmlns:c16="http://schemas.microsoft.com/office/drawing/2014/chart" uri="{C3380CC4-5D6E-409C-BE32-E72D297353CC}">
              <c16:uniqueId val="{00000006-BC86-4A9D-871B-CDE60266CC86}"/>
            </c:ext>
          </c:extLst>
        </c:ser>
        <c:ser>
          <c:idx val="7"/>
          <c:order val="7"/>
          <c:tx>
            <c:strRef>
              <c:f>'Zellvergleich Detailiert'!$B$24</c:f>
              <c:strCache>
                <c:ptCount val="1"/>
                <c:pt idx="0">
                  <c:v>Molicel INR18650-P26A</c:v>
                </c:pt>
              </c:strCache>
            </c:strRef>
          </c:tx>
          <c:spPr>
            <a:ln w="28575" cap="rnd">
              <a:solidFill>
                <a:schemeClr val="accent2">
                  <a:lumMod val="60000"/>
                </a:schemeClr>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Detailiert'!$C$24:$E$24</c:f>
              <c:numCache>
                <c:formatCode>General</c:formatCode>
                <c:ptCount val="3"/>
                <c:pt idx="0">
                  <c:v>35</c:v>
                </c:pt>
                <c:pt idx="1">
                  <c:v>42</c:v>
                </c:pt>
                <c:pt idx="2">
                  <c:v>50</c:v>
                </c:pt>
              </c:numCache>
            </c:numRef>
          </c:val>
          <c:smooth val="0"/>
          <c:extLst>
            <c:ext xmlns:c16="http://schemas.microsoft.com/office/drawing/2014/chart" uri="{C3380CC4-5D6E-409C-BE32-E72D297353CC}">
              <c16:uniqueId val="{00000007-BC86-4A9D-871B-CDE60266CC86}"/>
            </c:ext>
          </c:extLst>
        </c:ser>
        <c:ser>
          <c:idx val="8"/>
          <c:order val="8"/>
          <c:tx>
            <c:strRef>
              <c:f>'Zellvergleich Detailiert'!$B$25</c:f>
              <c:strCache>
                <c:ptCount val="1"/>
                <c:pt idx="0">
                  <c:v>Samsung INR21700-30T</c:v>
                </c:pt>
              </c:strCache>
            </c:strRef>
          </c:tx>
          <c:spPr>
            <a:ln w="28575" cap="rnd">
              <a:solidFill>
                <a:schemeClr val="accent3">
                  <a:lumMod val="60000"/>
                </a:schemeClr>
              </a:solidFill>
              <a:prstDash val="dash"/>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Detailiert'!$C$25:$E$25</c:f>
              <c:numCache>
                <c:formatCode>General</c:formatCode>
                <c:ptCount val="3"/>
                <c:pt idx="0">
                  <c:v>31</c:v>
                </c:pt>
                <c:pt idx="1">
                  <c:v>33</c:v>
                </c:pt>
                <c:pt idx="2">
                  <c:v>38</c:v>
                </c:pt>
              </c:numCache>
            </c:numRef>
          </c:val>
          <c:smooth val="0"/>
          <c:extLst>
            <c:ext xmlns:c16="http://schemas.microsoft.com/office/drawing/2014/chart" uri="{C3380CC4-5D6E-409C-BE32-E72D297353CC}">
              <c16:uniqueId val="{00000008-BC86-4A9D-871B-CDE60266CC86}"/>
            </c:ext>
          </c:extLst>
        </c:ser>
        <c:dLbls>
          <c:showLegendKey val="0"/>
          <c:showVal val="0"/>
          <c:showCatName val="0"/>
          <c:showSerName val="0"/>
          <c:showPercent val="0"/>
          <c:showBubbleSize val="0"/>
        </c:dLbls>
        <c:smooth val="0"/>
        <c:axId val="1798545648"/>
        <c:axId val="1798548560"/>
      </c:lineChart>
      <c:catAx>
        <c:axId val="17985456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Entladestrom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quot;A&quot;" sourceLinked="1"/>
        <c:majorTickMark val="in"/>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98548560"/>
        <c:crosses val="autoZero"/>
        <c:auto val="1"/>
        <c:lblAlgn val="ctr"/>
        <c:lblOffset val="100"/>
        <c:noMultiLvlLbl val="0"/>
      </c:catAx>
      <c:valAx>
        <c:axId val="1798548560"/>
        <c:scaling>
          <c:orientation val="minMax"/>
          <c:max val="100"/>
          <c:min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98545648"/>
        <c:crosses val="autoZero"/>
        <c:crossBetween val="midCat"/>
        <c:majorUnit val="5"/>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de-DE"/>
              <a:t>Kapazität über Entladestrom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de-DE"/>
        </a:p>
      </c:txPr>
    </c:title>
    <c:autoTitleDeleted val="0"/>
    <c:plotArea>
      <c:layout/>
      <c:lineChart>
        <c:grouping val="standard"/>
        <c:varyColors val="0"/>
        <c:ser>
          <c:idx val="0"/>
          <c:order val="0"/>
          <c:tx>
            <c:strRef>
              <c:f>'Zellvergleich Detailiert'!$B$4</c:f>
              <c:strCache>
                <c:ptCount val="1"/>
                <c:pt idx="0">
                  <c:v>LG INR18650HG2</c:v>
                </c:pt>
              </c:strCache>
            </c:strRef>
          </c:tx>
          <c:spPr>
            <a:ln w="28575" cap="rnd">
              <a:solidFill>
                <a:schemeClr val="accent1"/>
              </a:solidFill>
              <a:prstDash val="solid"/>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Detailiert'!$C$4:$G$4</c:f>
              <c:numCache>
                <c:formatCode>General</c:formatCode>
                <c:ptCount val="5"/>
                <c:pt idx="0">
                  <c:v>10.5</c:v>
                </c:pt>
                <c:pt idx="1">
                  <c:v>9.5</c:v>
                </c:pt>
                <c:pt idx="2">
                  <c:v>8.9</c:v>
                </c:pt>
                <c:pt idx="3">
                  <c:v>8.3000000000000007</c:v>
                </c:pt>
                <c:pt idx="4">
                  <c:v>6.6</c:v>
                </c:pt>
              </c:numCache>
            </c:numRef>
          </c:val>
          <c:smooth val="0"/>
          <c:extLst>
            <c:ext xmlns:c16="http://schemas.microsoft.com/office/drawing/2014/chart" uri="{C3380CC4-5D6E-409C-BE32-E72D297353CC}">
              <c16:uniqueId val="{00000000-3134-4E16-B4D7-91BD16DF8ACE}"/>
            </c:ext>
          </c:extLst>
        </c:ser>
        <c:ser>
          <c:idx val="1"/>
          <c:order val="1"/>
          <c:tx>
            <c:strRef>
              <c:f>'Zellvergleich Detailiert'!$B$5</c:f>
              <c:strCache>
                <c:ptCount val="1"/>
                <c:pt idx="0">
                  <c:v>Samsung 25R</c:v>
                </c:pt>
              </c:strCache>
            </c:strRef>
          </c:tx>
          <c:spPr>
            <a:ln w="28575" cap="rnd">
              <a:solidFill>
                <a:schemeClr val="accent2"/>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Detailiert'!$C$5:$G$5</c:f>
              <c:numCache>
                <c:formatCode>General</c:formatCode>
                <c:ptCount val="5"/>
                <c:pt idx="0">
                  <c:v>9.1999999999999993</c:v>
                </c:pt>
                <c:pt idx="1">
                  <c:v>8</c:v>
                </c:pt>
                <c:pt idx="2">
                  <c:v>7.3</c:v>
                </c:pt>
                <c:pt idx="3">
                  <c:v>6.9</c:v>
                </c:pt>
                <c:pt idx="4">
                  <c:v>5.5</c:v>
                </c:pt>
              </c:numCache>
            </c:numRef>
          </c:val>
          <c:smooth val="0"/>
          <c:extLst>
            <c:ext xmlns:c16="http://schemas.microsoft.com/office/drawing/2014/chart" uri="{C3380CC4-5D6E-409C-BE32-E72D297353CC}">
              <c16:uniqueId val="{00000001-3134-4E16-B4D7-91BD16DF8ACE}"/>
            </c:ext>
          </c:extLst>
        </c:ser>
        <c:ser>
          <c:idx val="2"/>
          <c:order val="2"/>
          <c:tx>
            <c:strRef>
              <c:f>'Zellvergleich Detailiert'!$B$6</c:f>
              <c:strCache>
                <c:ptCount val="1"/>
                <c:pt idx="0">
                  <c:v>Sony VTC5A</c:v>
                </c:pt>
              </c:strCache>
            </c:strRef>
          </c:tx>
          <c:spPr>
            <a:ln w="28575" cap="rnd">
              <a:solidFill>
                <a:schemeClr val="accent3"/>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Detailiert'!$C$6:$G$6</c:f>
              <c:numCache>
                <c:formatCode>General</c:formatCode>
                <c:ptCount val="5"/>
                <c:pt idx="0">
                  <c:v>9.1999999999999993</c:v>
                </c:pt>
                <c:pt idx="1">
                  <c:v>8.6</c:v>
                </c:pt>
                <c:pt idx="2">
                  <c:v>8.1999999999999993</c:v>
                </c:pt>
                <c:pt idx="3">
                  <c:v>7.8</c:v>
                </c:pt>
                <c:pt idx="4">
                  <c:v>7.3</c:v>
                </c:pt>
              </c:numCache>
            </c:numRef>
          </c:val>
          <c:smooth val="0"/>
          <c:extLst>
            <c:ext xmlns:c16="http://schemas.microsoft.com/office/drawing/2014/chart" uri="{C3380CC4-5D6E-409C-BE32-E72D297353CC}">
              <c16:uniqueId val="{00000002-3134-4E16-B4D7-91BD16DF8ACE}"/>
            </c:ext>
          </c:extLst>
        </c:ser>
        <c:ser>
          <c:idx val="3"/>
          <c:order val="3"/>
          <c:tx>
            <c:strRef>
              <c:f>'Zellvergleich Detailiert'!$B$7</c:f>
              <c:strCache>
                <c:ptCount val="1"/>
                <c:pt idx="0">
                  <c:v>Sony VTC6</c:v>
                </c:pt>
              </c:strCache>
            </c:strRef>
          </c:tx>
          <c:spPr>
            <a:ln w="28575" cap="rnd">
              <a:solidFill>
                <a:schemeClr val="accent4"/>
              </a:solidFill>
              <a:prstDash val="solid"/>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Detailiert'!$C$7:$G$7</c:f>
              <c:numCache>
                <c:formatCode>General</c:formatCode>
                <c:ptCount val="5"/>
                <c:pt idx="0">
                  <c:v>11.1</c:v>
                </c:pt>
                <c:pt idx="1">
                  <c:v>10.199999999999999</c:v>
                </c:pt>
                <c:pt idx="2">
                  <c:v>9.6</c:v>
                </c:pt>
                <c:pt idx="3">
                  <c:v>8.9</c:v>
                </c:pt>
                <c:pt idx="4">
                  <c:v>7.2</c:v>
                </c:pt>
              </c:numCache>
            </c:numRef>
          </c:val>
          <c:smooth val="0"/>
          <c:extLst>
            <c:ext xmlns:c16="http://schemas.microsoft.com/office/drawing/2014/chart" uri="{C3380CC4-5D6E-409C-BE32-E72D297353CC}">
              <c16:uniqueId val="{00000003-3134-4E16-B4D7-91BD16DF8ACE}"/>
            </c:ext>
          </c:extLst>
        </c:ser>
        <c:ser>
          <c:idx val="4"/>
          <c:order val="4"/>
          <c:tx>
            <c:strRef>
              <c:f>'Zellvergleich Detailiert'!$B$8</c:f>
              <c:strCache>
                <c:ptCount val="1"/>
                <c:pt idx="0">
                  <c:v>Apexium INR18650</c:v>
                </c:pt>
              </c:strCache>
            </c:strRef>
          </c:tx>
          <c:spPr>
            <a:ln w="28575" cap="rnd">
              <a:solidFill>
                <a:schemeClr val="accent5"/>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Detailiert'!$C$8:$G$8</c:f>
              <c:numCache>
                <c:formatCode>General</c:formatCode>
                <c:ptCount val="5"/>
                <c:pt idx="0">
                  <c:v>9.5</c:v>
                </c:pt>
                <c:pt idx="1">
                  <c:v>8.8000000000000007</c:v>
                </c:pt>
                <c:pt idx="2">
                  <c:v>8.6999999999999993</c:v>
                </c:pt>
                <c:pt idx="3">
                  <c:v>8.5</c:v>
                </c:pt>
                <c:pt idx="4">
                  <c:v>8</c:v>
                </c:pt>
              </c:numCache>
            </c:numRef>
          </c:val>
          <c:smooth val="0"/>
          <c:extLst>
            <c:ext xmlns:c16="http://schemas.microsoft.com/office/drawing/2014/chart" uri="{C3380CC4-5D6E-409C-BE32-E72D297353CC}">
              <c16:uniqueId val="{00000004-3134-4E16-B4D7-91BD16DF8ACE}"/>
            </c:ext>
          </c:extLst>
        </c:ser>
        <c:ser>
          <c:idx val="5"/>
          <c:order val="5"/>
          <c:tx>
            <c:strRef>
              <c:f>'Zellvergleich Detailiert'!$B$9</c:f>
              <c:strCache>
                <c:ptCount val="1"/>
                <c:pt idx="0">
                  <c:v>Vapcell INR18650</c:v>
                </c:pt>
              </c:strCache>
            </c:strRef>
          </c:tx>
          <c:spPr>
            <a:ln w="28575" cap="rnd">
              <a:solidFill>
                <a:schemeClr val="accent6"/>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Detailiert'!$C$9:$G$9</c:f>
              <c:numCache>
                <c:formatCode>General</c:formatCode>
                <c:ptCount val="5"/>
                <c:pt idx="0">
                  <c:v>9.8000000000000007</c:v>
                </c:pt>
                <c:pt idx="1">
                  <c:v>9</c:v>
                </c:pt>
                <c:pt idx="2">
                  <c:v>8.5</c:v>
                </c:pt>
                <c:pt idx="3">
                  <c:v>8.1999999999999993</c:v>
                </c:pt>
                <c:pt idx="4">
                  <c:v>7.7</c:v>
                </c:pt>
              </c:numCache>
            </c:numRef>
          </c:val>
          <c:smooth val="0"/>
          <c:extLst>
            <c:ext xmlns:c16="http://schemas.microsoft.com/office/drawing/2014/chart" uri="{C3380CC4-5D6E-409C-BE32-E72D297353CC}">
              <c16:uniqueId val="{00000005-3134-4E16-B4D7-91BD16DF8ACE}"/>
            </c:ext>
          </c:extLst>
        </c:ser>
        <c:ser>
          <c:idx val="6"/>
          <c:order val="6"/>
          <c:tx>
            <c:strRef>
              <c:f>'Zellvergleich Detailiert'!$B$10</c:f>
              <c:strCache>
                <c:ptCount val="1"/>
                <c:pt idx="0">
                  <c:v>Enercig 18650 3000mAh (Green) 2016</c:v>
                </c:pt>
              </c:strCache>
            </c:strRef>
          </c:tx>
          <c:spPr>
            <a:ln w="28575" cap="rnd">
              <a:solidFill>
                <a:schemeClr val="accent1">
                  <a:lumMod val="60000"/>
                </a:schemeClr>
              </a:solidFill>
              <a:prstDash val="dash"/>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Detailiert'!$C$10:$G$10</c:f>
              <c:numCache>
                <c:formatCode>General</c:formatCode>
                <c:ptCount val="5"/>
                <c:pt idx="0">
                  <c:v>11.1</c:v>
                </c:pt>
                <c:pt idx="1">
                  <c:v>10.199999999999999</c:v>
                </c:pt>
                <c:pt idx="2">
                  <c:v>9.5</c:v>
                </c:pt>
                <c:pt idx="3">
                  <c:v>9.1</c:v>
                </c:pt>
                <c:pt idx="4">
                  <c:v>7.5</c:v>
                </c:pt>
              </c:numCache>
            </c:numRef>
          </c:val>
          <c:smooth val="0"/>
          <c:extLst>
            <c:ext xmlns:c16="http://schemas.microsoft.com/office/drawing/2014/chart" uri="{C3380CC4-5D6E-409C-BE32-E72D297353CC}">
              <c16:uniqueId val="{00000006-3134-4E16-B4D7-91BD16DF8ACE}"/>
            </c:ext>
          </c:extLst>
        </c:ser>
        <c:ser>
          <c:idx val="7"/>
          <c:order val="7"/>
          <c:tx>
            <c:strRef>
              <c:f>'Zellvergleich Detailiert'!$B$11</c:f>
              <c:strCache>
                <c:ptCount val="1"/>
                <c:pt idx="0">
                  <c:v>Molicel INR18650-P26A</c:v>
                </c:pt>
              </c:strCache>
            </c:strRef>
          </c:tx>
          <c:spPr>
            <a:ln w="28575" cap="rnd">
              <a:solidFill>
                <a:schemeClr val="accent2">
                  <a:lumMod val="60000"/>
                </a:schemeClr>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Detailiert'!$C$11:$G$11</c:f>
              <c:numCache>
                <c:formatCode>General</c:formatCode>
                <c:ptCount val="5"/>
                <c:pt idx="0">
                  <c:v>9.6999999999999993</c:v>
                </c:pt>
                <c:pt idx="1">
                  <c:v>8.9</c:v>
                </c:pt>
                <c:pt idx="2">
                  <c:v>8.9</c:v>
                </c:pt>
                <c:pt idx="3">
                  <c:v>8.6</c:v>
                </c:pt>
                <c:pt idx="4">
                  <c:v>8</c:v>
                </c:pt>
              </c:numCache>
            </c:numRef>
          </c:val>
          <c:smooth val="0"/>
          <c:extLst>
            <c:ext xmlns:c16="http://schemas.microsoft.com/office/drawing/2014/chart" uri="{C3380CC4-5D6E-409C-BE32-E72D297353CC}">
              <c16:uniqueId val="{00000007-3134-4E16-B4D7-91BD16DF8ACE}"/>
            </c:ext>
          </c:extLst>
        </c:ser>
        <c:ser>
          <c:idx val="8"/>
          <c:order val="8"/>
          <c:tx>
            <c:strRef>
              <c:f>'Zellvergleich Detailiert'!$B$12</c:f>
              <c:strCache>
                <c:ptCount val="1"/>
                <c:pt idx="0">
                  <c:v>Samsung INR21700-30T</c:v>
                </c:pt>
              </c:strCache>
            </c:strRef>
          </c:tx>
          <c:spPr>
            <a:ln w="28575" cap="rnd">
              <a:solidFill>
                <a:schemeClr val="accent3">
                  <a:lumMod val="60000"/>
                </a:schemeClr>
              </a:solidFill>
              <a:prstDash val="dash"/>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Detailiert'!$C$12:$G$12</c:f>
              <c:numCache>
                <c:formatCode>General</c:formatCode>
                <c:ptCount val="5"/>
                <c:pt idx="0">
                  <c:v>11.3</c:v>
                </c:pt>
                <c:pt idx="1">
                  <c:v>10.8</c:v>
                </c:pt>
                <c:pt idx="2">
                  <c:v>10.5</c:v>
                </c:pt>
                <c:pt idx="3">
                  <c:v>10.3</c:v>
                </c:pt>
                <c:pt idx="4">
                  <c:v>10</c:v>
                </c:pt>
              </c:numCache>
            </c:numRef>
          </c:val>
          <c:smooth val="0"/>
          <c:extLst>
            <c:ext xmlns:c16="http://schemas.microsoft.com/office/drawing/2014/chart" uri="{C3380CC4-5D6E-409C-BE32-E72D297353CC}">
              <c16:uniqueId val="{00000008-3134-4E16-B4D7-91BD16DF8ACE}"/>
            </c:ext>
          </c:extLst>
        </c:ser>
        <c:ser>
          <c:idx val="9"/>
          <c:order val="9"/>
          <c:tx>
            <c:strRef>
              <c:f>'Zellvergleich Detailiert'!$B$13</c:f>
              <c:strCache>
                <c:ptCount val="1"/>
              </c:strCache>
            </c:strRef>
          </c:tx>
          <c:spPr>
            <a:ln w="28575" cap="rnd">
              <a:solidFill>
                <a:schemeClr val="accent4">
                  <a:lumMod val="60000"/>
                </a:schemeClr>
              </a:solidFill>
              <a:round/>
            </a:ln>
            <a:effectLst/>
          </c:spPr>
          <c:marker>
            <c:symbol val="none"/>
          </c:marker>
          <c:val>
            <c:numRef>
              <c:f>'Zellvergleich Detailiert'!$C$13:$F$13</c:f>
              <c:numCache>
                <c:formatCode>General</c:formatCode>
                <c:ptCount val="4"/>
              </c:numCache>
            </c:numRef>
          </c:val>
          <c:smooth val="0"/>
          <c:extLst>
            <c:ext xmlns:c16="http://schemas.microsoft.com/office/drawing/2014/chart" uri="{C3380CC4-5D6E-409C-BE32-E72D297353CC}">
              <c16:uniqueId val="{00000001-C14F-406F-89E2-2F37D7EF8915}"/>
            </c:ext>
          </c:extLst>
        </c:ser>
        <c:dLbls>
          <c:showLegendKey val="0"/>
          <c:showVal val="0"/>
          <c:showCatName val="0"/>
          <c:showSerName val="0"/>
          <c:showPercent val="0"/>
          <c:showBubbleSize val="0"/>
        </c:dLbls>
        <c:smooth val="0"/>
        <c:axId val="1798545648"/>
        <c:axId val="1798548560"/>
      </c:lineChart>
      <c:dateAx>
        <c:axId val="17985456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de-DE"/>
                  <a:t>Entladestrom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de-DE"/>
            </a:p>
          </c:txPr>
        </c:title>
        <c:numFmt formatCode="0.0&quot;A&quot;" sourceLinked="1"/>
        <c:majorTickMark val="in"/>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e-DE"/>
          </a:p>
        </c:txPr>
        <c:crossAx val="1798548560"/>
        <c:crosses val="autoZero"/>
        <c:auto val="0"/>
        <c:lblOffset val="100"/>
        <c:baseTimeUnit val="days"/>
        <c:majorUnit val="1"/>
        <c:minorUnit val="1"/>
      </c:dateAx>
      <c:valAx>
        <c:axId val="179854856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t" anchorCtr="1"/>
              <a:lstStyle/>
              <a:p>
                <a:pPr>
                  <a:defRPr sz="1000" b="0" i="0" u="none" strike="noStrike" kern="1200" baseline="0">
                    <a:solidFill>
                      <a:schemeClr val="dk1"/>
                    </a:solidFill>
                    <a:latin typeface="+mn-lt"/>
                    <a:ea typeface="+mn-ea"/>
                    <a:cs typeface="+mn-cs"/>
                  </a:defRPr>
                </a:pPr>
                <a:r>
                  <a:rPr lang="de-DE"/>
                  <a:t>Wh</a:t>
                </a:r>
              </a:p>
            </c:rich>
          </c:tx>
          <c:layout>
            <c:manualLayout>
              <c:xMode val="edge"/>
              <c:yMode val="edge"/>
              <c:x val="0"/>
              <c:y val="0.30769668564886288"/>
            </c:manualLayout>
          </c:layout>
          <c:overlay val="0"/>
          <c:spPr>
            <a:noFill/>
            <a:ln>
              <a:noFill/>
            </a:ln>
            <a:effectLst/>
          </c:spPr>
          <c:txPr>
            <a:bodyPr rot="-5400000" spcFirstLastPara="1" vertOverflow="ellipsis" vert="horz" wrap="square" anchor="t" anchorCtr="1"/>
            <a:lstStyle/>
            <a:p>
              <a:pPr>
                <a:defRPr sz="1000" b="0" i="0" u="none" strike="noStrike" kern="1200" baseline="0">
                  <a:solidFill>
                    <a:schemeClr val="dk1"/>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e-DE"/>
          </a:p>
        </c:txPr>
        <c:crossAx val="1798545648"/>
        <c:crosses val="autoZero"/>
        <c:crossBetween val="midCat"/>
        <c:majorUnit val="0.5"/>
      </c:valAx>
      <c:spPr>
        <a:noFill/>
        <a:ln>
          <a:noFill/>
        </a:ln>
        <a:effectLst/>
      </c:spPr>
    </c:plotArea>
    <c:legend>
      <c:legendPos val="b"/>
      <c:legendEntry>
        <c:idx val="9"/>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de-DE"/>
    </a:p>
  </c:txPr>
  <c:printSettings>
    <c:headerFooter/>
    <c:pageMargins b="0.78740157499999996" l="0.7" r="0.7" t="0.78740157499999996"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Entladeeffizienz</a:t>
            </a:r>
            <a:r>
              <a:rPr lang="en-US" baseline="0"/>
              <a:t> VTC6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'Entladeeffizienz VTC6'!$F$1</c:f>
              <c:strCache>
                <c:ptCount val="1"/>
                <c:pt idx="0">
                  <c:v>Discharge Effizienz</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poly"/>
            <c:order val="2"/>
            <c:dispRSqr val="0"/>
            <c:dispEq val="0"/>
          </c:trendline>
          <c:xVal>
            <c:numRef>
              <c:f>'Entladeeffizienz VTC6'!$A$2:$A$13</c:f>
              <c:numCache>
                <c:formatCode>0.00\ \A</c:formatCode>
                <c:ptCount val="12"/>
                <c:pt idx="0">
                  <c:v>0</c:v>
                </c:pt>
                <c:pt idx="1">
                  <c:v>0.2</c:v>
                </c:pt>
                <c:pt idx="2">
                  <c:v>0.5</c:v>
                </c:pt>
                <c:pt idx="3">
                  <c:v>1</c:v>
                </c:pt>
                <c:pt idx="4">
                  <c:v>2</c:v>
                </c:pt>
                <c:pt idx="5">
                  <c:v>3</c:v>
                </c:pt>
                <c:pt idx="6">
                  <c:v>5</c:v>
                </c:pt>
                <c:pt idx="7">
                  <c:v>7</c:v>
                </c:pt>
                <c:pt idx="8">
                  <c:v>10</c:v>
                </c:pt>
                <c:pt idx="9">
                  <c:v>15</c:v>
                </c:pt>
                <c:pt idx="10">
                  <c:v>20</c:v>
                </c:pt>
                <c:pt idx="11">
                  <c:v>30</c:v>
                </c:pt>
              </c:numCache>
            </c:numRef>
          </c:xVal>
          <c:yVal>
            <c:numRef>
              <c:f>'Entladeeffizienz VTC6'!$F$2:$F$13</c:f>
              <c:numCache>
                <c:formatCode>0%</c:formatCode>
                <c:ptCount val="12"/>
                <c:pt idx="1">
                  <c:v>0.94237500000000007</c:v>
                </c:pt>
                <c:pt idx="2">
                  <c:v>0.93259375000000011</c:v>
                </c:pt>
                <c:pt idx="3">
                  <c:v>0.92775000000000007</c:v>
                </c:pt>
                <c:pt idx="4">
                  <c:v>0.92284375000000007</c:v>
                </c:pt>
                <c:pt idx="5">
                  <c:v>0.91781249999999981</c:v>
                </c:pt>
                <c:pt idx="6">
                  <c:v>0.90937499999999982</c:v>
                </c:pt>
                <c:pt idx="7">
                  <c:v>0.890625</c:v>
                </c:pt>
                <c:pt idx="8">
                  <c:v>0.8984375</c:v>
                </c:pt>
                <c:pt idx="9">
                  <c:v>0.88124999999999998</c:v>
                </c:pt>
                <c:pt idx="10">
                  <c:v>0.84375</c:v>
                </c:pt>
                <c:pt idx="11">
                  <c:v>0.78125</c:v>
                </c:pt>
              </c:numCache>
            </c:numRef>
          </c:yVal>
          <c:smooth val="0"/>
          <c:extLst>
            <c:ext xmlns:c16="http://schemas.microsoft.com/office/drawing/2014/chart" uri="{C3380CC4-5D6E-409C-BE32-E72D297353CC}">
              <c16:uniqueId val="{00000000-F2D2-43DD-A55F-CA496993C9BF}"/>
            </c:ext>
          </c:extLst>
        </c:ser>
        <c:dLbls>
          <c:showLegendKey val="0"/>
          <c:showVal val="0"/>
          <c:showCatName val="0"/>
          <c:showSerName val="0"/>
          <c:showPercent val="0"/>
          <c:showBubbleSize val="0"/>
        </c:dLbls>
        <c:axId val="1517764064"/>
        <c:axId val="1517785696"/>
      </c:scatterChart>
      <c:valAx>
        <c:axId val="1517764064"/>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Entladestrom in [A]</a:t>
                </a:r>
                <a:r>
                  <a:rPr lang="de-DE" sz="1000" b="0" i="0" u="none" strike="noStrike" baseline="0"/>
                  <a:t> </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A"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17785696"/>
        <c:crosses val="autoZero"/>
        <c:crossBetween val="midCat"/>
      </c:valAx>
      <c:valAx>
        <c:axId val="1517785696"/>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Effizienz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17764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3.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18</xdr:col>
      <xdr:colOff>289560</xdr:colOff>
      <xdr:row>0</xdr:row>
      <xdr:rowOff>137160</xdr:rowOff>
    </xdr:from>
    <xdr:to>
      <xdr:col>21</xdr:col>
      <xdr:colOff>327660</xdr:colOff>
      <xdr:row>7</xdr:row>
      <xdr:rowOff>61913</xdr:rowOff>
    </xdr:to>
    <xdr:sp macro="" textlink="">
      <xdr:nvSpPr>
        <xdr:cNvPr id="2" name="Textfeld 1">
          <a:extLst>
            <a:ext uri="{FF2B5EF4-FFF2-40B4-BE49-F238E27FC236}">
              <a16:creationId xmlns:a16="http://schemas.microsoft.com/office/drawing/2014/main" id="{EABC0C60-737C-079F-1ECD-64BB7A473FC9}"/>
            </a:ext>
          </a:extLst>
        </xdr:cNvPr>
        <xdr:cNvSpPr txBox="1"/>
      </xdr:nvSpPr>
      <xdr:spPr>
        <a:xfrm>
          <a:off x="11252835" y="137160"/>
          <a:ext cx="1866900" cy="12106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Disclaimer!</a:t>
          </a:r>
        </a:p>
        <a:p>
          <a:r>
            <a:rPr lang="de-DE" sz="1100"/>
            <a:t>Die</a:t>
          </a:r>
          <a:r>
            <a:rPr lang="de-DE" sz="1100" baseline="0"/>
            <a:t> Angaben im FSG Magazin kommen von den Teams und nicht von der FSG. Besonders Tolle Werte sind daher mit Vorsicht zu genießen.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232442</xdr:colOff>
      <xdr:row>2</xdr:row>
      <xdr:rowOff>50586</xdr:rowOff>
    </xdr:from>
    <xdr:to>
      <xdr:col>25</xdr:col>
      <xdr:colOff>232443</xdr:colOff>
      <xdr:row>27</xdr:row>
      <xdr:rowOff>0</xdr:rowOff>
    </xdr:to>
    <xdr:sp macro="" textlink="">
      <xdr:nvSpPr>
        <xdr:cNvPr id="2" name="Textfeld 1">
          <a:extLst>
            <a:ext uri="{FF2B5EF4-FFF2-40B4-BE49-F238E27FC236}">
              <a16:creationId xmlns:a16="http://schemas.microsoft.com/office/drawing/2014/main" id="{360A0879-D409-6D77-72F9-F059C2A46761}"/>
            </a:ext>
          </a:extLst>
        </xdr:cNvPr>
        <xdr:cNvSpPr txBox="1"/>
      </xdr:nvSpPr>
      <xdr:spPr>
        <a:xfrm>
          <a:off x="18814356" y="431586"/>
          <a:ext cx="4158344" cy="4706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600" b="1"/>
            <a:t>Readme</a:t>
          </a:r>
        </a:p>
        <a:p>
          <a:endParaRPr lang="de-DE" sz="1100"/>
        </a:p>
        <a:p>
          <a:r>
            <a:rPr lang="de-DE" sz="1100"/>
            <a:t>Diese Seite ermöglichst es Akuzellen basierend auf ihren</a:t>
          </a:r>
          <a:r>
            <a:rPr lang="de-DE" sz="1100" baseline="0"/>
            <a:t> Datenblattwerten (statisch)</a:t>
          </a:r>
        </a:p>
        <a:p>
          <a:r>
            <a:rPr lang="de-DE" sz="1100" baseline="0"/>
            <a:t>gegenüberzustellen und sich daraus einen Akku nach den vorgegeben Parametern konfigurieren zu lassen. </a:t>
          </a:r>
        </a:p>
        <a:p>
          <a:endParaRPr lang="de-DE" sz="1100" baseline="0"/>
        </a:p>
        <a:p>
          <a:r>
            <a:rPr lang="de-DE" sz="1100" baseline="0"/>
            <a:t>Die Tabelle arbeitet dabei nach dem Prinzip das alle vorgegeben Paramater erfüllt sein müssen.</a:t>
          </a:r>
        </a:p>
        <a:p>
          <a:r>
            <a:rPr lang="de-DE" sz="1100" baseline="0"/>
            <a:t>Damit lässt sich aus der Fülle an Zellen auf dem Markt schnell die Spreu vom Weizen trennen.</a:t>
          </a:r>
        </a:p>
        <a:p>
          <a:endParaRPr lang="de-DE" sz="1100" baseline="0"/>
        </a:p>
        <a:p>
          <a:r>
            <a:rPr lang="de-DE" sz="1100" baseline="0"/>
            <a:t>Im Anschluss sollten dann weitere Parameter wie die thermische perfromance und die entladeeffizienz begutachtet werden -&gt; nächste Seite.</a:t>
          </a:r>
        </a:p>
        <a:p>
          <a:endParaRPr lang="de-DE" sz="1100" baseline="0"/>
        </a:p>
        <a:p>
          <a:r>
            <a:rPr lang="de-DE" sz="1100" baseline="0"/>
            <a:t>Wichtig zu wissen!!!, die Desired average Power wird Stand 2021 mit der Ladeschlussspannung berechnet und nicht mit der Nennspannung. Der grund ist das Low Reku Konzept und die relativ niedrige fahrbare leistung im endurance aufgrund der verhältnismmäßigh niedrigen akkukapazität. Hierbei sollte für die Zukunft evaluiert werden ob dieser Wert mit der Nennspannung für die kommende auslegung mehr Sinn macht. (mehr fokus auf Leistung bei niedrigerem SOC -&gt; ende endurance)</a:t>
          </a: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600636</xdr:colOff>
      <xdr:row>21</xdr:row>
      <xdr:rowOff>116541</xdr:rowOff>
    </xdr:from>
    <xdr:to>
      <xdr:col>18</xdr:col>
      <xdr:colOff>179294</xdr:colOff>
      <xdr:row>41</xdr:row>
      <xdr:rowOff>155314</xdr:rowOff>
    </xdr:to>
    <xdr:graphicFrame macro="">
      <xdr:nvGraphicFramePr>
        <xdr:cNvPr id="11" name="Diagramm 10">
          <a:extLst>
            <a:ext uri="{FF2B5EF4-FFF2-40B4-BE49-F238E27FC236}">
              <a16:creationId xmlns:a16="http://schemas.microsoft.com/office/drawing/2014/main" id="{1832E056-F885-4A19-909C-9FBBB937C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612514</xdr:colOff>
      <xdr:row>1</xdr:row>
      <xdr:rowOff>92625</xdr:rowOff>
    </xdr:from>
    <xdr:to>
      <xdr:col>18</xdr:col>
      <xdr:colOff>177950</xdr:colOff>
      <xdr:row>21</xdr:row>
      <xdr:rowOff>2306</xdr:rowOff>
    </xdr:to>
    <xdr:graphicFrame macro="">
      <xdr:nvGraphicFramePr>
        <xdr:cNvPr id="2" name="Diagramm 1">
          <a:extLst>
            <a:ext uri="{FF2B5EF4-FFF2-40B4-BE49-F238E27FC236}">
              <a16:creationId xmlns:a16="http://schemas.microsoft.com/office/drawing/2014/main" id="{55E07034-73F5-E895-1211-9154C61EC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0.2769</cdr:x>
      <cdr:y>0.13029</cdr:y>
    </cdr:from>
    <cdr:to>
      <cdr:x>0.46367</cdr:x>
      <cdr:y>0.61391</cdr:y>
    </cdr:to>
    <cdr:sp macro="" textlink="">
      <cdr:nvSpPr>
        <cdr:cNvPr id="2" name="Rechteck 1">
          <a:extLst xmlns:a="http://schemas.openxmlformats.org/drawingml/2006/main">
            <a:ext uri="{FF2B5EF4-FFF2-40B4-BE49-F238E27FC236}">
              <a16:creationId xmlns:a16="http://schemas.microsoft.com/office/drawing/2014/main" id="{0E0D1CC6-25A6-19EA-FC5F-AE60638E7F65}"/>
            </a:ext>
          </a:extLst>
        </cdr:cNvPr>
        <cdr:cNvSpPr/>
      </cdr:nvSpPr>
      <cdr:spPr>
        <a:xfrm xmlns:a="http://schemas.openxmlformats.org/drawingml/2006/main">
          <a:off x="2071988" y="468653"/>
          <a:ext cx="1397563" cy="1739590"/>
        </a:xfrm>
        <a:prstGeom xmlns:a="http://schemas.openxmlformats.org/drawingml/2006/main" prst="rect">
          <a:avLst/>
        </a:prstGeom>
        <a:solidFill xmlns:a="http://schemas.openxmlformats.org/drawingml/2006/main">
          <a:schemeClr val="accent1">
            <a:alpha val="40000"/>
          </a:schemeClr>
        </a:solidFill>
        <a:ln xmlns:a="http://schemas.openxmlformats.org/drawingml/2006/main" w="12700">
          <a:solidFill>
            <a:schemeClr val="accent1">
              <a:shade val="50000"/>
              <a:alpha val="40000"/>
            </a:schemeClr>
          </a:solidFill>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vert="vert270" wrap="square" anchor="ctr" anchorCtr="1">
          <a:spAutoFit/>
        </a:bodyPr>
        <a:lstStyle xmlns:a="http://schemas.openxmlformats.org/drawingml/2006/main"/>
        <a:p xmlns:a="http://schemas.openxmlformats.org/drawingml/2006/main">
          <a:r>
            <a:rPr lang="de-DE">
              <a:solidFill>
                <a:schemeClr val="lt1">
                  <a:alpha val="70000"/>
                </a:schemeClr>
              </a:solidFill>
            </a:rPr>
            <a:t>Durch.</a:t>
          </a:r>
          <a:r>
            <a:rPr lang="de-DE" baseline="0">
              <a:solidFill>
                <a:schemeClr val="lt1">
                  <a:alpha val="70000"/>
                </a:schemeClr>
              </a:solidFill>
            </a:rPr>
            <a:t> Betriebsbereich</a:t>
          </a:r>
          <a:endParaRPr lang="de-DE">
            <a:solidFill>
              <a:schemeClr val="lt1">
                <a:alpha val="7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76201</xdr:colOff>
      <xdr:row>1</xdr:row>
      <xdr:rowOff>23524</xdr:rowOff>
    </xdr:from>
    <xdr:to>
      <xdr:col>14</xdr:col>
      <xdr:colOff>381001</xdr:colOff>
      <xdr:row>15</xdr:row>
      <xdr:rowOff>166648</xdr:rowOff>
    </xdr:to>
    <xdr:graphicFrame macro="">
      <xdr:nvGraphicFramePr>
        <xdr:cNvPr id="2" name="Diagramm 1">
          <a:extLst>
            <a:ext uri="{FF2B5EF4-FFF2-40B4-BE49-F238E27FC236}">
              <a16:creationId xmlns:a16="http://schemas.microsoft.com/office/drawing/2014/main" id="{93D11A32-6669-9C2D-A96D-F2460492F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437322</xdr:colOff>
      <xdr:row>14</xdr:row>
      <xdr:rowOff>6626</xdr:rowOff>
    </xdr:from>
    <xdr:to>
      <xdr:col>4</xdr:col>
      <xdr:colOff>980661</xdr:colOff>
      <xdr:row>18</xdr:row>
      <xdr:rowOff>86138</xdr:rowOff>
    </xdr:to>
    <xdr:sp macro="" textlink="">
      <xdr:nvSpPr>
        <xdr:cNvPr id="3" name="Textfeld 2">
          <a:extLst>
            <a:ext uri="{FF2B5EF4-FFF2-40B4-BE49-F238E27FC236}">
              <a16:creationId xmlns:a16="http://schemas.microsoft.com/office/drawing/2014/main" id="{6C7F3478-12D4-6FB0-4946-A0DA27DB7B32}"/>
            </a:ext>
          </a:extLst>
        </xdr:cNvPr>
        <xdr:cNvSpPr txBox="1"/>
      </xdr:nvSpPr>
      <xdr:spPr>
        <a:xfrm>
          <a:off x="437322" y="2604052"/>
          <a:ext cx="4538869" cy="821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Werte</a:t>
          </a:r>
          <a:r>
            <a:rPr lang="de-DE" sz="1100" baseline="0"/>
            <a:t> von Lygite.info </a:t>
          </a:r>
        </a:p>
        <a:p>
          <a:r>
            <a:rPr lang="de-DE" sz="1100" baseline="0"/>
            <a:t>Das diagramm stellt das bei höheren ladeströmen die entladeeffizienz drastisch sinkt und wir deutlich weniger ennergie insgesamt aus unserer Akuzelle bekommen (verluste und so)</a:t>
          </a:r>
        </a:p>
        <a:p>
          <a:endParaRPr lang="de-DE" sz="1100"/>
        </a:p>
      </xdr:txBody>
    </xdr:sp>
    <xdr:clientData/>
  </xdr:twoCellAnchor>
  <xdr:twoCellAnchor editAs="oneCell">
    <xdr:from>
      <xdr:col>0</xdr:col>
      <xdr:colOff>159027</xdr:colOff>
      <xdr:row>18</xdr:row>
      <xdr:rowOff>159026</xdr:rowOff>
    </xdr:from>
    <xdr:to>
      <xdr:col>9</xdr:col>
      <xdr:colOff>487222</xdr:colOff>
      <xdr:row>45</xdr:row>
      <xdr:rowOff>6847</xdr:rowOff>
    </xdr:to>
    <xdr:pic>
      <xdr:nvPicPr>
        <xdr:cNvPr id="4" name="Grafik 3">
          <a:extLst>
            <a:ext uri="{FF2B5EF4-FFF2-40B4-BE49-F238E27FC236}">
              <a16:creationId xmlns:a16="http://schemas.microsoft.com/office/drawing/2014/main" id="{388F59EB-7B25-A976-648E-D8AE01A409C6}"/>
            </a:ext>
          </a:extLst>
        </xdr:cNvPr>
        <xdr:cNvPicPr>
          <a:picLocks noChangeAspect="1"/>
        </xdr:cNvPicPr>
      </xdr:nvPicPr>
      <xdr:blipFill>
        <a:blip xmlns:r="http://schemas.openxmlformats.org/officeDocument/2006/relationships" r:embed="rId2"/>
        <a:stretch>
          <a:fillRect/>
        </a:stretch>
      </xdr:blipFill>
      <xdr:spPr>
        <a:xfrm>
          <a:off x="159027" y="3498574"/>
          <a:ext cx="9628571" cy="4857143"/>
        </a:xfrm>
        <a:prstGeom prst="rect">
          <a:avLst/>
        </a:prstGeom>
      </xdr:spPr>
    </xdr:pic>
    <xdr:clientData/>
  </xdr:twoCellAnchor>
  <xdr:twoCellAnchor editAs="oneCell">
    <xdr:from>
      <xdr:col>0</xdr:col>
      <xdr:colOff>139148</xdr:colOff>
      <xdr:row>45</xdr:row>
      <xdr:rowOff>59635</xdr:rowOff>
    </xdr:from>
    <xdr:to>
      <xdr:col>9</xdr:col>
      <xdr:colOff>448296</xdr:colOff>
      <xdr:row>71</xdr:row>
      <xdr:rowOff>16796</xdr:rowOff>
    </xdr:to>
    <xdr:pic>
      <xdr:nvPicPr>
        <xdr:cNvPr id="5" name="Grafik 4">
          <a:extLst>
            <a:ext uri="{FF2B5EF4-FFF2-40B4-BE49-F238E27FC236}">
              <a16:creationId xmlns:a16="http://schemas.microsoft.com/office/drawing/2014/main" id="{D39260D7-D81B-3338-9FD7-1BAD3D0FB720}"/>
            </a:ext>
          </a:extLst>
        </xdr:cNvPr>
        <xdr:cNvPicPr>
          <a:picLocks noChangeAspect="1"/>
        </xdr:cNvPicPr>
      </xdr:nvPicPr>
      <xdr:blipFill>
        <a:blip xmlns:r="http://schemas.openxmlformats.org/officeDocument/2006/relationships" r:embed="rId3"/>
        <a:stretch>
          <a:fillRect/>
        </a:stretch>
      </xdr:blipFill>
      <xdr:spPr>
        <a:xfrm>
          <a:off x="139148" y="8408505"/>
          <a:ext cx="9609524" cy="4780952"/>
        </a:xfrm>
        <a:prstGeom prst="rect">
          <a:avLst/>
        </a:prstGeom>
      </xdr:spPr>
    </xdr:pic>
    <xdr:clientData/>
  </xdr:twoCellAnchor>
  <xdr:twoCellAnchor editAs="oneCell">
    <xdr:from>
      <xdr:col>0</xdr:col>
      <xdr:colOff>139148</xdr:colOff>
      <xdr:row>71</xdr:row>
      <xdr:rowOff>53009</xdr:rowOff>
    </xdr:from>
    <xdr:to>
      <xdr:col>9</xdr:col>
      <xdr:colOff>457820</xdr:colOff>
      <xdr:row>97</xdr:row>
      <xdr:rowOff>105408</xdr:rowOff>
    </xdr:to>
    <xdr:pic>
      <xdr:nvPicPr>
        <xdr:cNvPr id="6" name="Grafik 5">
          <a:extLst>
            <a:ext uri="{FF2B5EF4-FFF2-40B4-BE49-F238E27FC236}">
              <a16:creationId xmlns:a16="http://schemas.microsoft.com/office/drawing/2014/main" id="{6DC099A2-9AE8-8DB6-B67B-45800845779F}"/>
            </a:ext>
          </a:extLst>
        </xdr:cNvPr>
        <xdr:cNvPicPr>
          <a:picLocks noChangeAspect="1"/>
        </xdr:cNvPicPr>
      </xdr:nvPicPr>
      <xdr:blipFill>
        <a:blip xmlns:r="http://schemas.openxmlformats.org/officeDocument/2006/relationships" r:embed="rId4"/>
        <a:stretch>
          <a:fillRect/>
        </a:stretch>
      </xdr:blipFill>
      <xdr:spPr>
        <a:xfrm>
          <a:off x="139148" y="13225670"/>
          <a:ext cx="9619048" cy="4876190"/>
        </a:xfrm>
        <a:prstGeom prst="rect">
          <a:avLst/>
        </a:prstGeom>
      </xdr:spPr>
    </xdr:pic>
    <xdr:clientData/>
  </xdr:twoCellAnchor>
  <xdr:twoCellAnchor editAs="oneCell">
    <xdr:from>
      <xdr:col>0</xdr:col>
      <xdr:colOff>139148</xdr:colOff>
      <xdr:row>97</xdr:row>
      <xdr:rowOff>125895</xdr:rowOff>
    </xdr:from>
    <xdr:to>
      <xdr:col>9</xdr:col>
      <xdr:colOff>514962</xdr:colOff>
      <xdr:row>123</xdr:row>
      <xdr:rowOff>149723</xdr:rowOff>
    </xdr:to>
    <xdr:pic>
      <xdr:nvPicPr>
        <xdr:cNvPr id="7" name="Grafik 6">
          <a:extLst>
            <a:ext uri="{FF2B5EF4-FFF2-40B4-BE49-F238E27FC236}">
              <a16:creationId xmlns:a16="http://schemas.microsoft.com/office/drawing/2014/main" id="{A1697788-CB68-AD71-A718-683457B7F2DA}"/>
            </a:ext>
          </a:extLst>
        </xdr:cNvPr>
        <xdr:cNvPicPr>
          <a:picLocks noChangeAspect="1"/>
        </xdr:cNvPicPr>
      </xdr:nvPicPr>
      <xdr:blipFill>
        <a:blip xmlns:r="http://schemas.openxmlformats.org/officeDocument/2006/relationships" r:embed="rId5"/>
        <a:stretch>
          <a:fillRect/>
        </a:stretch>
      </xdr:blipFill>
      <xdr:spPr>
        <a:xfrm>
          <a:off x="139148" y="18122347"/>
          <a:ext cx="9676190" cy="4847619"/>
        </a:xfrm>
        <a:prstGeom prst="rect">
          <a:avLst/>
        </a:prstGeom>
      </xdr:spPr>
    </xdr:pic>
    <xdr:clientData/>
  </xdr:twoCellAnchor>
  <xdr:twoCellAnchor editAs="oneCell">
    <xdr:from>
      <xdr:col>0</xdr:col>
      <xdr:colOff>60960</xdr:colOff>
      <xdr:row>123</xdr:row>
      <xdr:rowOff>99060</xdr:rowOff>
    </xdr:from>
    <xdr:to>
      <xdr:col>9</xdr:col>
      <xdr:colOff>427251</xdr:colOff>
      <xdr:row>149</xdr:row>
      <xdr:rowOff>151459</xdr:rowOff>
    </xdr:to>
    <xdr:pic>
      <xdr:nvPicPr>
        <xdr:cNvPr id="8" name="Grafik 7">
          <a:extLst>
            <a:ext uri="{FF2B5EF4-FFF2-40B4-BE49-F238E27FC236}">
              <a16:creationId xmlns:a16="http://schemas.microsoft.com/office/drawing/2014/main" id="{F56A193D-BA71-7541-534D-FDCE7E819EB7}"/>
            </a:ext>
          </a:extLst>
        </xdr:cNvPr>
        <xdr:cNvPicPr>
          <a:picLocks noChangeAspect="1"/>
        </xdr:cNvPicPr>
      </xdr:nvPicPr>
      <xdr:blipFill>
        <a:blip xmlns:r="http://schemas.openxmlformats.org/officeDocument/2006/relationships" r:embed="rId6"/>
        <a:stretch>
          <a:fillRect/>
        </a:stretch>
      </xdr:blipFill>
      <xdr:spPr>
        <a:xfrm>
          <a:off x="60960" y="22623780"/>
          <a:ext cx="9662691" cy="48072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297180</xdr:colOff>
      <xdr:row>20</xdr:row>
      <xdr:rowOff>0</xdr:rowOff>
    </xdr:from>
    <xdr:to>
      <xdr:col>17</xdr:col>
      <xdr:colOff>297180</xdr:colOff>
      <xdr:row>34</xdr:row>
      <xdr:rowOff>76200</xdr:rowOff>
    </xdr:to>
    <xdr:sp macro="" textlink="">
      <xdr:nvSpPr>
        <xdr:cNvPr id="2" name="Textfeld 1">
          <a:extLst>
            <a:ext uri="{FF2B5EF4-FFF2-40B4-BE49-F238E27FC236}">
              <a16:creationId xmlns:a16="http://schemas.microsoft.com/office/drawing/2014/main" id="{0F91F626-D606-8C4C-F471-3B9B5A56A470}"/>
            </a:ext>
          </a:extLst>
        </xdr:cNvPr>
        <xdr:cNvSpPr txBox="1"/>
      </xdr:nvSpPr>
      <xdr:spPr>
        <a:xfrm>
          <a:off x="11391900" y="3672840"/>
          <a:ext cx="2377440" cy="2636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Beachte!</a:t>
          </a:r>
        </a:p>
        <a:p>
          <a:endParaRPr lang="de-DE" sz="1100"/>
        </a:p>
        <a:p>
          <a:r>
            <a:rPr lang="de-DE" sz="1100"/>
            <a:t>Eigentlich</a:t>
          </a:r>
          <a:r>
            <a:rPr lang="de-DE" sz="1100" baseline="0"/>
            <a:t> muss für eine saubere Analyse der SOC nicht auf die Theoretische Entladekapazität der zelle sondern auf die bei zustand erreichbare referenziert werden, heißt 100% bei 30A sind nicht 3Ah sondern ca. 2,55Ah dies führt allerdings zu einem massiven aufwand wenn die daten aus der tabelle extrahiert werden sollen, daher sollte dies durchgeführt werden wenn eigene  messdaten vorliegen</a:t>
          </a:r>
          <a:endParaRPr lang="de-DE" sz="1100"/>
        </a:p>
      </xdr:txBody>
    </xdr:sp>
    <xdr:clientData/>
  </xdr:twoCellAnchor>
  <xdr:twoCellAnchor editAs="oneCell">
    <xdr:from>
      <xdr:col>0</xdr:col>
      <xdr:colOff>0</xdr:colOff>
      <xdr:row>19</xdr:row>
      <xdr:rowOff>96852</xdr:rowOff>
    </xdr:from>
    <xdr:to>
      <xdr:col>14</xdr:col>
      <xdr:colOff>115241</xdr:colOff>
      <xdr:row>50</xdr:row>
      <xdr:rowOff>2176</xdr:rowOff>
    </xdr:to>
    <xdr:pic>
      <xdr:nvPicPr>
        <xdr:cNvPr id="4" name="Grafik 3">
          <a:extLst>
            <a:ext uri="{FF2B5EF4-FFF2-40B4-BE49-F238E27FC236}">
              <a16:creationId xmlns:a16="http://schemas.microsoft.com/office/drawing/2014/main" id="{B676C58B-B156-4CD0-E223-796BE4D42573}"/>
            </a:ext>
          </a:extLst>
        </xdr:cNvPr>
        <xdr:cNvPicPr>
          <a:picLocks noChangeAspect="1"/>
        </xdr:cNvPicPr>
      </xdr:nvPicPr>
      <xdr:blipFill>
        <a:blip xmlns:r="http://schemas.openxmlformats.org/officeDocument/2006/relationships" r:embed="rId1"/>
        <a:stretch>
          <a:fillRect/>
        </a:stretch>
      </xdr:blipFill>
      <xdr:spPr>
        <a:xfrm>
          <a:off x="0" y="3586812"/>
          <a:ext cx="11209961" cy="55746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EDC70-6C3A-457F-94EA-893EC9102BD4}">
  <dimension ref="B1:R22"/>
  <sheetViews>
    <sheetView topLeftCell="C1" zoomScale="160" zoomScaleNormal="160" workbookViewId="0">
      <selection activeCell="U11" sqref="U11"/>
    </sheetView>
  </sheetViews>
  <sheetFormatPr baseColWidth="10" defaultColWidth="8.88671875" defaultRowHeight="14.4" x14ac:dyDescent="0.3"/>
  <cols>
    <col min="2" max="2" width="15.44140625" customWidth="1"/>
    <col min="3" max="3" width="5.109375" customWidth="1"/>
    <col min="4" max="5" width="9.88671875" customWidth="1"/>
    <col min="6" max="6" width="18.21875" customWidth="1"/>
    <col min="7" max="7" width="8" bestFit="1" customWidth="1"/>
    <col min="8" max="8" width="4.77734375" bestFit="1" customWidth="1"/>
    <col min="9" max="9" width="5.21875" bestFit="1" customWidth="1"/>
    <col min="10" max="10" width="5.21875" customWidth="1"/>
    <col min="11" max="11" width="5" customWidth="1"/>
    <col min="12" max="12" width="8.44140625" customWidth="1"/>
    <col min="13" max="13" width="6.33203125" customWidth="1"/>
    <col min="14" max="14" width="16" customWidth="1"/>
    <col min="15" max="15" width="7.44140625" customWidth="1"/>
    <col min="16" max="16" width="7.5546875" customWidth="1"/>
    <col min="17" max="17" width="8.5546875" customWidth="1"/>
    <col min="18" max="18" width="10" customWidth="1"/>
  </cols>
  <sheetData>
    <row r="1" spans="2:18" ht="15" thickBot="1" x14ac:dyDescent="0.35">
      <c r="B1" s="123" t="s">
        <v>142</v>
      </c>
      <c r="C1" s="124"/>
      <c r="D1" s="124"/>
      <c r="E1" s="124"/>
      <c r="F1" s="124"/>
      <c r="G1" s="124"/>
      <c r="H1" s="124"/>
      <c r="I1" s="124"/>
      <c r="J1" s="124"/>
      <c r="K1" s="124"/>
      <c r="L1" s="124"/>
      <c r="M1" s="124"/>
      <c r="N1" s="124"/>
      <c r="O1" s="125"/>
      <c r="P1" s="123" t="s">
        <v>215</v>
      </c>
      <c r="Q1" s="124"/>
      <c r="R1" s="125"/>
    </row>
    <row r="2" spans="2:18" x14ac:dyDescent="0.3">
      <c r="B2" s="38" t="s">
        <v>144</v>
      </c>
      <c r="C2" s="22" t="s">
        <v>145</v>
      </c>
      <c r="D2" s="126" t="s">
        <v>146</v>
      </c>
      <c r="E2" s="126" t="s">
        <v>147</v>
      </c>
      <c r="F2" s="22" t="s">
        <v>206</v>
      </c>
      <c r="G2" s="129" t="s">
        <v>232</v>
      </c>
      <c r="H2" s="129"/>
      <c r="I2" s="129"/>
      <c r="J2" s="129"/>
      <c r="K2" s="129"/>
      <c r="L2" s="22" t="s">
        <v>218</v>
      </c>
      <c r="M2" s="22" t="s">
        <v>220</v>
      </c>
      <c r="N2" s="22" t="s">
        <v>143</v>
      </c>
      <c r="O2" s="43" t="s">
        <v>222</v>
      </c>
      <c r="P2" s="39" t="s">
        <v>224</v>
      </c>
      <c r="Q2" t="s">
        <v>226</v>
      </c>
      <c r="R2" s="40" t="s">
        <v>228</v>
      </c>
    </row>
    <row r="3" spans="2:18" x14ac:dyDescent="0.3">
      <c r="B3" s="39"/>
      <c r="D3" s="127"/>
      <c r="E3" s="127"/>
      <c r="F3" s="127" t="s">
        <v>214</v>
      </c>
      <c r="G3" s="46" t="s">
        <v>233</v>
      </c>
      <c r="H3" s="46" t="s">
        <v>234</v>
      </c>
      <c r="I3" t="s">
        <v>235</v>
      </c>
      <c r="J3" t="s">
        <v>237</v>
      </c>
      <c r="K3" t="s">
        <v>236</v>
      </c>
      <c r="O3" s="40"/>
      <c r="P3" s="39"/>
      <c r="R3" s="40" t="s">
        <v>230</v>
      </c>
    </row>
    <row r="4" spans="2:18" ht="15" thickBot="1" x14ac:dyDescent="0.35">
      <c r="B4" s="44"/>
      <c r="C4" s="41"/>
      <c r="D4" s="41"/>
      <c r="E4" s="54"/>
      <c r="F4" s="128"/>
      <c r="G4" s="41" t="s">
        <v>217</v>
      </c>
      <c r="H4" s="41" t="s">
        <v>217</v>
      </c>
      <c r="I4" s="41" t="s">
        <v>217</v>
      </c>
      <c r="J4" s="41" t="s">
        <v>217</v>
      </c>
      <c r="K4" s="41" t="s">
        <v>217</v>
      </c>
      <c r="L4" s="41" t="s">
        <v>219</v>
      </c>
      <c r="M4" s="41" t="s">
        <v>221</v>
      </c>
      <c r="N4" s="41"/>
      <c r="O4" s="42" t="s">
        <v>223</v>
      </c>
      <c r="P4" s="44" t="s">
        <v>225</v>
      </c>
      <c r="Q4" s="41" t="s">
        <v>227</v>
      </c>
      <c r="R4" s="42" t="s">
        <v>229</v>
      </c>
    </row>
    <row r="5" spans="2:18" x14ac:dyDescent="0.3">
      <c r="B5" s="39" t="s">
        <v>149</v>
      </c>
      <c r="C5">
        <v>2019</v>
      </c>
      <c r="D5">
        <v>4</v>
      </c>
      <c r="E5">
        <v>1</v>
      </c>
      <c r="F5">
        <v>1</v>
      </c>
      <c r="G5">
        <v>102</v>
      </c>
      <c r="H5">
        <v>129</v>
      </c>
      <c r="I5">
        <f>G5+H5</f>
        <v>231</v>
      </c>
      <c r="J5">
        <f>I5-68</f>
        <v>163</v>
      </c>
      <c r="K5" s="2">
        <f>G5/I5</f>
        <v>0.44155844155844154</v>
      </c>
      <c r="L5">
        <v>7.02</v>
      </c>
      <c r="M5">
        <v>600</v>
      </c>
      <c r="N5" t="s">
        <v>148</v>
      </c>
      <c r="O5" s="40">
        <f>4*32</f>
        <v>128</v>
      </c>
      <c r="P5" s="60">
        <f t="shared" ref="P5:P20" si="0">IF(O5&gt;=80,80,O5)/I5</f>
        <v>0.34632034632034631</v>
      </c>
      <c r="Q5" s="61">
        <f t="shared" ref="Q5:Q20" si="1">L5/I5</f>
        <v>3.0389610389610387E-2</v>
      </c>
      <c r="R5" s="62">
        <f t="shared" ref="R5:R20" si="2">L5/IF(O5&gt;=80,80,O5)</f>
        <v>8.7749999999999995E-2</v>
      </c>
    </row>
    <row r="6" spans="2:18" x14ac:dyDescent="0.3">
      <c r="B6" s="39" t="s">
        <v>151</v>
      </c>
      <c r="C6">
        <v>2019</v>
      </c>
      <c r="D6">
        <v>28</v>
      </c>
      <c r="E6">
        <v>0</v>
      </c>
      <c r="F6">
        <v>0</v>
      </c>
      <c r="G6">
        <v>109</v>
      </c>
      <c r="H6">
        <v>135</v>
      </c>
      <c r="I6">
        <f t="shared" ref="I6:I20" si="3">G6+H6</f>
        <v>244</v>
      </c>
      <c r="J6">
        <f t="shared" ref="J6:J20" si="4">I6-68</f>
        <v>176</v>
      </c>
      <c r="K6" s="2">
        <f t="shared" ref="K6:K22" si="5">G6/I6</f>
        <v>0.44672131147540983</v>
      </c>
      <c r="L6">
        <v>6.5259999999999998</v>
      </c>
      <c r="M6">
        <v>588</v>
      </c>
      <c r="N6" t="s">
        <v>150</v>
      </c>
      <c r="O6" s="40">
        <f>2*36</f>
        <v>72</v>
      </c>
      <c r="P6" s="55">
        <f t="shared" si="0"/>
        <v>0.29508196721311475</v>
      </c>
      <c r="Q6" s="4">
        <f t="shared" si="1"/>
        <v>2.6745901639344261E-2</v>
      </c>
      <c r="R6" s="57">
        <f t="shared" si="2"/>
        <v>9.063888888888888E-2</v>
      </c>
    </row>
    <row r="7" spans="2:18" x14ac:dyDescent="0.3">
      <c r="B7" s="39" t="s">
        <v>152</v>
      </c>
      <c r="C7">
        <v>2019</v>
      </c>
      <c r="D7">
        <v>33</v>
      </c>
      <c r="E7">
        <v>0</v>
      </c>
      <c r="F7">
        <v>0</v>
      </c>
      <c r="G7">
        <v>135</v>
      </c>
      <c r="H7">
        <v>135</v>
      </c>
      <c r="I7">
        <f t="shared" si="3"/>
        <v>270</v>
      </c>
      <c r="J7">
        <f t="shared" si="4"/>
        <v>202</v>
      </c>
      <c r="K7" s="2">
        <f t="shared" si="5"/>
        <v>0.5</v>
      </c>
      <c r="L7">
        <v>7</v>
      </c>
      <c r="M7">
        <v>600</v>
      </c>
      <c r="N7" t="s">
        <v>148</v>
      </c>
      <c r="O7" s="40">
        <v>70</v>
      </c>
      <c r="P7" s="55">
        <f t="shared" si="0"/>
        <v>0.25925925925925924</v>
      </c>
      <c r="Q7" s="4">
        <f t="shared" si="1"/>
        <v>2.5925925925925925E-2</v>
      </c>
      <c r="R7" s="57">
        <f t="shared" si="2"/>
        <v>0.1</v>
      </c>
    </row>
    <row r="8" spans="2:18" x14ac:dyDescent="0.3">
      <c r="B8" s="39" t="s">
        <v>154</v>
      </c>
      <c r="C8">
        <v>2019</v>
      </c>
      <c r="D8">
        <v>32</v>
      </c>
      <c r="E8">
        <v>0</v>
      </c>
      <c r="F8">
        <v>0</v>
      </c>
      <c r="G8">
        <v>122</v>
      </c>
      <c r="H8">
        <v>148</v>
      </c>
      <c r="I8">
        <f t="shared" si="3"/>
        <v>270</v>
      </c>
      <c r="J8">
        <f t="shared" si="4"/>
        <v>202</v>
      </c>
      <c r="K8" s="2">
        <f t="shared" si="5"/>
        <v>0.45185185185185184</v>
      </c>
      <c r="L8">
        <v>7.24</v>
      </c>
      <c r="M8">
        <v>452</v>
      </c>
      <c r="N8" t="s">
        <v>153</v>
      </c>
      <c r="O8" s="40">
        <v>75</v>
      </c>
      <c r="P8" s="55">
        <f t="shared" si="0"/>
        <v>0.27777777777777779</v>
      </c>
      <c r="Q8" s="4">
        <f t="shared" si="1"/>
        <v>2.6814814814814816E-2</v>
      </c>
      <c r="R8" s="57">
        <f t="shared" si="2"/>
        <v>9.6533333333333332E-2</v>
      </c>
    </row>
    <row r="9" spans="2:18" x14ac:dyDescent="0.3">
      <c r="B9" s="39" t="s">
        <v>156</v>
      </c>
      <c r="C9">
        <v>2019</v>
      </c>
      <c r="D9">
        <v>26</v>
      </c>
      <c r="E9">
        <v>0</v>
      </c>
      <c r="F9">
        <v>0</v>
      </c>
      <c r="G9">
        <v>126</v>
      </c>
      <c r="H9">
        <v>137</v>
      </c>
      <c r="I9">
        <f t="shared" si="3"/>
        <v>263</v>
      </c>
      <c r="J9">
        <f t="shared" si="4"/>
        <v>195</v>
      </c>
      <c r="K9" s="2">
        <f t="shared" si="5"/>
        <v>0.47908745247148288</v>
      </c>
      <c r="L9">
        <v>7.98</v>
      </c>
      <c r="M9">
        <v>600</v>
      </c>
      <c r="N9" t="s">
        <v>155</v>
      </c>
      <c r="O9" s="40">
        <f>4*35.3</f>
        <v>141.19999999999999</v>
      </c>
      <c r="P9" s="55">
        <f t="shared" si="0"/>
        <v>0.30418250950570341</v>
      </c>
      <c r="Q9" s="4">
        <f t="shared" si="1"/>
        <v>3.0342205323193917E-2</v>
      </c>
      <c r="R9" s="57">
        <f t="shared" si="2"/>
        <v>9.9750000000000005E-2</v>
      </c>
    </row>
    <row r="10" spans="2:18" x14ac:dyDescent="0.3">
      <c r="B10" s="39" t="s">
        <v>157</v>
      </c>
      <c r="C10">
        <v>2019</v>
      </c>
      <c r="D10">
        <v>16</v>
      </c>
      <c r="E10">
        <v>0</v>
      </c>
      <c r="F10">
        <v>0</v>
      </c>
      <c r="G10">
        <v>137</v>
      </c>
      <c r="H10">
        <v>148</v>
      </c>
      <c r="I10">
        <f t="shared" si="3"/>
        <v>285</v>
      </c>
      <c r="J10">
        <f t="shared" si="4"/>
        <v>217</v>
      </c>
      <c r="K10" s="2">
        <f t="shared" si="5"/>
        <v>0.48070175438596491</v>
      </c>
      <c r="L10">
        <v>6.84</v>
      </c>
      <c r="M10">
        <v>588</v>
      </c>
      <c r="N10" t="s">
        <v>148</v>
      </c>
      <c r="O10" s="40">
        <f>4*35</f>
        <v>140</v>
      </c>
      <c r="P10" s="55">
        <f t="shared" si="0"/>
        <v>0.2807017543859649</v>
      </c>
      <c r="Q10" s="4">
        <f t="shared" si="1"/>
        <v>2.4E-2</v>
      </c>
      <c r="R10" s="57">
        <f t="shared" si="2"/>
        <v>8.5499999999999993E-2</v>
      </c>
    </row>
    <row r="11" spans="2:18" x14ac:dyDescent="0.3">
      <c r="B11" s="39" t="s">
        <v>158</v>
      </c>
      <c r="C11">
        <v>2019</v>
      </c>
      <c r="D11">
        <v>15</v>
      </c>
      <c r="E11">
        <v>0</v>
      </c>
      <c r="F11">
        <v>0</v>
      </c>
      <c r="G11">
        <v>139</v>
      </c>
      <c r="H11">
        <v>139</v>
      </c>
      <c r="I11">
        <f t="shared" si="3"/>
        <v>278</v>
      </c>
      <c r="J11">
        <f t="shared" si="4"/>
        <v>210</v>
      </c>
      <c r="K11" s="2">
        <f t="shared" si="5"/>
        <v>0.5</v>
      </c>
      <c r="L11">
        <v>5.8</v>
      </c>
      <c r="M11">
        <v>443</v>
      </c>
      <c r="N11" t="s">
        <v>148</v>
      </c>
      <c r="O11" s="40">
        <f>4*52</f>
        <v>208</v>
      </c>
      <c r="P11" s="55">
        <f t="shared" si="0"/>
        <v>0.28776978417266186</v>
      </c>
      <c r="Q11" s="4">
        <f t="shared" si="1"/>
        <v>2.0863309352517984E-2</v>
      </c>
      <c r="R11" s="57">
        <f t="shared" si="2"/>
        <v>7.2499999999999995E-2</v>
      </c>
    </row>
    <row r="12" spans="2:18" x14ac:dyDescent="0.3">
      <c r="B12" s="39" t="s">
        <v>160</v>
      </c>
      <c r="C12">
        <v>2019</v>
      </c>
      <c r="D12">
        <v>11</v>
      </c>
      <c r="E12">
        <v>0</v>
      </c>
      <c r="F12">
        <v>0</v>
      </c>
      <c r="G12">
        <v>114</v>
      </c>
      <c r="H12">
        <v>122</v>
      </c>
      <c r="I12">
        <f t="shared" si="3"/>
        <v>236</v>
      </c>
      <c r="J12">
        <f t="shared" si="4"/>
        <v>168</v>
      </c>
      <c r="K12" s="2">
        <f t="shared" si="5"/>
        <v>0.48305084745762711</v>
      </c>
      <c r="L12">
        <v>6.8</v>
      </c>
      <c r="M12">
        <v>588</v>
      </c>
      <c r="N12" t="s">
        <v>159</v>
      </c>
      <c r="O12" s="40">
        <f>35*4</f>
        <v>140</v>
      </c>
      <c r="P12" s="55">
        <f t="shared" si="0"/>
        <v>0.33898305084745761</v>
      </c>
      <c r="Q12" s="4">
        <f t="shared" si="1"/>
        <v>2.8813559322033899E-2</v>
      </c>
      <c r="R12" s="57">
        <f t="shared" si="2"/>
        <v>8.4999999999999992E-2</v>
      </c>
    </row>
    <row r="13" spans="2:18" x14ac:dyDescent="0.3">
      <c r="B13" s="39" t="s">
        <v>161</v>
      </c>
      <c r="C13">
        <v>2019</v>
      </c>
      <c r="D13">
        <v>5</v>
      </c>
      <c r="E13">
        <v>1</v>
      </c>
      <c r="F13">
        <v>1</v>
      </c>
      <c r="G13">
        <v>123</v>
      </c>
      <c r="H13">
        <v>145</v>
      </c>
      <c r="I13">
        <f t="shared" si="3"/>
        <v>268</v>
      </c>
      <c r="J13">
        <f t="shared" si="4"/>
        <v>200</v>
      </c>
      <c r="K13" s="2">
        <f t="shared" si="5"/>
        <v>0.45895522388059701</v>
      </c>
      <c r="L13">
        <v>7</v>
      </c>
      <c r="M13">
        <v>400</v>
      </c>
      <c r="N13" t="s">
        <v>148</v>
      </c>
      <c r="O13" s="40">
        <v>120</v>
      </c>
      <c r="P13" s="55">
        <f t="shared" si="0"/>
        <v>0.29850746268656714</v>
      </c>
      <c r="Q13" s="4">
        <f t="shared" si="1"/>
        <v>2.6119402985074626E-2</v>
      </c>
      <c r="R13" s="57">
        <f t="shared" si="2"/>
        <v>8.7499999999999994E-2</v>
      </c>
    </row>
    <row r="14" spans="2:18" x14ac:dyDescent="0.3">
      <c r="B14" s="39" t="s">
        <v>163</v>
      </c>
      <c r="C14">
        <v>2019</v>
      </c>
      <c r="D14">
        <v>3</v>
      </c>
      <c r="E14">
        <v>1</v>
      </c>
      <c r="F14">
        <v>0</v>
      </c>
      <c r="G14">
        <v>130</v>
      </c>
      <c r="H14">
        <v>135</v>
      </c>
      <c r="I14">
        <f t="shared" si="3"/>
        <v>265</v>
      </c>
      <c r="J14">
        <f t="shared" si="4"/>
        <v>197</v>
      </c>
      <c r="K14" s="2">
        <f t="shared" si="5"/>
        <v>0.49056603773584906</v>
      </c>
      <c r="L14">
        <v>6.88</v>
      </c>
      <c r="M14">
        <v>395</v>
      </c>
      <c r="N14" t="s">
        <v>162</v>
      </c>
      <c r="O14" s="40">
        <v>101.4</v>
      </c>
      <c r="P14" s="55">
        <f t="shared" si="0"/>
        <v>0.30188679245283018</v>
      </c>
      <c r="Q14" s="4">
        <f t="shared" si="1"/>
        <v>2.5962264150943395E-2</v>
      </c>
      <c r="R14" s="57">
        <f t="shared" si="2"/>
        <v>8.5999999999999993E-2</v>
      </c>
    </row>
    <row r="15" spans="2:18" x14ac:dyDescent="0.3">
      <c r="B15" s="39" t="s">
        <v>165</v>
      </c>
      <c r="C15">
        <v>2019</v>
      </c>
      <c r="D15">
        <v>21</v>
      </c>
      <c r="E15">
        <v>0</v>
      </c>
      <c r="F15">
        <v>0</v>
      </c>
      <c r="G15">
        <v>128</v>
      </c>
      <c r="H15">
        <v>130</v>
      </c>
      <c r="I15">
        <f t="shared" si="3"/>
        <v>258</v>
      </c>
      <c r="J15">
        <f t="shared" si="4"/>
        <v>190</v>
      </c>
      <c r="K15" s="2">
        <f t="shared" si="5"/>
        <v>0.49612403100775193</v>
      </c>
      <c r="L15">
        <v>7.62</v>
      </c>
      <c r="M15">
        <v>454</v>
      </c>
      <c r="N15" t="s">
        <v>164</v>
      </c>
      <c r="O15" s="40">
        <v>80</v>
      </c>
      <c r="P15" s="55">
        <f t="shared" si="0"/>
        <v>0.31007751937984496</v>
      </c>
      <c r="Q15" s="4">
        <f t="shared" si="1"/>
        <v>2.9534883720930234E-2</v>
      </c>
      <c r="R15" s="57">
        <f t="shared" si="2"/>
        <v>9.5250000000000001E-2</v>
      </c>
    </row>
    <row r="16" spans="2:18" x14ac:dyDescent="0.3">
      <c r="B16" s="39" t="s">
        <v>167</v>
      </c>
      <c r="C16">
        <v>2019</v>
      </c>
      <c r="D16">
        <v>18</v>
      </c>
      <c r="E16">
        <v>0</v>
      </c>
      <c r="F16">
        <v>0</v>
      </c>
      <c r="G16">
        <v>122</v>
      </c>
      <c r="H16">
        <v>147</v>
      </c>
      <c r="I16">
        <f t="shared" si="3"/>
        <v>269</v>
      </c>
      <c r="J16">
        <f t="shared" si="4"/>
        <v>201</v>
      </c>
      <c r="K16" s="2">
        <f t="shared" si="5"/>
        <v>0.45353159851301117</v>
      </c>
      <c r="L16">
        <v>7.03</v>
      </c>
      <c r="M16">
        <v>598</v>
      </c>
      <c r="N16" t="s">
        <v>166</v>
      </c>
      <c r="O16" s="40">
        <f>2*37</f>
        <v>74</v>
      </c>
      <c r="P16" s="55">
        <f t="shared" si="0"/>
        <v>0.27509293680297398</v>
      </c>
      <c r="Q16" s="4">
        <f t="shared" si="1"/>
        <v>2.613382899628253E-2</v>
      </c>
      <c r="R16" s="57">
        <f t="shared" si="2"/>
        <v>9.5000000000000001E-2</v>
      </c>
    </row>
    <row r="17" spans="2:18" x14ac:dyDescent="0.3">
      <c r="B17" s="39" t="s">
        <v>168</v>
      </c>
      <c r="C17">
        <v>2019</v>
      </c>
      <c r="D17">
        <v>35</v>
      </c>
      <c r="E17">
        <v>1</v>
      </c>
      <c r="F17">
        <v>0</v>
      </c>
      <c r="G17">
        <v>152</v>
      </c>
      <c r="H17">
        <v>168</v>
      </c>
      <c r="I17">
        <f t="shared" si="3"/>
        <v>320</v>
      </c>
      <c r="J17">
        <f t="shared" si="4"/>
        <v>252</v>
      </c>
      <c r="K17" s="2">
        <f t="shared" si="5"/>
        <v>0.47499999999999998</v>
      </c>
      <c r="L17">
        <v>7.28</v>
      </c>
      <c r="M17">
        <v>504</v>
      </c>
      <c r="N17" t="s">
        <v>148</v>
      </c>
      <c r="O17" s="40">
        <v>160</v>
      </c>
      <c r="P17" s="55">
        <f t="shared" si="0"/>
        <v>0.25</v>
      </c>
      <c r="Q17" s="4">
        <f t="shared" si="1"/>
        <v>2.2749999999999999E-2</v>
      </c>
      <c r="R17" s="57">
        <f t="shared" si="2"/>
        <v>9.0999999999999998E-2</v>
      </c>
    </row>
    <row r="18" spans="2:18" x14ac:dyDescent="0.3">
      <c r="B18" s="39" t="s">
        <v>169</v>
      </c>
      <c r="C18">
        <v>2019</v>
      </c>
      <c r="D18">
        <v>2</v>
      </c>
      <c r="E18">
        <v>1</v>
      </c>
      <c r="F18">
        <v>1</v>
      </c>
      <c r="G18">
        <v>119</v>
      </c>
      <c r="H18">
        <v>118</v>
      </c>
      <c r="I18">
        <f t="shared" si="3"/>
        <v>237</v>
      </c>
      <c r="J18">
        <f t="shared" si="4"/>
        <v>169</v>
      </c>
      <c r="K18" s="2">
        <f t="shared" si="5"/>
        <v>0.50210970464135019</v>
      </c>
      <c r="L18">
        <v>7.34</v>
      </c>
      <c r="M18">
        <v>600</v>
      </c>
      <c r="N18" t="s">
        <v>155</v>
      </c>
      <c r="O18" s="40">
        <f>26.7*4</f>
        <v>106.8</v>
      </c>
      <c r="P18" s="55">
        <f t="shared" si="0"/>
        <v>0.33755274261603374</v>
      </c>
      <c r="Q18" s="4">
        <f t="shared" si="1"/>
        <v>3.0970464135021098E-2</v>
      </c>
      <c r="R18" s="57">
        <f t="shared" si="2"/>
        <v>9.1749999999999998E-2</v>
      </c>
    </row>
    <row r="19" spans="2:18" x14ac:dyDescent="0.3">
      <c r="B19" s="39" t="s">
        <v>171</v>
      </c>
      <c r="C19">
        <v>2019</v>
      </c>
      <c r="D19">
        <v>27</v>
      </c>
      <c r="E19">
        <v>0</v>
      </c>
      <c r="F19">
        <v>0</v>
      </c>
      <c r="G19">
        <v>130</v>
      </c>
      <c r="H19">
        <v>153</v>
      </c>
      <c r="I19">
        <f t="shared" si="3"/>
        <v>283</v>
      </c>
      <c r="J19">
        <f t="shared" si="4"/>
        <v>215</v>
      </c>
      <c r="K19" s="2">
        <f t="shared" si="5"/>
        <v>0.45936395759717313</v>
      </c>
      <c r="L19">
        <v>12.096</v>
      </c>
      <c r="M19">
        <v>600</v>
      </c>
      <c r="N19" t="s">
        <v>170</v>
      </c>
      <c r="O19" s="40">
        <f>41*4</f>
        <v>164</v>
      </c>
      <c r="P19" s="55">
        <f t="shared" si="0"/>
        <v>0.28268551236749118</v>
      </c>
      <c r="Q19" s="4">
        <f t="shared" si="1"/>
        <v>4.2742049469964662E-2</v>
      </c>
      <c r="R19" s="57">
        <f t="shared" si="2"/>
        <v>0.1512</v>
      </c>
    </row>
    <row r="20" spans="2:18" ht="15" thickBot="1" x14ac:dyDescent="0.35">
      <c r="B20" s="49" t="s">
        <v>172</v>
      </c>
      <c r="C20" s="50">
        <v>2019</v>
      </c>
      <c r="D20" s="50">
        <v>29</v>
      </c>
      <c r="E20" s="50">
        <v>0</v>
      </c>
      <c r="F20" s="50">
        <v>0</v>
      </c>
      <c r="G20" s="50">
        <v>127</v>
      </c>
      <c r="H20" s="50">
        <v>127</v>
      </c>
      <c r="I20" s="50">
        <f t="shared" si="3"/>
        <v>254</v>
      </c>
      <c r="J20" s="50">
        <f t="shared" si="4"/>
        <v>186</v>
      </c>
      <c r="K20" s="51">
        <f t="shared" si="5"/>
        <v>0.5</v>
      </c>
      <c r="L20" s="50">
        <v>6.5</v>
      </c>
      <c r="M20" s="50">
        <v>600</v>
      </c>
      <c r="N20" s="50" t="s">
        <v>148</v>
      </c>
      <c r="O20" s="53">
        <f>4*35.4</f>
        <v>141.6</v>
      </c>
      <c r="P20" s="56">
        <f t="shared" si="0"/>
        <v>0.31496062992125984</v>
      </c>
      <c r="Q20" s="52">
        <f t="shared" si="1"/>
        <v>2.5590551181102362E-2</v>
      </c>
      <c r="R20" s="53">
        <f t="shared" si="2"/>
        <v>8.1250000000000003E-2</v>
      </c>
    </row>
    <row r="21" spans="2:18" ht="15" thickTop="1" x14ac:dyDescent="0.3">
      <c r="B21" s="39"/>
      <c r="F21" t="s">
        <v>216</v>
      </c>
      <c r="G21" s="64">
        <f t="shared" ref="G21:H21" si="6">SUM(G5:G20)/COUNT(G5:G20)</f>
        <v>125.9375</v>
      </c>
      <c r="H21" s="64">
        <f t="shared" si="6"/>
        <v>138.5</v>
      </c>
      <c r="I21" s="64">
        <f>SUM(I5:I20)/COUNT(I5:I20)</f>
        <v>264.4375</v>
      </c>
      <c r="J21" s="64">
        <f t="shared" ref="J21" si="7">SUM(J5:J20)/COUNT(J5:J20)</f>
        <v>196.4375</v>
      </c>
      <c r="K21" s="2">
        <f>G21/I21</f>
        <v>0.47624675017726303</v>
      </c>
      <c r="L21">
        <f>SUM(L5:L20)/COUNT(L5:L20)</f>
        <v>7.3095000000000008</v>
      </c>
      <c r="M21">
        <f>SUM(M5:M20)/COUNT(M5:M20)</f>
        <v>538.125</v>
      </c>
      <c r="O21" s="40">
        <f>SUM(O5:O20)/COUNT(O5:O20)</f>
        <v>120.125</v>
      </c>
      <c r="P21" s="55">
        <f>SUM(P5:P20)/COUNT(P5:P20)</f>
        <v>0.29755250285683049</v>
      </c>
      <c r="Q21" s="4">
        <f>SUM(Q5:Q20)/COUNT(Q5:Q20)</f>
        <v>2.7731173212922504E-2</v>
      </c>
      <c r="R21" s="57">
        <f>SUM(R5:R20)/COUNT(R5:R20)</f>
        <v>9.3538888888888894E-2</v>
      </c>
    </row>
    <row r="22" spans="2:18" ht="15" thickBot="1" x14ac:dyDescent="0.35">
      <c r="B22" s="44" t="s">
        <v>231</v>
      </c>
      <c r="C22" s="41">
        <v>2021</v>
      </c>
      <c r="D22" s="41"/>
      <c r="E22" s="41"/>
      <c r="F22" s="41"/>
      <c r="G22" s="41">
        <v>135</v>
      </c>
      <c r="H22" s="41">
        <v>170</v>
      </c>
      <c r="I22" s="41">
        <f>G22+H22</f>
        <v>305</v>
      </c>
      <c r="J22" s="41">
        <f>I22-68</f>
        <v>237</v>
      </c>
      <c r="K22" s="41">
        <f t="shared" si="5"/>
        <v>0.44262295081967212</v>
      </c>
      <c r="L22" s="41">
        <v>7.5</v>
      </c>
      <c r="M22" s="41">
        <v>570</v>
      </c>
      <c r="N22" s="41"/>
      <c r="O22" s="42">
        <v>80</v>
      </c>
      <c r="P22" s="58">
        <f>IF(O22&gt;=80,80,O22)/I22</f>
        <v>0.26229508196721313</v>
      </c>
      <c r="Q22" s="48">
        <f>L22/I22</f>
        <v>2.4590163934426229E-2</v>
      </c>
      <c r="R22" s="59">
        <f>L22/IF(O22&gt;=80,80,O22)</f>
        <v>9.375E-2</v>
      </c>
    </row>
  </sheetData>
  <mergeCells count="6">
    <mergeCell ref="B1:O1"/>
    <mergeCell ref="P1:R1"/>
    <mergeCell ref="E2:E3"/>
    <mergeCell ref="F3:F4"/>
    <mergeCell ref="D2:D3"/>
    <mergeCell ref="G2:K2"/>
  </mergeCells>
  <conditionalFormatting sqref="D5:D20">
    <cfRule type="colorScale" priority="15">
      <colorScale>
        <cfvo type="min"/>
        <cfvo type="percentile" val="50"/>
        <cfvo type="max"/>
        <color rgb="FF63BE7B"/>
        <color rgb="FFFFEB84"/>
        <color rgb="FFF8696B"/>
      </colorScale>
    </cfRule>
  </conditionalFormatting>
  <conditionalFormatting sqref="L5:L20">
    <cfRule type="colorScale" priority="13">
      <colorScale>
        <cfvo type="min"/>
        <cfvo type="percentile" val="50"/>
        <cfvo type="max"/>
        <color rgb="FFF8696B"/>
        <color rgb="FFFFEB84"/>
        <color rgb="FF63BE7B"/>
      </colorScale>
    </cfRule>
  </conditionalFormatting>
  <conditionalFormatting sqref="M5:M20">
    <cfRule type="colorScale" priority="12">
      <colorScale>
        <cfvo type="min"/>
        <cfvo type="percentile" val="50"/>
        <cfvo type="max"/>
        <color rgb="FFF8696B"/>
        <color rgb="FFFFEB84"/>
        <color rgb="FF63BE7B"/>
      </colorScale>
    </cfRule>
  </conditionalFormatting>
  <conditionalFormatting sqref="O5:O20">
    <cfRule type="colorScale" priority="11">
      <colorScale>
        <cfvo type="min"/>
        <cfvo type="percentile" val="50"/>
        <cfvo type="max"/>
        <color rgb="FFF8696B"/>
        <color rgb="FFFFEB84"/>
        <color rgb="FF63BE7B"/>
      </colorScale>
    </cfRule>
  </conditionalFormatting>
  <conditionalFormatting sqref="P5:P22">
    <cfRule type="colorScale" priority="4">
      <colorScale>
        <cfvo type="min"/>
        <cfvo type="percentile" val="50"/>
        <cfvo type="max"/>
        <color rgb="FFF8696B"/>
        <color rgb="FFFFEB84"/>
        <color rgb="FF63BE7B"/>
      </colorScale>
    </cfRule>
  </conditionalFormatting>
  <conditionalFormatting sqref="Q5:Q22">
    <cfRule type="colorScale" priority="5">
      <colorScale>
        <cfvo type="min"/>
        <cfvo type="percentile" val="50"/>
        <cfvo type="max"/>
        <color rgb="FFF8696B"/>
        <color rgb="FFFFEB84"/>
        <color rgb="FF63BE7B"/>
      </colorScale>
    </cfRule>
  </conditionalFormatting>
  <conditionalFormatting sqref="R5:R22">
    <cfRule type="colorScale" priority="6">
      <colorScale>
        <cfvo type="min"/>
        <cfvo type="percentile" val="50"/>
        <cfvo type="max"/>
        <color rgb="FFF8696B"/>
        <color rgb="FFFFEB84"/>
        <color rgb="FF63BE7B"/>
      </colorScale>
    </cfRule>
  </conditionalFormatting>
  <conditionalFormatting sqref="J5:J20 J22">
    <cfRule type="colorScale" priority="3">
      <colorScale>
        <cfvo type="min"/>
        <cfvo type="percentile" val="50"/>
        <cfvo type="max"/>
        <color rgb="FFF8696B"/>
        <color rgb="FFFFEB84"/>
        <color rgb="FF63BE7B"/>
      </colorScale>
    </cfRule>
  </conditionalFormatting>
  <conditionalFormatting sqref="J5:J22">
    <cfRule type="colorScale" priority="2">
      <colorScale>
        <cfvo type="min"/>
        <cfvo type="percentile" val="50"/>
        <cfvo type="max"/>
        <color rgb="FFF8696B"/>
        <color rgb="FFFFEB84"/>
        <color rgb="FF63BE7B"/>
      </colorScale>
    </cfRule>
  </conditionalFormatting>
  <conditionalFormatting sqref="J5:J22">
    <cfRule type="colorScale" priority="175">
      <colorScale>
        <cfvo type="min"/>
        <cfvo type="percentile" val="50"/>
        <cfvo type="max"/>
        <color rgb="FF63BE7B"/>
        <color rgb="FFFFEB84"/>
        <color rgb="FFF8696B"/>
      </colorScale>
    </cfRule>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8032F-0997-4262-8E52-ED8039B70175}">
  <dimension ref="A1:U82"/>
  <sheetViews>
    <sheetView tabSelected="1" topLeftCell="C1" zoomScaleNormal="100" workbookViewId="0">
      <selection activeCell="S62" sqref="S62"/>
    </sheetView>
  </sheetViews>
  <sheetFormatPr baseColWidth="10" defaultRowHeight="14.4" x14ac:dyDescent="0.3"/>
  <cols>
    <col min="1" max="1" width="17.21875" customWidth="1"/>
    <col min="2" max="2" width="26.109375" customWidth="1"/>
    <col min="4" max="7" width="12.6640625" bestFit="1" customWidth="1"/>
    <col min="8" max="11" width="12.6640625" customWidth="1"/>
    <col min="12" max="20" width="12.6640625" bestFit="1" customWidth="1"/>
    <col min="21" max="21" width="14.21875" customWidth="1"/>
  </cols>
  <sheetData>
    <row r="1" spans="1:21" ht="15" thickBot="1" x14ac:dyDescent="0.35">
      <c r="B1" s="99" t="s">
        <v>265</v>
      </c>
      <c r="C1" s="129" t="s">
        <v>173</v>
      </c>
      <c r="D1" s="129"/>
      <c r="E1" s="129"/>
      <c r="F1" s="129"/>
      <c r="G1" s="129"/>
      <c r="L1" s="129"/>
      <c r="M1" s="129"/>
      <c r="N1" s="129"/>
      <c r="O1" s="129"/>
      <c r="P1" s="129"/>
      <c r="Q1" s="129"/>
      <c r="R1" s="129"/>
      <c r="S1" s="129"/>
      <c r="T1" s="133"/>
      <c r="U1" s="3"/>
    </row>
    <row r="2" spans="1:21" x14ac:dyDescent="0.3">
      <c r="A2" s="135" t="s">
        <v>244</v>
      </c>
      <c r="B2" s="38" t="s">
        <v>197</v>
      </c>
      <c r="C2" s="38" t="s">
        <v>198</v>
      </c>
      <c r="D2" s="22" t="s">
        <v>174</v>
      </c>
      <c r="E2" s="22" t="s">
        <v>175</v>
      </c>
      <c r="F2" s="22" t="s">
        <v>176</v>
      </c>
      <c r="G2" s="22" t="s">
        <v>177</v>
      </c>
      <c r="H2" s="70" t="s">
        <v>187</v>
      </c>
      <c r="I2" s="74" t="s">
        <v>188</v>
      </c>
      <c r="J2" s="74" t="s">
        <v>189</v>
      </c>
      <c r="K2" s="74" t="s">
        <v>190</v>
      </c>
      <c r="L2" s="22" t="s">
        <v>178</v>
      </c>
      <c r="M2" s="22" t="s">
        <v>179</v>
      </c>
      <c r="N2" s="22" t="s">
        <v>180</v>
      </c>
      <c r="O2" s="22" t="s">
        <v>181</v>
      </c>
      <c r="P2" s="22" t="s">
        <v>182</v>
      </c>
      <c r="Q2" s="22" t="s">
        <v>183</v>
      </c>
      <c r="R2" s="22" t="s">
        <v>184</v>
      </c>
      <c r="S2" s="22" t="s">
        <v>185</v>
      </c>
      <c r="T2" s="43" t="s">
        <v>186</v>
      </c>
    </row>
    <row r="3" spans="1:21" x14ac:dyDescent="0.3">
      <c r="A3" s="136"/>
      <c r="B3" s="39" t="s">
        <v>239</v>
      </c>
      <c r="C3" s="98">
        <v>3.6</v>
      </c>
      <c r="D3" s="99">
        <v>3.6</v>
      </c>
      <c r="E3" s="99">
        <v>3.6</v>
      </c>
      <c r="F3" s="99">
        <v>3.6</v>
      </c>
      <c r="G3" s="99">
        <v>3.6</v>
      </c>
      <c r="H3" s="99">
        <v>3.6</v>
      </c>
      <c r="I3" s="99">
        <v>3.6</v>
      </c>
      <c r="J3" s="99">
        <v>3.6</v>
      </c>
      <c r="K3" s="99">
        <v>3.6</v>
      </c>
      <c r="L3" s="99">
        <v>3.2</v>
      </c>
      <c r="M3" s="99">
        <v>3.2</v>
      </c>
      <c r="N3" s="99">
        <v>3.2</v>
      </c>
      <c r="O3" s="99">
        <v>3.2</v>
      </c>
      <c r="P3" s="99">
        <v>3.2</v>
      </c>
      <c r="Q3" s="99">
        <v>3.6</v>
      </c>
      <c r="R3" s="99">
        <v>3.6</v>
      </c>
      <c r="S3" s="99">
        <v>3.6</v>
      </c>
      <c r="T3" s="100">
        <v>3.6</v>
      </c>
    </row>
    <row r="4" spans="1:21" x14ac:dyDescent="0.3">
      <c r="A4" s="136"/>
      <c r="B4" s="39" t="s">
        <v>238</v>
      </c>
      <c r="C4" s="98">
        <v>4.2</v>
      </c>
      <c r="D4" s="99">
        <v>4.2</v>
      </c>
      <c r="E4" s="99">
        <v>4.2</v>
      </c>
      <c r="F4" s="99">
        <v>4.2</v>
      </c>
      <c r="G4" s="99">
        <v>4.2</v>
      </c>
      <c r="H4" s="99">
        <v>4.2</v>
      </c>
      <c r="I4" s="99">
        <v>4.2</v>
      </c>
      <c r="J4" s="99">
        <v>4.2</v>
      </c>
      <c r="K4" s="99">
        <v>4.2</v>
      </c>
      <c r="L4" s="99">
        <v>3.6</v>
      </c>
      <c r="M4" s="99">
        <v>3.6</v>
      </c>
      <c r="N4" s="99">
        <v>3.6</v>
      </c>
      <c r="O4" s="99">
        <v>3.6</v>
      </c>
      <c r="P4" s="99">
        <v>3.6</v>
      </c>
      <c r="Q4" s="99">
        <v>4.2</v>
      </c>
      <c r="R4" s="99">
        <v>4.2</v>
      </c>
      <c r="S4" s="99">
        <v>4.2</v>
      </c>
      <c r="T4" s="100">
        <v>4.2</v>
      </c>
    </row>
    <row r="5" spans="1:21" x14ac:dyDescent="0.3">
      <c r="A5" s="136"/>
      <c r="B5" s="39" t="s">
        <v>199</v>
      </c>
      <c r="C5" s="98">
        <v>186</v>
      </c>
      <c r="D5" s="99">
        <v>232</v>
      </c>
      <c r="E5" s="99">
        <v>280</v>
      </c>
      <c r="F5" s="99">
        <v>360</v>
      </c>
      <c r="G5" s="99">
        <v>225</v>
      </c>
      <c r="H5" s="99">
        <v>40</v>
      </c>
      <c r="I5" s="99">
        <v>100</v>
      </c>
      <c r="J5" s="99">
        <v>35</v>
      </c>
      <c r="K5" s="99">
        <v>20</v>
      </c>
      <c r="L5" s="99">
        <v>120</v>
      </c>
      <c r="M5" s="99">
        <v>150</v>
      </c>
      <c r="N5" s="99">
        <v>480</v>
      </c>
      <c r="O5" s="99">
        <v>30</v>
      </c>
      <c r="P5" s="99">
        <v>200</v>
      </c>
      <c r="Q5" s="99">
        <v>30</v>
      </c>
      <c r="R5" s="99">
        <v>30</v>
      </c>
      <c r="S5" s="99">
        <v>45</v>
      </c>
      <c r="T5" s="100">
        <v>30</v>
      </c>
    </row>
    <row r="6" spans="1:21" x14ac:dyDescent="0.3">
      <c r="A6" s="136"/>
      <c r="B6" s="39" t="s">
        <v>200</v>
      </c>
      <c r="C6" s="98">
        <v>62</v>
      </c>
      <c r="D6" s="99">
        <v>155</v>
      </c>
      <c r="E6" s="99">
        <v>180</v>
      </c>
      <c r="F6" s="99">
        <v>200</v>
      </c>
      <c r="G6" s="99">
        <v>62.5</v>
      </c>
      <c r="H6" s="99">
        <v>20</v>
      </c>
      <c r="I6" s="99">
        <v>20</v>
      </c>
      <c r="J6" s="99">
        <v>25</v>
      </c>
      <c r="K6" s="99">
        <v>15</v>
      </c>
      <c r="L6" s="99">
        <v>50</v>
      </c>
      <c r="M6" s="99">
        <v>75</v>
      </c>
      <c r="N6" s="99">
        <v>240</v>
      </c>
      <c r="O6" s="99">
        <v>25</v>
      </c>
      <c r="P6" s="99">
        <v>150</v>
      </c>
      <c r="Q6" s="99">
        <v>20</v>
      </c>
      <c r="R6" s="99">
        <v>15</v>
      </c>
      <c r="S6" s="99">
        <v>35</v>
      </c>
      <c r="T6" s="100">
        <v>20</v>
      </c>
    </row>
    <row r="7" spans="1:21" x14ac:dyDescent="0.3">
      <c r="A7" s="136"/>
      <c r="B7" s="39" t="s">
        <v>201</v>
      </c>
      <c r="C7" s="98">
        <v>44.6</v>
      </c>
      <c r="D7" s="99">
        <v>55.8</v>
      </c>
      <c r="E7" s="99">
        <v>67</v>
      </c>
      <c r="F7" s="99">
        <v>75</v>
      </c>
      <c r="G7" s="99">
        <v>45</v>
      </c>
      <c r="H7" s="99">
        <v>10.8</v>
      </c>
      <c r="I7" s="99">
        <f>3.6*2.5</f>
        <v>9</v>
      </c>
      <c r="J7" s="99">
        <f>2.5*3.6</f>
        <v>9</v>
      </c>
      <c r="K7" s="99">
        <f>3.6*3</f>
        <v>10.8</v>
      </c>
      <c r="L7" s="99">
        <v>8</v>
      </c>
      <c r="M7" s="99">
        <v>8</v>
      </c>
      <c r="N7" s="99">
        <v>25.6</v>
      </c>
      <c r="O7" s="99">
        <v>3.63</v>
      </c>
      <c r="P7" s="99">
        <v>65</v>
      </c>
      <c r="Q7" s="99">
        <v>10.8</v>
      </c>
      <c r="R7" s="99">
        <v>19.8</v>
      </c>
      <c r="S7" s="99">
        <v>14.4</v>
      </c>
      <c r="T7" s="100">
        <v>9.6</v>
      </c>
    </row>
    <row r="8" spans="1:21" ht="15" thickBot="1" x14ac:dyDescent="0.35">
      <c r="A8" s="137"/>
      <c r="B8" s="44" t="s">
        <v>202</v>
      </c>
      <c r="C8" s="101">
        <v>224</v>
      </c>
      <c r="D8" s="102">
        <v>266</v>
      </c>
      <c r="E8" s="102">
        <v>323</v>
      </c>
      <c r="F8" s="102">
        <v>427</v>
      </c>
      <c r="G8" s="102">
        <v>266</v>
      </c>
      <c r="H8" s="102">
        <v>49</v>
      </c>
      <c r="I8" s="102">
        <v>45</v>
      </c>
      <c r="J8" s="102">
        <v>45</v>
      </c>
      <c r="K8" s="102">
        <v>48</v>
      </c>
      <c r="L8" s="102">
        <v>76</v>
      </c>
      <c r="M8" s="102">
        <v>75</v>
      </c>
      <c r="N8" s="102">
        <v>225</v>
      </c>
      <c r="O8" s="102">
        <v>39</v>
      </c>
      <c r="P8" s="102">
        <v>496</v>
      </c>
      <c r="Q8" s="102">
        <v>46.6</v>
      </c>
      <c r="R8" s="102">
        <v>93</v>
      </c>
      <c r="S8" s="102">
        <v>70</v>
      </c>
      <c r="T8" s="103">
        <v>86</v>
      </c>
    </row>
    <row r="9" spans="1:21" ht="15" customHeight="1" x14ac:dyDescent="0.3">
      <c r="A9" s="84"/>
      <c r="B9" s="39" t="s">
        <v>196</v>
      </c>
      <c r="C9" s="104"/>
      <c r="D9" s="104"/>
      <c r="E9" s="104"/>
      <c r="F9" s="104"/>
      <c r="G9" s="104"/>
      <c r="H9" s="104"/>
      <c r="I9" s="104"/>
      <c r="J9" s="104"/>
      <c r="K9" s="104"/>
      <c r="L9" s="104">
        <v>8.9499999999999993</v>
      </c>
      <c r="M9" s="104"/>
      <c r="N9" s="104"/>
      <c r="O9" s="104"/>
      <c r="P9" s="104">
        <v>55</v>
      </c>
      <c r="Q9" s="104">
        <v>7.45</v>
      </c>
      <c r="R9" s="104">
        <v>10.45</v>
      </c>
      <c r="S9" s="104">
        <v>3.2</v>
      </c>
      <c r="T9" s="104">
        <v>7.45</v>
      </c>
    </row>
    <row r="10" spans="1:21" ht="15" thickBot="1" x14ac:dyDescent="0.35"/>
    <row r="11" spans="1:21" ht="15" thickBot="1" x14ac:dyDescent="0.35">
      <c r="A11" s="135" t="s">
        <v>245</v>
      </c>
      <c r="B11" s="69" t="s">
        <v>272</v>
      </c>
      <c r="C11" s="91">
        <v>60000</v>
      </c>
      <c r="D11" s="3"/>
      <c r="E11" s="3"/>
      <c r="F11" s="3"/>
      <c r="G11" s="3"/>
      <c r="H11" s="3"/>
      <c r="I11" s="3"/>
      <c r="J11" s="3"/>
      <c r="K11" s="3"/>
      <c r="L11" s="3"/>
      <c r="M11" s="3"/>
      <c r="N11" s="3"/>
      <c r="O11" s="3"/>
    </row>
    <row r="12" spans="1:21" x14ac:dyDescent="0.3">
      <c r="A12" s="136"/>
      <c r="B12" s="70" t="s">
        <v>204</v>
      </c>
      <c r="C12" s="66">
        <f t="shared" ref="C12:T12" si="0">$C11/(C6*C4)</f>
        <v>230.41474654377876</v>
      </c>
      <c r="D12" s="65">
        <f t="shared" si="0"/>
        <v>92.165898617511516</v>
      </c>
      <c r="E12" s="65">
        <f t="shared" si="0"/>
        <v>79.365079365079367</v>
      </c>
      <c r="F12" s="65">
        <f t="shared" si="0"/>
        <v>71.428571428571431</v>
      </c>
      <c r="G12" s="65">
        <f t="shared" si="0"/>
        <v>228.57142857142858</v>
      </c>
      <c r="H12" s="65">
        <f t="shared" ref="H12:K12" si="1">$C11/(H6*H4)</f>
        <v>714.28571428571433</v>
      </c>
      <c r="I12" s="65">
        <f t="shared" si="1"/>
        <v>714.28571428571433</v>
      </c>
      <c r="J12" s="65">
        <f t="shared" si="1"/>
        <v>571.42857142857144</v>
      </c>
      <c r="K12" s="65">
        <f t="shared" si="1"/>
        <v>952.38095238095241</v>
      </c>
      <c r="L12" s="65">
        <f t="shared" si="0"/>
        <v>333.33333333333331</v>
      </c>
      <c r="M12" s="65">
        <f t="shared" si="0"/>
        <v>222.22222222222223</v>
      </c>
      <c r="N12" s="65">
        <f t="shared" si="0"/>
        <v>69.444444444444443</v>
      </c>
      <c r="O12" s="65">
        <f t="shared" si="0"/>
        <v>666.66666666666663</v>
      </c>
      <c r="P12" s="65">
        <f t="shared" si="0"/>
        <v>111.11111111111111</v>
      </c>
      <c r="Q12" s="65">
        <f t="shared" si="0"/>
        <v>714.28571428571433</v>
      </c>
      <c r="R12" s="65">
        <f t="shared" si="0"/>
        <v>952.38095238095241</v>
      </c>
      <c r="S12" s="65">
        <f t="shared" si="0"/>
        <v>408.16326530612247</v>
      </c>
      <c r="T12" s="66">
        <f t="shared" si="0"/>
        <v>714.28571428571433</v>
      </c>
      <c r="U12" s="13"/>
    </row>
    <row r="13" spans="1:21" ht="15" thickBot="1" x14ac:dyDescent="0.35">
      <c r="A13" s="136"/>
      <c r="B13" s="71" t="s">
        <v>203</v>
      </c>
      <c r="C13" s="67">
        <f t="shared" ref="C13:T13" si="2">C12*C8/1000</f>
        <v>51.612903225806441</v>
      </c>
      <c r="D13" s="47">
        <f t="shared" si="2"/>
        <v>24.516129032258064</v>
      </c>
      <c r="E13" s="47">
        <f t="shared" si="2"/>
        <v>25.634920634920636</v>
      </c>
      <c r="F13" s="47">
        <f t="shared" si="2"/>
        <v>30.5</v>
      </c>
      <c r="G13" s="47">
        <f t="shared" si="2"/>
        <v>60.8</v>
      </c>
      <c r="H13" s="47">
        <f t="shared" ref="H13:K13" si="3">H12*H8/1000</f>
        <v>35</v>
      </c>
      <c r="I13" s="47">
        <f t="shared" si="3"/>
        <v>32.142857142857146</v>
      </c>
      <c r="J13" s="47">
        <f t="shared" si="3"/>
        <v>25.714285714285715</v>
      </c>
      <c r="K13" s="47">
        <f t="shared" si="3"/>
        <v>45.714285714285715</v>
      </c>
      <c r="L13" s="47">
        <f t="shared" si="2"/>
        <v>25.333333333333332</v>
      </c>
      <c r="M13" s="47">
        <f t="shared" si="2"/>
        <v>16.666666666666668</v>
      </c>
      <c r="N13" s="47">
        <f t="shared" si="2"/>
        <v>15.625</v>
      </c>
      <c r="O13" s="47">
        <f t="shared" si="2"/>
        <v>26</v>
      </c>
      <c r="P13" s="47">
        <f t="shared" si="2"/>
        <v>55.111111111111107</v>
      </c>
      <c r="Q13" s="47">
        <f t="shared" si="2"/>
        <v>33.285714285714292</v>
      </c>
      <c r="R13" s="47">
        <f t="shared" si="2"/>
        <v>88.571428571428584</v>
      </c>
      <c r="S13" s="47">
        <f t="shared" si="2"/>
        <v>28.571428571428573</v>
      </c>
      <c r="T13" s="67">
        <f t="shared" si="2"/>
        <v>61.428571428571438</v>
      </c>
    </row>
    <row r="14" spans="1:21" ht="15" thickBot="1" x14ac:dyDescent="0.35">
      <c r="A14" s="136"/>
      <c r="B14" s="72" t="s">
        <v>250</v>
      </c>
      <c r="C14" s="92">
        <v>570</v>
      </c>
      <c r="D14" s="3"/>
      <c r="E14" s="3"/>
      <c r="F14" s="3"/>
      <c r="G14" s="3"/>
      <c r="H14" s="3"/>
      <c r="I14" s="3"/>
      <c r="J14" s="3"/>
      <c r="K14" s="3"/>
      <c r="L14" s="3"/>
      <c r="M14" s="3"/>
      <c r="N14" s="3"/>
      <c r="O14" s="3"/>
      <c r="P14" s="3"/>
      <c r="Q14" s="3"/>
      <c r="R14" s="3"/>
      <c r="S14" s="3"/>
      <c r="T14" s="3"/>
    </row>
    <row r="15" spans="1:21" x14ac:dyDescent="0.3">
      <c r="A15" s="136"/>
      <c r="B15" s="70" t="s">
        <v>251</v>
      </c>
      <c r="C15" s="75">
        <f>ROUNDDOWN($C14/C4,0)</f>
        <v>135</v>
      </c>
      <c r="D15" s="90">
        <f t="shared" ref="D15:T15" si="4">ROUNDDOWN($C14/D4,0)</f>
        <v>135</v>
      </c>
      <c r="E15" s="75">
        <f t="shared" si="4"/>
        <v>135</v>
      </c>
      <c r="F15" s="75">
        <f t="shared" si="4"/>
        <v>135</v>
      </c>
      <c r="G15" s="75">
        <f t="shared" si="4"/>
        <v>135</v>
      </c>
      <c r="H15" s="75">
        <f t="shared" ref="H15:K15" si="5">ROUNDDOWN($C14/H4,0)</f>
        <v>135</v>
      </c>
      <c r="I15" s="75">
        <f t="shared" si="5"/>
        <v>135</v>
      </c>
      <c r="J15" s="75">
        <f t="shared" si="5"/>
        <v>135</v>
      </c>
      <c r="K15" s="75">
        <f t="shared" si="5"/>
        <v>135</v>
      </c>
      <c r="L15" s="75">
        <f t="shared" si="4"/>
        <v>158</v>
      </c>
      <c r="M15" s="75">
        <f t="shared" si="4"/>
        <v>158</v>
      </c>
      <c r="N15" s="75">
        <f t="shared" si="4"/>
        <v>158</v>
      </c>
      <c r="O15" s="75">
        <f t="shared" si="4"/>
        <v>158</v>
      </c>
      <c r="P15" s="75">
        <f t="shared" si="4"/>
        <v>158</v>
      </c>
      <c r="Q15" s="75">
        <f t="shared" si="4"/>
        <v>135</v>
      </c>
      <c r="R15" s="75">
        <f t="shared" si="4"/>
        <v>135</v>
      </c>
      <c r="S15" s="75">
        <f t="shared" si="4"/>
        <v>135</v>
      </c>
      <c r="T15" s="76">
        <f t="shared" si="4"/>
        <v>135</v>
      </c>
      <c r="U15" s="14"/>
    </row>
    <row r="16" spans="1:21" ht="15" thickBot="1" x14ac:dyDescent="0.35">
      <c r="A16" s="136"/>
      <c r="B16" s="71" t="s">
        <v>203</v>
      </c>
      <c r="C16" s="47">
        <f t="shared" ref="C16:T16" si="6">C15*C8/1000</f>
        <v>30.24</v>
      </c>
      <c r="D16" s="58">
        <f t="shared" si="6"/>
        <v>35.909999999999997</v>
      </c>
      <c r="E16" s="47">
        <f t="shared" si="6"/>
        <v>43.604999999999997</v>
      </c>
      <c r="F16" s="47">
        <f t="shared" si="6"/>
        <v>57.645000000000003</v>
      </c>
      <c r="G16" s="47">
        <f t="shared" si="6"/>
        <v>35.909999999999997</v>
      </c>
      <c r="H16" s="47">
        <f t="shared" ref="H16:K16" si="7">H15*H8/1000</f>
        <v>6.6150000000000002</v>
      </c>
      <c r="I16" s="47">
        <f t="shared" si="7"/>
        <v>6.0750000000000002</v>
      </c>
      <c r="J16" s="47">
        <f t="shared" si="7"/>
        <v>6.0750000000000002</v>
      </c>
      <c r="K16" s="47">
        <f t="shared" si="7"/>
        <v>6.48</v>
      </c>
      <c r="L16" s="47">
        <f t="shared" si="6"/>
        <v>12.007999999999999</v>
      </c>
      <c r="M16" s="47">
        <f t="shared" si="6"/>
        <v>11.85</v>
      </c>
      <c r="N16" s="47">
        <f t="shared" si="6"/>
        <v>35.549999999999997</v>
      </c>
      <c r="O16" s="47">
        <f t="shared" si="6"/>
        <v>6.1619999999999999</v>
      </c>
      <c r="P16" s="47">
        <f t="shared" si="6"/>
        <v>78.367999999999995</v>
      </c>
      <c r="Q16" s="47">
        <f t="shared" si="6"/>
        <v>6.2910000000000004</v>
      </c>
      <c r="R16" s="47">
        <f t="shared" si="6"/>
        <v>12.555</v>
      </c>
      <c r="S16" s="47">
        <f t="shared" si="6"/>
        <v>9.4499999999999993</v>
      </c>
      <c r="T16" s="67">
        <f t="shared" si="6"/>
        <v>11.61</v>
      </c>
    </row>
    <row r="17" spans="1:20" ht="15" thickBot="1" x14ac:dyDescent="0.35">
      <c r="A17" s="136"/>
      <c r="B17" s="72" t="s">
        <v>273</v>
      </c>
      <c r="C17" s="92">
        <v>7500</v>
      </c>
      <c r="D17" s="3"/>
      <c r="E17" s="3"/>
      <c r="F17" s="3"/>
      <c r="G17" s="3"/>
      <c r="H17" s="3"/>
      <c r="I17" s="3"/>
      <c r="J17" s="3"/>
      <c r="K17" s="3"/>
      <c r="L17" s="3"/>
      <c r="M17" s="3"/>
      <c r="N17" s="3"/>
      <c r="O17" s="3"/>
    </row>
    <row r="18" spans="1:20" x14ac:dyDescent="0.3">
      <c r="A18" s="136"/>
      <c r="B18" s="70" t="s">
        <v>204</v>
      </c>
      <c r="C18" s="66">
        <f t="shared" ref="C18:T18" si="8">$C17/(C7)</f>
        <v>168.16143497757847</v>
      </c>
      <c r="D18" s="65">
        <f t="shared" si="8"/>
        <v>134.40860215053763</v>
      </c>
      <c r="E18" s="65">
        <f t="shared" si="8"/>
        <v>111.94029850746269</v>
      </c>
      <c r="F18" s="65">
        <f t="shared" si="8"/>
        <v>100</v>
      </c>
      <c r="G18" s="65">
        <f t="shared" si="8"/>
        <v>166.66666666666666</v>
      </c>
      <c r="H18" s="65">
        <f t="shared" ref="H18:K18" si="9">$C17/(H7)</f>
        <v>694.44444444444434</v>
      </c>
      <c r="I18" s="65">
        <f t="shared" si="9"/>
        <v>833.33333333333337</v>
      </c>
      <c r="J18" s="65">
        <f t="shared" si="9"/>
        <v>833.33333333333337</v>
      </c>
      <c r="K18" s="65">
        <f t="shared" si="9"/>
        <v>694.44444444444434</v>
      </c>
      <c r="L18" s="65">
        <f t="shared" si="8"/>
        <v>937.5</v>
      </c>
      <c r="M18" s="65">
        <f t="shared" si="8"/>
        <v>937.5</v>
      </c>
      <c r="N18" s="65">
        <f t="shared" si="8"/>
        <v>292.96875</v>
      </c>
      <c r="O18" s="65">
        <f t="shared" si="8"/>
        <v>2066.1157024793388</v>
      </c>
      <c r="P18" s="65">
        <f t="shared" si="8"/>
        <v>115.38461538461539</v>
      </c>
      <c r="Q18" s="65">
        <f t="shared" si="8"/>
        <v>694.44444444444434</v>
      </c>
      <c r="R18" s="65">
        <f t="shared" si="8"/>
        <v>378.78787878787875</v>
      </c>
      <c r="S18" s="65">
        <f t="shared" si="8"/>
        <v>520.83333333333337</v>
      </c>
      <c r="T18" s="66">
        <f t="shared" si="8"/>
        <v>781.25</v>
      </c>
    </row>
    <row r="19" spans="1:20" ht="15" thickBot="1" x14ac:dyDescent="0.35">
      <c r="A19" s="136"/>
      <c r="B19" s="71" t="s">
        <v>203</v>
      </c>
      <c r="C19" s="67">
        <f t="shared" ref="C19:T19" si="10">C18*C8/1000</f>
        <v>37.668161434977577</v>
      </c>
      <c r="D19" s="47">
        <f t="shared" si="10"/>
        <v>35.752688172043008</v>
      </c>
      <c r="E19" s="47">
        <f t="shared" si="10"/>
        <v>36.156716417910445</v>
      </c>
      <c r="F19" s="47">
        <f t="shared" si="10"/>
        <v>42.7</v>
      </c>
      <c r="G19" s="47">
        <f t="shared" si="10"/>
        <v>44.333333333333329</v>
      </c>
      <c r="H19" s="47">
        <f t="shared" ref="H19:K19" si="11">H18*H8/1000</f>
        <v>34.027777777777771</v>
      </c>
      <c r="I19" s="47">
        <f t="shared" si="11"/>
        <v>37.5</v>
      </c>
      <c r="J19" s="47">
        <f t="shared" si="11"/>
        <v>37.5</v>
      </c>
      <c r="K19" s="47">
        <f t="shared" si="11"/>
        <v>33.333333333333329</v>
      </c>
      <c r="L19" s="47">
        <f t="shared" si="10"/>
        <v>71.25</v>
      </c>
      <c r="M19" s="47">
        <f t="shared" si="10"/>
        <v>70.3125</v>
      </c>
      <c r="N19" s="47">
        <f t="shared" si="10"/>
        <v>65.91796875</v>
      </c>
      <c r="O19" s="47">
        <f t="shared" si="10"/>
        <v>80.578512396694222</v>
      </c>
      <c r="P19" s="47">
        <f t="shared" si="10"/>
        <v>57.230769230769234</v>
      </c>
      <c r="Q19" s="47">
        <f t="shared" si="10"/>
        <v>32.361111111111107</v>
      </c>
      <c r="R19" s="47">
        <f t="shared" si="10"/>
        <v>35.22727272727272</v>
      </c>
      <c r="S19" s="47">
        <f t="shared" si="10"/>
        <v>36.458333333333336</v>
      </c>
      <c r="T19" s="67">
        <f t="shared" si="10"/>
        <v>67.1875</v>
      </c>
    </row>
    <row r="20" spans="1:20" ht="15" thickBot="1" x14ac:dyDescent="0.35">
      <c r="A20" s="136"/>
      <c r="B20" s="72" t="s">
        <v>274</v>
      </c>
      <c r="C20" s="92">
        <v>90000</v>
      </c>
      <c r="D20" s="3"/>
      <c r="E20" s="3"/>
      <c r="F20" s="3"/>
      <c r="G20" s="3"/>
      <c r="H20" s="3"/>
      <c r="I20" s="3"/>
      <c r="J20" s="3"/>
      <c r="K20" s="3"/>
      <c r="L20" s="3"/>
      <c r="M20" s="3"/>
      <c r="N20" s="3"/>
      <c r="O20" s="3"/>
    </row>
    <row r="21" spans="1:20" x14ac:dyDescent="0.3">
      <c r="A21" s="136"/>
      <c r="B21" s="70" t="s">
        <v>204</v>
      </c>
      <c r="C21" s="66">
        <f t="shared" ref="C21:T21" si="12">$C20/(C5*C4)</f>
        <v>115.2073732718894</v>
      </c>
      <c r="D21" s="65">
        <f t="shared" si="12"/>
        <v>92.364532019704427</v>
      </c>
      <c r="E21" s="65">
        <f t="shared" si="12"/>
        <v>76.530612244897952</v>
      </c>
      <c r="F21" s="65">
        <f t="shared" si="12"/>
        <v>59.523809523809526</v>
      </c>
      <c r="G21" s="65">
        <f t="shared" si="12"/>
        <v>95.238095238095241</v>
      </c>
      <c r="H21" s="65">
        <f t="shared" ref="H21:K21" si="13">$C20/(H5*H4)</f>
        <v>535.71428571428567</v>
      </c>
      <c r="I21" s="65">
        <f t="shared" si="13"/>
        <v>214.28571428571428</v>
      </c>
      <c r="J21" s="65">
        <f t="shared" si="13"/>
        <v>612.24489795918362</v>
      </c>
      <c r="K21" s="65">
        <f t="shared" si="13"/>
        <v>1071.4285714285713</v>
      </c>
      <c r="L21" s="65">
        <f t="shared" si="12"/>
        <v>208.33333333333334</v>
      </c>
      <c r="M21" s="65">
        <f t="shared" si="12"/>
        <v>166.66666666666666</v>
      </c>
      <c r="N21" s="65">
        <f t="shared" si="12"/>
        <v>52.083333333333336</v>
      </c>
      <c r="O21" s="65">
        <f t="shared" si="12"/>
        <v>833.33333333333337</v>
      </c>
      <c r="P21" s="65">
        <f t="shared" si="12"/>
        <v>125</v>
      </c>
      <c r="Q21" s="65">
        <f t="shared" si="12"/>
        <v>714.28571428571433</v>
      </c>
      <c r="R21" s="65">
        <f t="shared" si="12"/>
        <v>714.28571428571433</v>
      </c>
      <c r="S21" s="65">
        <f t="shared" si="12"/>
        <v>476.1904761904762</v>
      </c>
      <c r="T21" s="66">
        <f t="shared" si="12"/>
        <v>714.28571428571433</v>
      </c>
    </row>
    <row r="22" spans="1:20" ht="15" thickBot="1" x14ac:dyDescent="0.35">
      <c r="A22" s="137"/>
      <c r="B22" s="71" t="s">
        <v>203</v>
      </c>
      <c r="C22" s="67">
        <f t="shared" ref="C22:T22" si="14">C8*C21/1000</f>
        <v>25.806451612903224</v>
      </c>
      <c r="D22" s="47">
        <f t="shared" si="14"/>
        <v>24.568965517241377</v>
      </c>
      <c r="E22" s="47">
        <f t="shared" si="14"/>
        <v>24.719387755102037</v>
      </c>
      <c r="F22" s="47">
        <f t="shared" si="14"/>
        <v>25.416666666666668</v>
      </c>
      <c r="G22" s="47">
        <f t="shared" si="14"/>
        <v>25.333333333333336</v>
      </c>
      <c r="H22" s="47">
        <f t="shared" ref="H22:K22" si="15">H8*H21/1000</f>
        <v>26.249999999999996</v>
      </c>
      <c r="I22" s="47">
        <f t="shared" si="15"/>
        <v>9.6428571428571423</v>
      </c>
      <c r="J22" s="47">
        <f t="shared" si="15"/>
        <v>27.551020408163261</v>
      </c>
      <c r="K22" s="47">
        <f t="shared" si="15"/>
        <v>51.428571428571423</v>
      </c>
      <c r="L22" s="47">
        <f t="shared" si="14"/>
        <v>15.833333333333334</v>
      </c>
      <c r="M22" s="47">
        <f t="shared" si="14"/>
        <v>12.5</v>
      </c>
      <c r="N22" s="47">
        <f t="shared" si="14"/>
        <v>11.71875</v>
      </c>
      <c r="O22" s="47">
        <f t="shared" si="14"/>
        <v>32.5</v>
      </c>
      <c r="P22" s="47">
        <f t="shared" si="14"/>
        <v>62</v>
      </c>
      <c r="Q22" s="47">
        <f t="shared" si="14"/>
        <v>33.285714285714292</v>
      </c>
      <c r="R22" s="47">
        <f t="shared" si="14"/>
        <v>66.428571428571431</v>
      </c>
      <c r="S22" s="47">
        <f t="shared" si="14"/>
        <v>33.333333333333336</v>
      </c>
      <c r="T22" s="67">
        <f t="shared" si="14"/>
        <v>61.428571428571438</v>
      </c>
    </row>
    <row r="23" spans="1:20" ht="15" thickBot="1" x14ac:dyDescent="0.35"/>
    <row r="24" spans="1:20" x14ac:dyDescent="0.3">
      <c r="A24" s="130" t="s">
        <v>246</v>
      </c>
      <c r="B24" s="38" t="s">
        <v>205</v>
      </c>
      <c r="C24" s="79">
        <f t="shared" ref="C24:T24" si="16">MAX(C21,C18,C15,C12)</f>
        <v>230.41474654377876</v>
      </c>
      <c r="D24" s="79">
        <f t="shared" si="16"/>
        <v>135</v>
      </c>
      <c r="E24" s="79">
        <f t="shared" si="16"/>
        <v>135</v>
      </c>
      <c r="F24" s="79">
        <f t="shared" si="16"/>
        <v>135</v>
      </c>
      <c r="G24" s="79">
        <f t="shared" si="16"/>
        <v>228.57142857142858</v>
      </c>
      <c r="H24" s="79">
        <f t="shared" ref="H24:K24" si="17">MAX(H21,H18,H15,H12)</f>
        <v>714.28571428571433</v>
      </c>
      <c r="I24" s="79">
        <f t="shared" si="17"/>
        <v>833.33333333333337</v>
      </c>
      <c r="J24" s="79">
        <f t="shared" si="17"/>
        <v>833.33333333333337</v>
      </c>
      <c r="K24" s="79">
        <f t="shared" si="17"/>
        <v>1071.4285714285713</v>
      </c>
      <c r="L24" s="79">
        <f t="shared" si="16"/>
        <v>937.5</v>
      </c>
      <c r="M24" s="79">
        <f t="shared" si="16"/>
        <v>937.5</v>
      </c>
      <c r="N24" s="79">
        <f t="shared" si="16"/>
        <v>292.96875</v>
      </c>
      <c r="O24" s="79">
        <f t="shared" si="16"/>
        <v>2066.1157024793388</v>
      </c>
      <c r="P24" s="79">
        <f t="shared" si="16"/>
        <v>158</v>
      </c>
      <c r="Q24" s="79">
        <f t="shared" si="16"/>
        <v>714.28571428571433</v>
      </c>
      <c r="R24" s="79">
        <f t="shared" si="16"/>
        <v>952.38095238095241</v>
      </c>
      <c r="S24" s="79">
        <f t="shared" si="16"/>
        <v>520.83333333333337</v>
      </c>
      <c r="T24" s="80">
        <f t="shared" si="16"/>
        <v>781.25</v>
      </c>
    </row>
    <row r="25" spans="1:20" x14ac:dyDescent="0.3">
      <c r="A25" s="131"/>
      <c r="B25" s="39" t="s">
        <v>241</v>
      </c>
      <c r="C25" s="64">
        <f>ROUND(C24,0)</f>
        <v>230</v>
      </c>
      <c r="D25" s="64">
        <f t="shared" ref="D25:T25" si="18">ROUND(D24,0)</f>
        <v>135</v>
      </c>
      <c r="E25" s="64">
        <f t="shared" si="18"/>
        <v>135</v>
      </c>
      <c r="F25" s="64">
        <f t="shared" si="18"/>
        <v>135</v>
      </c>
      <c r="G25" s="64">
        <f t="shared" si="18"/>
        <v>229</v>
      </c>
      <c r="H25" s="64">
        <f t="shared" ref="H25:K25" si="19">ROUND(H24,0)</f>
        <v>714</v>
      </c>
      <c r="I25" s="64">
        <f t="shared" si="19"/>
        <v>833</v>
      </c>
      <c r="J25" s="64">
        <f t="shared" si="19"/>
        <v>833</v>
      </c>
      <c r="K25" s="64">
        <f t="shared" si="19"/>
        <v>1071</v>
      </c>
      <c r="L25" s="64">
        <f t="shared" si="18"/>
        <v>938</v>
      </c>
      <c r="M25" s="64">
        <f t="shared" si="18"/>
        <v>938</v>
      </c>
      <c r="N25" s="64">
        <f t="shared" si="18"/>
        <v>293</v>
      </c>
      <c r="O25" s="64">
        <f t="shared" si="18"/>
        <v>2066</v>
      </c>
      <c r="P25" s="64">
        <f t="shared" si="18"/>
        <v>158</v>
      </c>
      <c r="Q25" s="64">
        <f>ROUND(Q24,0)</f>
        <v>714</v>
      </c>
      <c r="R25" s="64">
        <f t="shared" si="18"/>
        <v>952</v>
      </c>
      <c r="S25" s="64">
        <f t="shared" si="18"/>
        <v>521</v>
      </c>
      <c r="T25" s="73">
        <f t="shared" si="18"/>
        <v>781</v>
      </c>
    </row>
    <row r="26" spans="1:20" x14ac:dyDescent="0.3">
      <c r="A26" s="131"/>
      <c r="B26" s="39" t="s">
        <v>247</v>
      </c>
      <c r="C26" s="63">
        <f t="shared" ref="C26:P26" si="20">IF(C25/C29&gt;C15,C15,C25/C29)</f>
        <v>115</v>
      </c>
      <c r="D26" s="63">
        <f t="shared" si="20"/>
        <v>135</v>
      </c>
      <c r="E26" s="63">
        <f t="shared" si="20"/>
        <v>135</v>
      </c>
      <c r="F26" s="63">
        <f t="shared" si="20"/>
        <v>135</v>
      </c>
      <c r="G26" s="63">
        <f t="shared" si="20"/>
        <v>114.5</v>
      </c>
      <c r="H26" s="63">
        <f t="shared" ref="H26:K26" si="21">IF(H25/H29&gt;H15,H15,H25/H29)</f>
        <v>135</v>
      </c>
      <c r="I26" s="63">
        <f t="shared" si="21"/>
        <v>135</v>
      </c>
      <c r="J26" s="63">
        <f t="shared" si="21"/>
        <v>135</v>
      </c>
      <c r="K26" s="63">
        <f t="shared" si="21"/>
        <v>133.875</v>
      </c>
      <c r="L26" s="63">
        <f t="shared" si="20"/>
        <v>156.33333333333334</v>
      </c>
      <c r="M26" s="63">
        <f t="shared" si="20"/>
        <v>156.33333333333334</v>
      </c>
      <c r="N26" s="63">
        <f t="shared" si="20"/>
        <v>146.5</v>
      </c>
      <c r="O26" s="63">
        <f t="shared" si="20"/>
        <v>158</v>
      </c>
      <c r="P26" s="63">
        <f t="shared" si="20"/>
        <v>158</v>
      </c>
      <c r="Q26" s="63">
        <f>IF(Q25/Q29&gt;Q15,Q15,Q25/Q29)</f>
        <v>135</v>
      </c>
      <c r="R26" s="63">
        <f t="shared" ref="R26:T26" si="22">IF(R25/R29&gt;R15,R15,R25/R29)</f>
        <v>135</v>
      </c>
      <c r="S26" s="63">
        <f t="shared" si="22"/>
        <v>130.25</v>
      </c>
      <c r="T26" s="63">
        <f t="shared" si="22"/>
        <v>130.16666666666666</v>
      </c>
    </row>
    <row r="27" spans="1:20" x14ac:dyDescent="0.3">
      <c r="A27" s="131"/>
      <c r="B27" s="39" t="s">
        <v>241</v>
      </c>
      <c r="C27" s="64">
        <f t="shared" ref="C27" si="23">ROUND(C26,0)</f>
        <v>115</v>
      </c>
      <c r="D27" s="64">
        <f t="shared" ref="D27" si="24">ROUND(D26,0)</f>
        <v>135</v>
      </c>
      <c r="E27" s="64">
        <f t="shared" ref="E27:F27" si="25">ROUND(E26,0)</f>
        <v>135</v>
      </c>
      <c r="F27" s="64">
        <f t="shared" si="25"/>
        <v>135</v>
      </c>
      <c r="G27" s="64">
        <f t="shared" ref="G27:K27" si="26">ROUND(G26,0)</f>
        <v>115</v>
      </c>
      <c r="H27" s="64">
        <f t="shared" si="26"/>
        <v>135</v>
      </c>
      <c r="I27" s="64">
        <f t="shared" si="26"/>
        <v>135</v>
      </c>
      <c r="J27" s="64">
        <f t="shared" si="26"/>
        <v>135</v>
      </c>
      <c r="K27" s="64">
        <f t="shared" si="26"/>
        <v>134</v>
      </c>
      <c r="L27" s="64">
        <f t="shared" ref="L27" si="27">ROUND(L26,0)</f>
        <v>156</v>
      </c>
      <c r="M27" s="64">
        <f t="shared" ref="M27:N27" si="28">ROUND(M26,0)</f>
        <v>156</v>
      </c>
      <c r="N27" s="64">
        <f t="shared" si="28"/>
        <v>147</v>
      </c>
      <c r="O27" s="64">
        <f t="shared" ref="O27" si="29">ROUND(O26,0)</f>
        <v>158</v>
      </c>
      <c r="P27" s="64">
        <f t="shared" ref="P27" si="30">ROUND(P26,0)</f>
        <v>158</v>
      </c>
      <c r="Q27" s="64">
        <f>ROUND(Q26,0)</f>
        <v>135</v>
      </c>
      <c r="R27" s="64">
        <f t="shared" ref="R27:T27" si="31">ROUND(R26,0)</f>
        <v>135</v>
      </c>
      <c r="S27" s="64">
        <f t="shared" si="31"/>
        <v>130</v>
      </c>
      <c r="T27" s="64">
        <f t="shared" si="31"/>
        <v>130</v>
      </c>
    </row>
    <row r="28" spans="1:20" x14ac:dyDescent="0.3">
      <c r="A28" s="131"/>
      <c r="B28" s="39" t="s">
        <v>240</v>
      </c>
      <c r="C28" s="63">
        <f t="shared" ref="C28:T28" si="32">C24/C15</f>
        <v>1.7067759003242871</v>
      </c>
      <c r="D28" s="63">
        <f t="shared" si="32"/>
        <v>1</v>
      </c>
      <c r="E28" s="63">
        <f t="shared" si="32"/>
        <v>1</v>
      </c>
      <c r="F28" s="63">
        <f t="shared" si="32"/>
        <v>1</v>
      </c>
      <c r="G28" s="63">
        <f t="shared" si="32"/>
        <v>1.6931216931216932</v>
      </c>
      <c r="H28" s="63">
        <f t="shared" ref="H28:K28" si="33">H24/H15</f>
        <v>5.2910052910052912</v>
      </c>
      <c r="I28" s="63">
        <f t="shared" si="33"/>
        <v>6.1728395061728394</v>
      </c>
      <c r="J28" s="63">
        <f t="shared" si="33"/>
        <v>6.1728395061728394</v>
      </c>
      <c r="K28" s="63">
        <f t="shared" si="33"/>
        <v>7.9365079365079358</v>
      </c>
      <c r="L28" s="63">
        <f t="shared" si="32"/>
        <v>5.9335443037974684</v>
      </c>
      <c r="M28" s="63">
        <f t="shared" si="32"/>
        <v>5.9335443037974684</v>
      </c>
      <c r="N28" s="63">
        <f t="shared" si="32"/>
        <v>1.8542325949367089</v>
      </c>
      <c r="O28" s="63">
        <f t="shared" si="32"/>
        <v>13.076681661261638</v>
      </c>
      <c r="P28" s="63">
        <f t="shared" si="32"/>
        <v>1</v>
      </c>
      <c r="Q28" s="63">
        <f t="shared" si="32"/>
        <v>5.2910052910052912</v>
      </c>
      <c r="R28" s="63">
        <f t="shared" si="32"/>
        <v>7.0546737213403885</v>
      </c>
      <c r="S28" s="63">
        <f t="shared" si="32"/>
        <v>3.8580246913580249</v>
      </c>
      <c r="T28" s="81">
        <f t="shared" si="32"/>
        <v>5.7870370370370372</v>
      </c>
    </row>
    <row r="29" spans="1:20" ht="15" thickBot="1" x14ac:dyDescent="0.35">
      <c r="A29" s="132"/>
      <c r="B29" s="44" t="s">
        <v>241</v>
      </c>
      <c r="C29" s="41">
        <f>ROUND(C28,0)</f>
        <v>2</v>
      </c>
      <c r="D29" s="41">
        <f t="shared" ref="D29:T29" si="34">ROUND(D28,0)</f>
        <v>1</v>
      </c>
      <c r="E29" s="41">
        <f t="shared" si="34"/>
        <v>1</v>
      </c>
      <c r="F29" s="41">
        <f t="shared" si="34"/>
        <v>1</v>
      </c>
      <c r="G29" s="41">
        <f t="shared" si="34"/>
        <v>2</v>
      </c>
      <c r="H29" s="41">
        <f t="shared" ref="H29:K29" si="35">ROUND(H28,0)</f>
        <v>5</v>
      </c>
      <c r="I29" s="41">
        <f t="shared" si="35"/>
        <v>6</v>
      </c>
      <c r="J29" s="41">
        <f t="shared" si="35"/>
        <v>6</v>
      </c>
      <c r="K29" s="41">
        <f t="shared" si="35"/>
        <v>8</v>
      </c>
      <c r="L29" s="41">
        <f t="shared" si="34"/>
        <v>6</v>
      </c>
      <c r="M29" s="41">
        <f t="shared" si="34"/>
        <v>6</v>
      </c>
      <c r="N29" s="41">
        <f t="shared" si="34"/>
        <v>2</v>
      </c>
      <c r="O29" s="41">
        <f t="shared" si="34"/>
        <v>13</v>
      </c>
      <c r="P29" s="41">
        <f t="shared" si="34"/>
        <v>1</v>
      </c>
      <c r="Q29" s="41">
        <f t="shared" si="34"/>
        <v>5</v>
      </c>
      <c r="R29" s="41">
        <f t="shared" si="34"/>
        <v>7</v>
      </c>
      <c r="S29" s="41">
        <f t="shared" si="34"/>
        <v>4</v>
      </c>
      <c r="T29" s="42">
        <f t="shared" si="34"/>
        <v>6</v>
      </c>
    </row>
    <row r="30" spans="1:20" ht="21.6" thickBot="1" x14ac:dyDescent="0.45">
      <c r="B30" s="134"/>
      <c r="C30" s="134"/>
      <c r="D30" s="134"/>
      <c r="E30" s="134"/>
      <c r="F30" s="134"/>
      <c r="G30" s="134"/>
      <c r="H30" s="134"/>
      <c r="I30" s="134"/>
      <c r="J30" s="134"/>
      <c r="K30" s="134"/>
      <c r="L30" s="134"/>
      <c r="M30" s="134"/>
      <c r="N30" s="134"/>
      <c r="O30" s="134"/>
      <c r="P30" s="134"/>
      <c r="Q30" s="134"/>
      <c r="R30" s="134"/>
      <c r="S30" s="134"/>
      <c r="T30" s="134"/>
    </row>
    <row r="31" spans="1:20" x14ac:dyDescent="0.3">
      <c r="A31" s="135" t="s">
        <v>257</v>
      </c>
      <c r="B31" s="70" t="s">
        <v>238</v>
      </c>
      <c r="C31" s="75">
        <f t="shared" ref="C31:T31" si="36">C27*C4</f>
        <v>483</v>
      </c>
      <c r="D31" s="75">
        <f t="shared" si="36"/>
        <v>567</v>
      </c>
      <c r="E31" s="75">
        <f t="shared" si="36"/>
        <v>567</v>
      </c>
      <c r="F31" s="75">
        <f t="shared" si="36"/>
        <v>567</v>
      </c>
      <c r="G31" s="75">
        <f t="shared" si="36"/>
        <v>483</v>
      </c>
      <c r="H31" s="75">
        <f t="shared" ref="H31:K31" si="37">H27*H4</f>
        <v>567</v>
      </c>
      <c r="I31" s="75">
        <f t="shared" si="37"/>
        <v>567</v>
      </c>
      <c r="J31" s="75">
        <f t="shared" si="37"/>
        <v>567</v>
      </c>
      <c r="K31" s="75">
        <f t="shared" si="37"/>
        <v>562.80000000000007</v>
      </c>
      <c r="L31" s="75">
        <f t="shared" si="36"/>
        <v>561.6</v>
      </c>
      <c r="M31" s="75">
        <f t="shared" si="36"/>
        <v>561.6</v>
      </c>
      <c r="N31" s="75">
        <f t="shared" si="36"/>
        <v>529.20000000000005</v>
      </c>
      <c r="O31" s="75">
        <f t="shared" si="36"/>
        <v>568.80000000000007</v>
      </c>
      <c r="P31" s="75">
        <f t="shared" si="36"/>
        <v>568.80000000000007</v>
      </c>
      <c r="Q31" s="75">
        <f t="shared" si="36"/>
        <v>567</v>
      </c>
      <c r="R31" s="75">
        <f t="shared" si="36"/>
        <v>567</v>
      </c>
      <c r="S31" s="75">
        <f t="shared" si="36"/>
        <v>546</v>
      </c>
      <c r="T31" s="76">
        <f t="shared" si="36"/>
        <v>546</v>
      </c>
    </row>
    <row r="32" spans="1:20" x14ac:dyDescent="0.3">
      <c r="A32" s="136"/>
      <c r="B32" s="74" t="s">
        <v>243</v>
      </c>
      <c r="C32" s="64">
        <f t="shared" ref="C32:T32" si="38">C25*C7</f>
        <v>10258</v>
      </c>
      <c r="D32" s="64">
        <f t="shared" si="38"/>
        <v>7533</v>
      </c>
      <c r="E32" s="64">
        <f t="shared" si="38"/>
        <v>9045</v>
      </c>
      <c r="F32" s="64">
        <f t="shared" si="38"/>
        <v>10125</v>
      </c>
      <c r="G32" s="64">
        <f t="shared" si="38"/>
        <v>10305</v>
      </c>
      <c r="H32" s="64">
        <f t="shared" ref="H32:K32" si="39">H25*H7</f>
        <v>7711.2000000000007</v>
      </c>
      <c r="I32" s="64">
        <f t="shared" si="39"/>
        <v>7497</v>
      </c>
      <c r="J32" s="64">
        <f t="shared" si="39"/>
        <v>7497</v>
      </c>
      <c r="K32" s="64">
        <f t="shared" si="39"/>
        <v>11566.800000000001</v>
      </c>
      <c r="L32" s="64">
        <f t="shared" si="38"/>
        <v>7504</v>
      </c>
      <c r="M32" s="64">
        <f t="shared" si="38"/>
        <v>7504</v>
      </c>
      <c r="N32" s="64">
        <f t="shared" si="38"/>
        <v>7500.8</v>
      </c>
      <c r="O32" s="64">
        <f t="shared" si="38"/>
        <v>7499.58</v>
      </c>
      <c r="P32" s="64">
        <f t="shared" si="38"/>
        <v>10270</v>
      </c>
      <c r="Q32" s="64">
        <f t="shared" si="38"/>
        <v>7711.2000000000007</v>
      </c>
      <c r="R32" s="64">
        <f t="shared" si="38"/>
        <v>18849.600000000002</v>
      </c>
      <c r="S32" s="64">
        <f t="shared" si="38"/>
        <v>7502.4000000000005</v>
      </c>
      <c r="T32" s="73">
        <f t="shared" si="38"/>
        <v>7497.5999999999995</v>
      </c>
    </row>
    <row r="33" spans="1:20" x14ac:dyDescent="0.3">
      <c r="A33" s="136"/>
      <c r="B33" s="74" t="s">
        <v>248</v>
      </c>
      <c r="C33" s="64">
        <f>(C32*60^2)/10^6</f>
        <v>36.928800000000003</v>
      </c>
      <c r="D33" s="64">
        <f t="shared" ref="D33:T33" si="40">(D32*60^2)/10^6</f>
        <v>27.1188</v>
      </c>
      <c r="E33" s="64">
        <f t="shared" si="40"/>
        <v>32.561999999999998</v>
      </c>
      <c r="F33" s="64">
        <f t="shared" si="40"/>
        <v>36.450000000000003</v>
      </c>
      <c r="G33" s="64">
        <f t="shared" si="40"/>
        <v>37.097999999999999</v>
      </c>
      <c r="H33" s="64">
        <f t="shared" ref="H33:K33" si="41">(H32*60^2)/10^6</f>
        <v>27.760320000000004</v>
      </c>
      <c r="I33" s="64">
        <f t="shared" si="41"/>
        <v>26.9892</v>
      </c>
      <c r="J33" s="64">
        <f t="shared" si="41"/>
        <v>26.9892</v>
      </c>
      <c r="K33" s="64">
        <f t="shared" si="41"/>
        <v>41.640480000000011</v>
      </c>
      <c r="L33" s="64">
        <f t="shared" si="40"/>
        <v>27.014399999999998</v>
      </c>
      <c r="M33" s="64">
        <f t="shared" si="40"/>
        <v>27.014399999999998</v>
      </c>
      <c r="N33" s="64">
        <f t="shared" si="40"/>
        <v>27.002880000000001</v>
      </c>
      <c r="O33" s="64">
        <f t="shared" si="40"/>
        <v>26.998487999999998</v>
      </c>
      <c r="P33" s="64">
        <f t="shared" si="40"/>
        <v>36.972000000000001</v>
      </c>
      <c r="Q33" s="64">
        <f t="shared" si="40"/>
        <v>27.760320000000004</v>
      </c>
      <c r="R33" s="64">
        <f t="shared" si="40"/>
        <v>67.858560000000011</v>
      </c>
      <c r="S33" s="64">
        <f t="shared" si="40"/>
        <v>27.008640000000003</v>
      </c>
      <c r="T33" s="73">
        <f t="shared" si="40"/>
        <v>26.991359999999997</v>
      </c>
    </row>
    <row r="34" spans="1:20" ht="15" thickBot="1" x14ac:dyDescent="0.35">
      <c r="A34" s="137"/>
      <c r="B34" s="71" t="s">
        <v>242</v>
      </c>
      <c r="C34" s="77">
        <f t="shared" ref="C34:T34" si="42">(C25*C8)/1000</f>
        <v>51.52</v>
      </c>
      <c r="D34" s="77">
        <f t="shared" si="42"/>
        <v>35.909999999999997</v>
      </c>
      <c r="E34" s="77">
        <f t="shared" si="42"/>
        <v>43.604999999999997</v>
      </c>
      <c r="F34" s="77">
        <f t="shared" si="42"/>
        <v>57.645000000000003</v>
      </c>
      <c r="G34" s="77">
        <f t="shared" si="42"/>
        <v>60.914000000000001</v>
      </c>
      <c r="H34" s="77">
        <f t="shared" ref="H34:K34" si="43">(H25*H8)/1000</f>
        <v>34.985999999999997</v>
      </c>
      <c r="I34" s="77">
        <f t="shared" si="43"/>
        <v>37.484999999999999</v>
      </c>
      <c r="J34" s="77">
        <f t="shared" si="43"/>
        <v>37.484999999999999</v>
      </c>
      <c r="K34" s="77">
        <f t="shared" si="43"/>
        <v>51.408000000000001</v>
      </c>
      <c r="L34" s="77">
        <f t="shared" si="42"/>
        <v>71.287999999999997</v>
      </c>
      <c r="M34" s="77">
        <f t="shared" si="42"/>
        <v>70.349999999999994</v>
      </c>
      <c r="N34" s="77">
        <f t="shared" si="42"/>
        <v>65.924999999999997</v>
      </c>
      <c r="O34" s="77">
        <f t="shared" si="42"/>
        <v>80.573999999999998</v>
      </c>
      <c r="P34" s="77">
        <f t="shared" si="42"/>
        <v>78.367999999999995</v>
      </c>
      <c r="Q34" s="77">
        <f t="shared" si="42"/>
        <v>33.272400000000005</v>
      </c>
      <c r="R34" s="77">
        <f t="shared" si="42"/>
        <v>88.536000000000001</v>
      </c>
      <c r="S34" s="77">
        <f t="shared" si="42"/>
        <v>36.47</v>
      </c>
      <c r="T34" s="78">
        <f t="shared" si="42"/>
        <v>67.165999999999997</v>
      </c>
    </row>
    <row r="36" spans="1:20" ht="15" thickBot="1" x14ac:dyDescent="0.35"/>
    <row r="37" spans="1:20" ht="15" thickBot="1" x14ac:dyDescent="0.35">
      <c r="A37" s="135" t="s">
        <v>269</v>
      </c>
      <c r="B37" s="70" t="s">
        <v>270</v>
      </c>
    </row>
    <row r="38" spans="1:20" x14ac:dyDescent="0.3">
      <c r="A38" s="136"/>
      <c r="B38" s="95">
        <v>120</v>
      </c>
      <c r="C38" s="79">
        <f t="shared" ref="C38:T38" si="44">C31/$B$38</f>
        <v>4.0250000000000004</v>
      </c>
      <c r="D38" s="79">
        <f t="shared" si="44"/>
        <v>4.7249999999999996</v>
      </c>
      <c r="E38" s="79">
        <f t="shared" si="44"/>
        <v>4.7249999999999996</v>
      </c>
      <c r="F38" s="79">
        <f t="shared" si="44"/>
        <v>4.7249999999999996</v>
      </c>
      <c r="G38" s="79">
        <f t="shared" si="44"/>
        <v>4.0250000000000004</v>
      </c>
      <c r="H38" s="79">
        <f t="shared" ref="H38:K38" si="45">H31/$B$38</f>
        <v>4.7249999999999996</v>
      </c>
      <c r="I38" s="79">
        <f t="shared" si="45"/>
        <v>4.7249999999999996</v>
      </c>
      <c r="J38" s="79">
        <f t="shared" si="45"/>
        <v>4.7249999999999996</v>
      </c>
      <c r="K38" s="79">
        <f t="shared" si="45"/>
        <v>4.6900000000000004</v>
      </c>
      <c r="L38" s="79">
        <f t="shared" si="44"/>
        <v>4.6800000000000006</v>
      </c>
      <c r="M38" s="79">
        <f t="shared" si="44"/>
        <v>4.6800000000000006</v>
      </c>
      <c r="N38" s="79">
        <f t="shared" si="44"/>
        <v>4.41</v>
      </c>
      <c r="O38" s="79">
        <f t="shared" si="44"/>
        <v>4.74</v>
      </c>
      <c r="P38" s="79">
        <f t="shared" si="44"/>
        <v>4.74</v>
      </c>
      <c r="Q38" s="79">
        <f t="shared" si="44"/>
        <v>4.7249999999999996</v>
      </c>
      <c r="R38" s="79">
        <f t="shared" si="44"/>
        <v>4.7249999999999996</v>
      </c>
      <c r="S38" s="79">
        <f t="shared" si="44"/>
        <v>4.55</v>
      </c>
      <c r="T38" s="80">
        <f t="shared" si="44"/>
        <v>4.55</v>
      </c>
    </row>
    <row r="39" spans="1:20" x14ac:dyDescent="0.3">
      <c r="A39" s="136"/>
      <c r="B39" s="96">
        <v>12</v>
      </c>
      <c r="C39" s="63">
        <f t="shared" ref="C39:T39" si="46">C34/$B$39</f>
        <v>4.2933333333333339</v>
      </c>
      <c r="D39" s="63">
        <f t="shared" si="46"/>
        <v>2.9924999999999997</v>
      </c>
      <c r="E39" s="63">
        <f t="shared" si="46"/>
        <v>3.6337499999999996</v>
      </c>
      <c r="F39" s="63">
        <f t="shared" si="46"/>
        <v>4.80375</v>
      </c>
      <c r="G39" s="63">
        <f t="shared" si="46"/>
        <v>5.0761666666666665</v>
      </c>
      <c r="H39" s="63">
        <f t="shared" ref="H39:K39" si="47">H34/$B$39</f>
        <v>2.9154999999999998</v>
      </c>
      <c r="I39" s="63">
        <f t="shared" si="47"/>
        <v>3.1237499999999998</v>
      </c>
      <c r="J39" s="63">
        <f t="shared" si="47"/>
        <v>3.1237499999999998</v>
      </c>
      <c r="K39" s="63">
        <f t="shared" si="47"/>
        <v>4.2839999999999998</v>
      </c>
      <c r="L39" s="63">
        <f t="shared" si="46"/>
        <v>5.9406666666666661</v>
      </c>
      <c r="M39" s="63">
        <f t="shared" si="46"/>
        <v>5.8624999999999998</v>
      </c>
      <c r="N39" s="63">
        <f t="shared" si="46"/>
        <v>5.4937499999999995</v>
      </c>
      <c r="O39" s="63">
        <f t="shared" si="46"/>
        <v>6.7145000000000001</v>
      </c>
      <c r="P39" s="63">
        <f t="shared" si="46"/>
        <v>6.530666666666666</v>
      </c>
      <c r="Q39" s="63">
        <f t="shared" si="46"/>
        <v>2.7727000000000004</v>
      </c>
      <c r="R39" s="63">
        <f t="shared" si="46"/>
        <v>7.3780000000000001</v>
      </c>
      <c r="S39" s="63">
        <f t="shared" si="46"/>
        <v>3.0391666666666666</v>
      </c>
      <c r="T39" s="81">
        <f t="shared" si="46"/>
        <v>5.5971666666666664</v>
      </c>
    </row>
    <row r="40" spans="1:20" x14ac:dyDescent="0.3">
      <c r="A40" s="136"/>
      <c r="B40" s="97">
        <v>6</v>
      </c>
      <c r="C40" s="63">
        <f t="shared" ref="C40:T40" si="48">C33/$B$40</f>
        <v>6.1548000000000007</v>
      </c>
      <c r="D40" s="63">
        <f t="shared" si="48"/>
        <v>4.5198</v>
      </c>
      <c r="E40" s="63">
        <f t="shared" si="48"/>
        <v>5.4269999999999996</v>
      </c>
      <c r="F40" s="63">
        <f t="shared" si="48"/>
        <v>6.0750000000000002</v>
      </c>
      <c r="G40" s="63">
        <f t="shared" si="48"/>
        <v>6.1829999999999998</v>
      </c>
      <c r="H40" s="63">
        <f t="shared" ref="H40:K40" si="49">H33/$B$40</f>
        <v>4.6267200000000006</v>
      </c>
      <c r="I40" s="63">
        <f t="shared" si="49"/>
        <v>4.4981999999999998</v>
      </c>
      <c r="J40" s="63">
        <f t="shared" si="49"/>
        <v>4.4981999999999998</v>
      </c>
      <c r="K40" s="63">
        <f t="shared" si="49"/>
        <v>6.9400800000000018</v>
      </c>
      <c r="L40" s="63">
        <f t="shared" si="48"/>
        <v>4.5023999999999997</v>
      </c>
      <c r="M40" s="63">
        <f t="shared" si="48"/>
        <v>4.5023999999999997</v>
      </c>
      <c r="N40" s="63">
        <f t="shared" si="48"/>
        <v>4.5004800000000005</v>
      </c>
      <c r="O40" s="63">
        <f t="shared" si="48"/>
        <v>4.4997479999999994</v>
      </c>
      <c r="P40" s="63">
        <f t="shared" si="48"/>
        <v>6.1619999999999999</v>
      </c>
      <c r="Q40" s="63">
        <f t="shared" si="48"/>
        <v>4.6267200000000006</v>
      </c>
      <c r="R40" s="63">
        <f t="shared" si="48"/>
        <v>11.309760000000002</v>
      </c>
      <c r="S40" s="63">
        <f t="shared" si="48"/>
        <v>4.5014400000000006</v>
      </c>
      <c r="T40" s="81">
        <f t="shared" si="48"/>
        <v>4.4985599999999994</v>
      </c>
    </row>
    <row r="41" spans="1:20" x14ac:dyDescent="0.3">
      <c r="A41" s="136"/>
      <c r="B41" s="74" t="s">
        <v>249</v>
      </c>
      <c r="C41" s="63">
        <f>MAX(C38:C40)</f>
        <v>6.1548000000000007</v>
      </c>
      <c r="D41" s="63">
        <f t="shared" ref="D41:T41" si="50">MAX(D38:D40)</f>
        <v>4.7249999999999996</v>
      </c>
      <c r="E41" s="63">
        <f t="shared" si="50"/>
        <v>5.4269999999999996</v>
      </c>
      <c r="F41" s="63">
        <f t="shared" si="50"/>
        <v>6.0750000000000002</v>
      </c>
      <c r="G41" s="63">
        <f t="shared" si="50"/>
        <v>6.1829999999999998</v>
      </c>
      <c r="H41" s="63">
        <f t="shared" ref="H41:K41" si="51">MAX(H38:H40)</f>
        <v>4.7249999999999996</v>
      </c>
      <c r="I41" s="63">
        <f t="shared" si="51"/>
        <v>4.7249999999999996</v>
      </c>
      <c r="J41" s="63">
        <f t="shared" si="51"/>
        <v>4.7249999999999996</v>
      </c>
      <c r="K41" s="63">
        <f t="shared" si="51"/>
        <v>6.9400800000000018</v>
      </c>
      <c r="L41" s="63">
        <f t="shared" si="50"/>
        <v>5.9406666666666661</v>
      </c>
      <c r="M41" s="63">
        <f t="shared" si="50"/>
        <v>5.8624999999999998</v>
      </c>
      <c r="N41" s="63">
        <f t="shared" si="50"/>
        <v>5.4937499999999995</v>
      </c>
      <c r="O41" s="63">
        <f t="shared" si="50"/>
        <v>6.7145000000000001</v>
      </c>
      <c r="P41" s="63">
        <f t="shared" si="50"/>
        <v>6.530666666666666</v>
      </c>
      <c r="Q41" s="63">
        <f t="shared" si="50"/>
        <v>4.7249999999999996</v>
      </c>
      <c r="R41" s="63">
        <f t="shared" si="50"/>
        <v>11.309760000000002</v>
      </c>
      <c r="S41" s="63">
        <f t="shared" si="50"/>
        <v>4.55</v>
      </c>
      <c r="T41" s="81">
        <f t="shared" si="50"/>
        <v>5.5971666666666664</v>
      </c>
    </row>
    <row r="42" spans="1:20" ht="15" thickBot="1" x14ac:dyDescent="0.35">
      <c r="A42" s="136"/>
      <c r="B42" s="71" t="s">
        <v>253</v>
      </c>
      <c r="C42" s="41">
        <f>ROUNDUP(C41,0)</f>
        <v>7</v>
      </c>
      <c r="D42" s="41">
        <f t="shared" ref="D42:T42" si="52">ROUNDUP(D41,0)</f>
        <v>5</v>
      </c>
      <c r="E42" s="41">
        <f t="shared" si="52"/>
        <v>6</v>
      </c>
      <c r="F42" s="41">
        <f t="shared" si="52"/>
        <v>7</v>
      </c>
      <c r="G42" s="41">
        <f t="shared" si="52"/>
        <v>7</v>
      </c>
      <c r="H42" s="41">
        <f t="shared" ref="H42:K42" si="53">ROUNDUP(H41,0)</f>
        <v>5</v>
      </c>
      <c r="I42" s="41">
        <f t="shared" si="53"/>
        <v>5</v>
      </c>
      <c r="J42" s="41">
        <f t="shared" si="53"/>
        <v>5</v>
      </c>
      <c r="K42" s="41">
        <f t="shared" si="53"/>
        <v>7</v>
      </c>
      <c r="L42" s="41">
        <f t="shared" si="52"/>
        <v>6</v>
      </c>
      <c r="M42" s="41">
        <f t="shared" si="52"/>
        <v>6</v>
      </c>
      <c r="N42" s="41">
        <f t="shared" si="52"/>
        <v>6</v>
      </c>
      <c r="O42" s="41">
        <f t="shared" si="52"/>
        <v>7</v>
      </c>
      <c r="P42" s="41">
        <f t="shared" si="52"/>
        <v>7</v>
      </c>
      <c r="Q42" s="82">
        <f>ROUNDUP(Q41,0)</f>
        <v>5</v>
      </c>
      <c r="R42" s="41">
        <f t="shared" si="52"/>
        <v>12</v>
      </c>
      <c r="S42" s="41">
        <f t="shared" si="52"/>
        <v>5</v>
      </c>
      <c r="T42" s="42">
        <f t="shared" si="52"/>
        <v>6</v>
      </c>
    </row>
    <row r="43" spans="1:20" ht="15" thickBot="1" x14ac:dyDescent="0.35">
      <c r="A43" s="136"/>
      <c r="B43" s="70" t="s">
        <v>254</v>
      </c>
      <c r="C43" s="138" t="s">
        <v>271</v>
      </c>
      <c r="D43" s="139"/>
      <c r="E43" s="139"/>
      <c r="F43" s="139"/>
      <c r="G43" s="139"/>
      <c r="H43" s="139"/>
      <c r="I43" s="139"/>
      <c r="J43" s="139"/>
      <c r="K43" s="139"/>
      <c r="L43" s="139"/>
      <c r="M43" s="139"/>
      <c r="N43" s="139"/>
      <c r="O43" s="139"/>
      <c r="P43" s="139"/>
      <c r="Q43" s="139"/>
      <c r="R43" s="139"/>
      <c r="S43" s="139"/>
      <c r="T43" s="139"/>
    </row>
    <row r="44" spans="1:20" x14ac:dyDescent="0.3">
      <c r="A44" s="136"/>
      <c r="B44" s="93">
        <v>12</v>
      </c>
      <c r="C44" s="79">
        <f t="shared" ref="C44:T44" si="54">C27/$B$44</f>
        <v>9.5833333333333339</v>
      </c>
      <c r="D44" s="79">
        <f t="shared" si="54"/>
        <v>11.25</v>
      </c>
      <c r="E44" s="79">
        <f t="shared" si="54"/>
        <v>11.25</v>
      </c>
      <c r="F44" s="79">
        <f t="shared" si="54"/>
        <v>11.25</v>
      </c>
      <c r="G44" s="79">
        <f t="shared" si="54"/>
        <v>9.5833333333333339</v>
      </c>
      <c r="H44" s="79">
        <f t="shared" ref="H44:K44" si="55">H27/$B$44</f>
        <v>11.25</v>
      </c>
      <c r="I44" s="79">
        <f t="shared" si="55"/>
        <v>11.25</v>
      </c>
      <c r="J44" s="79">
        <f t="shared" si="55"/>
        <v>11.25</v>
      </c>
      <c r="K44" s="79">
        <f t="shared" si="55"/>
        <v>11.166666666666666</v>
      </c>
      <c r="L44" s="79">
        <f t="shared" si="54"/>
        <v>13</v>
      </c>
      <c r="M44" s="79">
        <f t="shared" si="54"/>
        <v>13</v>
      </c>
      <c r="N44" s="79">
        <f t="shared" si="54"/>
        <v>12.25</v>
      </c>
      <c r="O44" s="79">
        <f t="shared" si="54"/>
        <v>13.166666666666666</v>
      </c>
      <c r="P44" s="79">
        <f t="shared" si="54"/>
        <v>13.166666666666666</v>
      </c>
      <c r="Q44" s="79">
        <f t="shared" si="54"/>
        <v>11.25</v>
      </c>
      <c r="R44" s="79">
        <f t="shared" si="54"/>
        <v>11.25</v>
      </c>
      <c r="S44" s="79">
        <f t="shared" si="54"/>
        <v>10.833333333333334</v>
      </c>
      <c r="T44" s="80">
        <f t="shared" si="54"/>
        <v>10.833333333333334</v>
      </c>
    </row>
    <row r="45" spans="1:20" ht="13.8" customHeight="1" x14ac:dyDescent="0.3">
      <c r="A45" s="136"/>
      <c r="B45" s="74" t="s">
        <v>241</v>
      </c>
      <c r="C45" s="63">
        <f>ROUND(C44,0)</f>
        <v>10</v>
      </c>
      <c r="D45" s="63">
        <f t="shared" ref="D45:T45" si="56">ROUND(D44,0)</f>
        <v>11</v>
      </c>
      <c r="E45" s="63">
        <f t="shared" si="56"/>
        <v>11</v>
      </c>
      <c r="F45" s="63">
        <f t="shared" si="56"/>
        <v>11</v>
      </c>
      <c r="G45" s="63">
        <f t="shared" si="56"/>
        <v>10</v>
      </c>
      <c r="H45" s="63">
        <f t="shared" ref="H45:K45" si="57">ROUND(H44,0)</f>
        <v>11</v>
      </c>
      <c r="I45" s="63">
        <f t="shared" si="57"/>
        <v>11</v>
      </c>
      <c r="J45" s="63">
        <f t="shared" si="57"/>
        <v>11</v>
      </c>
      <c r="K45" s="63">
        <f t="shared" si="57"/>
        <v>11</v>
      </c>
      <c r="L45" s="63">
        <f t="shared" si="56"/>
        <v>13</v>
      </c>
      <c r="M45" s="63">
        <f t="shared" si="56"/>
        <v>13</v>
      </c>
      <c r="N45" s="63">
        <f t="shared" si="56"/>
        <v>12</v>
      </c>
      <c r="O45" s="63">
        <f t="shared" si="56"/>
        <v>13</v>
      </c>
      <c r="P45" s="63">
        <f t="shared" si="56"/>
        <v>13</v>
      </c>
      <c r="Q45" s="63">
        <f t="shared" si="56"/>
        <v>11</v>
      </c>
      <c r="R45" s="63">
        <f t="shared" si="56"/>
        <v>11</v>
      </c>
      <c r="S45" s="63">
        <f t="shared" si="56"/>
        <v>11</v>
      </c>
      <c r="T45" s="81">
        <f t="shared" si="56"/>
        <v>11</v>
      </c>
    </row>
    <row r="46" spans="1:20" ht="15" thickBot="1" x14ac:dyDescent="0.35">
      <c r="A46" s="136"/>
      <c r="B46" s="71" t="s">
        <v>252</v>
      </c>
      <c r="C46" s="82">
        <f>ABS(C45-C44)</f>
        <v>0.41666666666666607</v>
      </c>
      <c r="D46" s="82">
        <f t="shared" ref="D46:T46" si="58">ABS(D45-D44)</f>
        <v>0.25</v>
      </c>
      <c r="E46" s="82">
        <f t="shared" si="58"/>
        <v>0.25</v>
      </c>
      <c r="F46" s="82">
        <f t="shared" si="58"/>
        <v>0.25</v>
      </c>
      <c r="G46" s="82">
        <f t="shared" si="58"/>
        <v>0.41666666666666607</v>
      </c>
      <c r="H46" s="82">
        <f t="shared" ref="H46:K46" si="59">ABS(H45-H44)</f>
        <v>0.25</v>
      </c>
      <c r="I46" s="82">
        <f t="shared" si="59"/>
        <v>0.25</v>
      </c>
      <c r="J46" s="82">
        <f t="shared" si="59"/>
        <v>0.25</v>
      </c>
      <c r="K46" s="82">
        <f t="shared" si="59"/>
        <v>0.16666666666666607</v>
      </c>
      <c r="L46" s="82">
        <f t="shared" si="58"/>
        <v>0</v>
      </c>
      <c r="M46" s="82">
        <f t="shared" si="58"/>
        <v>0</v>
      </c>
      <c r="N46" s="82">
        <f t="shared" si="58"/>
        <v>0.25</v>
      </c>
      <c r="O46" s="82">
        <f t="shared" si="58"/>
        <v>0.16666666666666607</v>
      </c>
      <c r="P46" s="82">
        <f t="shared" si="58"/>
        <v>0.16666666666666607</v>
      </c>
      <c r="Q46" s="82">
        <f t="shared" si="58"/>
        <v>0.25</v>
      </c>
      <c r="R46" s="82">
        <f t="shared" si="58"/>
        <v>0.25</v>
      </c>
      <c r="S46" s="82">
        <f t="shared" si="58"/>
        <v>0.16666666666666607</v>
      </c>
      <c r="T46" s="83">
        <f t="shared" si="58"/>
        <v>0.16666666666666607</v>
      </c>
    </row>
    <row r="47" spans="1:20" x14ac:dyDescent="0.3">
      <c r="A47" s="136"/>
      <c r="B47" s="93">
        <v>11</v>
      </c>
      <c r="C47" s="79">
        <f t="shared" ref="C47:T47" si="60">C27/$B$47</f>
        <v>10.454545454545455</v>
      </c>
      <c r="D47" s="79">
        <f t="shared" si="60"/>
        <v>12.272727272727273</v>
      </c>
      <c r="E47" s="79">
        <f t="shared" si="60"/>
        <v>12.272727272727273</v>
      </c>
      <c r="F47" s="79">
        <f t="shared" si="60"/>
        <v>12.272727272727273</v>
      </c>
      <c r="G47" s="79">
        <f t="shared" si="60"/>
        <v>10.454545454545455</v>
      </c>
      <c r="H47" s="79">
        <f t="shared" ref="H47:K47" si="61">H27/$B$47</f>
        <v>12.272727272727273</v>
      </c>
      <c r="I47" s="79">
        <f t="shared" si="61"/>
        <v>12.272727272727273</v>
      </c>
      <c r="J47" s="79">
        <f t="shared" si="61"/>
        <v>12.272727272727273</v>
      </c>
      <c r="K47" s="79">
        <f t="shared" si="61"/>
        <v>12.181818181818182</v>
      </c>
      <c r="L47" s="79">
        <f t="shared" si="60"/>
        <v>14.181818181818182</v>
      </c>
      <c r="M47" s="79">
        <f t="shared" si="60"/>
        <v>14.181818181818182</v>
      </c>
      <c r="N47" s="79">
        <f t="shared" si="60"/>
        <v>13.363636363636363</v>
      </c>
      <c r="O47" s="79">
        <f t="shared" si="60"/>
        <v>14.363636363636363</v>
      </c>
      <c r="P47" s="79">
        <f t="shared" si="60"/>
        <v>14.363636363636363</v>
      </c>
      <c r="Q47" s="79">
        <f t="shared" si="60"/>
        <v>12.272727272727273</v>
      </c>
      <c r="R47" s="79">
        <f t="shared" si="60"/>
        <v>12.272727272727273</v>
      </c>
      <c r="S47" s="79">
        <f t="shared" si="60"/>
        <v>11.818181818181818</v>
      </c>
      <c r="T47" s="80">
        <f t="shared" si="60"/>
        <v>11.818181818181818</v>
      </c>
    </row>
    <row r="48" spans="1:20" x14ac:dyDescent="0.3">
      <c r="A48" s="136"/>
      <c r="B48" s="74" t="s">
        <v>241</v>
      </c>
      <c r="C48" s="63">
        <f>ROUND(C47,0)</f>
        <v>10</v>
      </c>
      <c r="D48" s="63">
        <f t="shared" ref="D48" si="62">ROUND(D47,0)</f>
        <v>12</v>
      </c>
      <c r="E48" s="63">
        <f t="shared" ref="E48" si="63">ROUND(E47,0)</f>
        <v>12</v>
      </c>
      <c r="F48" s="63">
        <f t="shared" ref="F48" si="64">ROUND(F47,0)</f>
        <v>12</v>
      </c>
      <c r="G48" s="63">
        <f t="shared" ref="G48:K48" si="65">ROUND(G47,0)</f>
        <v>10</v>
      </c>
      <c r="H48" s="63">
        <f t="shared" si="65"/>
        <v>12</v>
      </c>
      <c r="I48" s="63">
        <f t="shared" si="65"/>
        <v>12</v>
      </c>
      <c r="J48" s="63">
        <f t="shared" si="65"/>
        <v>12</v>
      </c>
      <c r="K48" s="63">
        <f t="shared" si="65"/>
        <v>12</v>
      </c>
      <c r="L48" s="63">
        <f t="shared" ref="L48" si="66">ROUND(L47,0)</f>
        <v>14</v>
      </c>
      <c r="M48" s="63">
        <f t="shared" ref="M48" si="67">ROUND(M47,0)</f>
        <v>14</v>
      </c>
      <c r="N48" s="63">
        <f t="shared" ref="N48" si="68">ROUND(N47,0)</f>
        <v>13</v>
      </c>
      <c r="O48" s="63">
        <f t="shared" ref="O48" si="69">ROUND(O47,0)</f>
        <v>14</v>
      </c>
      <c r="P48" s="63">
        <f t="shared" ref="P48" si="70">ROUND(P47,0)</f>
        <v>14</v>
      </c>
      <c r="Q48" s="63">
        <f t="shared" ref="Q48" si="71">ROUND(Q47,0)</f>
        <v>12</v>
      </c>
      <c r="R48" s="63">
        <f t="shared" ref="R48" si="72">ROUND(R47,0)</f>
        <v>12</v>
      </c>
      <c r="S48" s="63">
        <f t="shared" ref="S48" si="73">ROUND(S47,0)</f>
        <v>12</v>
      </c>
      <c r="T48" s="81">
        <f t="shared" ref="T48" si="74">ROUND(T47,0)</f>
        <v>12</v>
      </c>
    </row>
    <row r="49" spans="1:20" ht="15" thickBot="1" x14ac:dyDescent="0.35">
      <c r="A49" s="136"/>
      <c r="B49" s="71" t="s">
        <v>252</v>
      </c>
      <c r="C49" s="82">
        <f>ABS(C48-C47)</f>
        <v>0.45454545454545503</v>
      </c>
      <c r="D49" s="82">
        <f t="shared" ref="D49" si="75">ABS(D48-D47)</f>
        <v>0.27272727272727337</v>
      </c>
      <c r="E49" s="82">
        <f t="shared" ref="E49" si="76">ABS(E48-E47)</f>
        <v>0.27272727272727337</v>
      </c>
      <c r="F49" s="82">
        <f t="shared" ref="F49" si="77">ABS(F48-F47)</f>
        <v>0.27272727272727337</v>
      </c>
      <c r="G49" s="82">
        <f t="shared" ref="G49:K49" si="78">ABS(G48-G47)</f>
        <v>0.45454545454545503</v>
      </c>
      <c r="H49" s="82">
        <f t="shared" si="78"/>
        <v>0.27272727272727337</v>
      </c>
      <c r="I49" s="82">
        <f t="shared" si="78"/>
        <v>0.27272727272727337</v>
      </c>
      <c r="J49" s="82">
        <f t="shared" si="78"/>
        <v>0.27272727272727337</v>
      </c>
      <c r="K49" s="82">
        <f t="shared" si="78"/>
        <v>0.18181818181818166</v>
      </c>
      <c r="L49" s="82">
        <f t="shared" ref="L49" si="79">ABS(L48-L47)</f>
        <v>0.18181818181818166</v>
      </c>
      <c r="M49" s="82">
        <f t="shared" ref="M49" si="80">ABS(M48-M47)</f>
        <v>0.18181818181818166</v>
      </c>
      <c r="N49" s="82">
        <f t="shared" ref="N49" si="81">ABS(N48-N47)</f>
        <v>0.36363636363636331</v>
      </c>
      <c r="O49" s="82">
        <f t="shared" ref="O49" si="82">ABS(O48-O47)</f>
        <v>0.36363636363636331</v>
      </c>
      <c r="P49" s="82">
        <f t="shared" ref="P49" si="83">ABS(P48-P47)</f>
        <v>0.36363636363636331</v>
      </c>
      <c r="Q49" s="82">
        <f t="shared" ref="Q49" si="84">ABS(Q48-Q47)</f>
        <v>0.27272727272727337</v>
      </c>
      <c r="R49" s="82">
        <f t="shared" ref="R49" si="85">ABS(R48-R47)</f>
        <v>0.27272727272727337</v>
      </c>
      <c r="S49" s="82">
        <f t="shared" ref="S49" si="86">ABS(S48-S47)</f>
        <v>0.18181818181818166</v>
      </c>
      <c r="T49" s="83">
        <f t="shared" ref="T49" si="87">ABS(T48-T47)</f>
        <v>0.18181818181818166</v>
      </c>
    </row>
    <row r="50" spans="1:20" x14ac:dyDescent="0.3">
      <c r="A50" s="136"/>
      <c r="B50" s="94">
        <v>10</v>
      </c>
      <c r="C50" s="63">
        <f t="shared" ref="C50:T50" si="88">C27/$B$50</f>
        <v>11.5</v>
      </c>
      <c r="D50" s="63">
        <f t="shared" si="88"/>
        <v>13.5</v>
      </c>
      <c r="E50" s="63">
        <f t="shared" si="88"/>
        <v>13.5</v>
      </c>
      <c r="F50" s="63">
        <f t="shared" si="88"/>
        <v>13.5</v>
      </c>
      <c r="G50" s="63">
        <f t="shared" si="88"/>
        <v>11.5</v>
      </c>
      <c r="H50" s="63">
        <f t="shared" ref="H50:K50" si="89">H27/$B$50</f>
        <v>13.5</v>
      </c>
      <c r="I50" s="63">
        <f t="shared" si="89"/>
        <v>13.5</v>
      </c>
      <c r="J50" s="63">
        <f t="shared" si="89"/>
        <v>13.5</v>
      </c>
      <c r="K50" s="63">
        <f t="shared" si="89"/>
        <v>13.4</v>
      </c>
      <c r="L50" s="63">
        <f t="shared" si="88"/>
        <v>15.6</v>
      </c>
      <c r="M50" s="63">
        <f t="shared" si="88"/>
        <v>15.6</v>
      </c>
      <c r="N50" s="63">
        <f t="shared" si="88"/>
        <v>14.7</v>
      </c>
      <c r="O50" s="63">
        <f t="shared" si="88"/>
        <v>15.8</v>
      </c>
      <c r="P50" s="63">
        <f t="shared" si="88"/>
        <v>15.8</v>
      </c>
      <c r="Q50" s="63">
        <f t="shared" si="88"/>
        <v>13.5</v>
      </c>
      <c r="R50" s="63">
        <f t="shared" si="88"/>
        <v>13.5</v>
      </c>
      <c r="S50" s="63">
        <f t="shared" si="88"/>
        <v>13</v>
      </c>
      <c r="T50" s="81">
        <f t="shared" si="88"/>
        <v>13</v>
      </c>
    </row>
    <row r="51" spans="1:20" x14ac:dyDescent="0.3">
      <c r="A51" s="136"/>
      <c r="B51" s="74" t="s">
        <v>241</v>
      </c>
      <c r="C51" s="63">
        <f>ROUND(C50,0)</f>
        <v>12</v>
      </c>
      <c r="D51" s="63">
        <f>ROUND(D50,0)</f>
        <v>14</v>
      </c>
      <c r="E51" s="63">
        <f t="shared" ref="E51" si="90">ROUND(E50,0)</f>
        <v>14</v>
      </c>
      <c r="F51" s="63">
        <f t="shared" ref="F51" si="91">ROUND(F50,0)</f>
        <v>14</v>
      </c>
      <c r="G51" s="63">
        <f t="shared" ref="G51:K51" si="92">ROUND(G50,0)</f>
        <v>12</v>
      </c>
      <c r="H51" s="63">
        <f t="shared" si="92"/>
        <v>14</v>
      </c>
      <c r="I51" s="63">
        <f t="shared" si="92"/>
        <v>14</v>
      </c>
      <c r="J51" s="63">
        <f t="shared" si="92"/>
        <v>14</v>
      </c>
      <c r="K51" s="63">
        <f t="shared" si="92"/>
        <v>13</v>
      </c>
      <c r="L51" s="63">
        <f t="shared" ref="L51" si="93">ROUND(L50,0)</f>
        <v>16</v>
      </c>
      <c r="M51" s="63">
        <f t="shared" ref="M51" si="94">ROUND(M50,0)</f>
        <v>16</v>
      </c>
      <c r="N51" s="63">
        <f t="shared" ref="N51" si="95">ROUND(N50,0)</f>
        <v>15</v>
      </c>
      <c r="O51" s="63">
        <f t="shared" ref="O51" si="96">ROUND(O50,0)</f>
        <v>16</v>
      </c>
      <c r="P51" s="63">
        <f t="shared" ref="P51" si="97">ROUND(P50,0)</f>
        <v>16</v>
      </c>
      <c r="Q51" s="63">
        <f t="shared" ref="Q51" si="98">ROUND(Q50,0)</f>
        <v>14</v>
      </c>
      <c r="R51" s="63">
        <f t="shared" ref="R51" si="99">ROUND(R50,0)</f>
        <v>14</v>
      </c>
      <c r="S51" s="63">
        <f t="shared" ref="S51" si="100">ROUND(S50,0)</f>
        <v>13</v>
      </c>
      <c r="T51" s="81">
        <f t="shared" ref="T51" si="101">ROUND(T50,0)</f>
        <v>13</v>
      </c>
    </row>
    <row r="52" spans="1:20" ht="15" thickBot="1" x14ac:dyDescent="0.35">
      <c r="A52" s="136"/>
      <c r="B52" s="74" t="s">
        <v>252</v>
      </c>
      <c r="C52" s="63">
        <f>ABS(C51-C50)</f>
        <v>0.5</v>
      </c>
      <c r="D52" s="63">
        <f t="shared" ref="D52" si="102">ABS(D51-D50)</f>
        <v>0.5</v>
      </c>
      <c r="E52" s="63">
        <f t="shared" ref="E52" si="103">ABS(E51-E50)</f>
        <v>0.5</v>
      </c>
      <c r="F52" s="63">
        <f t="shared" ref="F52" si="104">ABS(F51-F50)</f>
        <v>0.5</v>
      </c>
      <c r="G52" s="63">
        <f t="shared" ref="G52:K52" si="105">ABS(G51-G50)</f>
        <v>0.5</v>
      </c>
      <c r="H52" s="63">
        <f t="shared" si="105"/>
        <v>0.5</v>
      </c>
      <c r="I52" s="63">
        <f t="shared" si="105"/>
        <v>0.5</v>
      </c>
      <c r="J52" s="63">
        <f t="shared" si="105"/>
        <v>0.5</v>
      </c>
      <c r="K52" s="63">
        <f t="shared" si="105"/>
        <v>0.40000000000000036</v>
      </c>
      <c r="L52" s="63">
        <f t="shared" ref="L52" si="106">ABS(L51-L50)</f>
        <v>0.40000000000000036</v>
      </c>
      <c r="M52" s="63">
        <f t="shared" ref="M52" si="107">ABS(M51-M50)</f>
        <v>0.40000000000000036</v>
      </c>
      <c r="N52" s="63">
        <f t="shared" ref="N52" si="108">ABS(N51-N50)</f>
        <v>0.30000000000000071</v>
      </c>
      <c r="O52" s="63">
        <f t="shared" ref="O52" si="109">ABS(O51-O50)</f>
        <v>0.19999999999999929</v>
      </c>
      <c r="P52" s="63">
        <f t="shared" ref="P52" si="110">ABS(P51-P50)</f>
        <v>0.19999999999999929</v>
      </c>
      <c r="Q52" s="63">
        <f t="shared" ref="Q52" si="111">ABS(Q51-Q50)</f>
        <v>0.5</v>
      </c>
      <c r="R52" s="63">
        <f t="shared" ref="R52" si="112">ABS(R51-R50)</f>
        <v>0.5</v>
      </c>
      <c r="S52" s="63">
        <f t="shared" ref="S52" si="113">ABS(S51-S50)</f>
        <v>0</v>
      </c>
      <c r="T52" s="81">
        <f t="shared" ref="T52" si="114">ABS(T51-T50)</f>
        <v>0</v>
      </c>
    </row>
    <row r="53" spans="1:20" x14ac:dyDescent="0.3">
      <c r="A53" s="136"/>
      <c r="B53" s="70" t="s">
        <v>255</v>
      </c>
      <c r="C53" s="88">
        <f t="shared" ref="C53:T53" si="115">IF($B$44-C45=1,11,IF(AND(C46&lt;C49,C49&lt;C52),$B$44,IF(C49&lt;C52,$B$47,$B$50)))</f>
        <v>12</v>
      </c>
      <c r="D53" s="88">
        <f t="shared" si="115"/>
        <v>11</v>
      </c>
      <c r="E53" s="88">
        <f t="shared" si="115"/>
        <v>11</v>
      </c>
      <c r="F53" s="88">
        <f t="shared" si="115"/>
        <v>11</v>
      </c>
      <c r="G53" s="88">
        <f t="shared" si="115"/>
        <v>12</v>
      </c>
      <c r="H53" s="88">
        <f t="shared" ref="H53:K53" si="116">IF($B$44-H45=1,11,IF(AND(H46&lt;H49,H49&lt;H52),$B$44,IF(H49&lt;H52,$B$47,$B$50)))</f>
        <v>11</v>
      </c>
      <c r="I53" s="88">
        <f t="shared" si="116"/>
        <v>11</v>
      </c>
      <c r="J53" s="88">
        <f t="shared" si="116"/>
        <v>11</v>
      </c>
      <c r="K53" s="88">
        <f t="shared" si="116"/>
        <v>11</v>
      </c>
      <c r="L53" s="88">
        <f t="shared" si="115"/>
        <v>12</v>
      </c>
      <c r="M53" s="88">
        <f t="shared" si="115"/>
        <v>12</v>
      </c>
      <c r="N53" s="88">
        <f t="shared" si="115"/>
        <v>10</v>
      </c>
      <c r="O53" s="88">
        <f t="shared" si="115"/>
        <v>10</v>
      </c>
      <c r="P53" s="88">
        <f t="shared" si="115"/>
        <v>10</v>
      </c>
      <c r="Q53" s="88">
        <f t="shared" si="115"/>
        <v>11</v>
      </c>
      <c r="R53" s="88">
        <f t="shared" si="115"/>
        <v>11</v>
      </c>
      <c r="S53" s="88">
        <f t="shared" si="115"/>
        <v>11</v>
      </c>
      <c r="T53" s="89">
        <f t="shared" si="115"/>
        <v>11</v>
      </c>
    </row>
    <row r="54" spans="1:20" ht="15" thickBot="1" x14ac:dyDescent="0.35">
      <c r="A54" s="137"/>
      <c r="B54" s="71" t="s">
        <v>256</v>
      </c>
      <c r="C54" s="85">
        <f t="shared" ref="C54:T54" si="117">IF(C53=$B$44,C45,IF(C53=$B$47,C48,C51))</f>
        <v>10</v>
      </c>
      <c r="D54" s="85">
        <f t="shared" si="117"/>
        <v>12</v>
      </c>
      <c r="E54" s="85">
        <f t="shared" si="117"/>
        <v>12</v>
      </c>
      <c r="F54" s="85">
        <f t="shared" si="117"/>
        <v>12</v>
      </c>
      <c r="G54" s="85">
        <f t="shared" si="117"/>
        <v>10</v>
      </c>
      <c r="H54" s="85">
        <f t="shared" ref="H54:K54" si="118">IF(H53=$B$44,H45,IF(H53=$B$47,H48,H51))</f>
        <v>12</v>
      </c>
      <c r="I54" s="85">
        <f t="shared" si="118"/>
        <v>12</v>
      </c>
      <c r="J54" s="85">
        <f t="shared" si="118"/>
        <v>12</v>
      </c>
      <c r="K54" s="85">
        <f t="shared" si="118"/>
        <v>12</v>
      </c>
      <c r="L54" s="85">
        <f t="shared" si="117"/>
        <v>13</v>
      </c>
      <c r="M54" s="85">
        <f t="shared" si="117"/>
        <v>13</v>
      </c>
      <c r="N54" s="85">
        <f t="shared" si="117"/>
        <v>15</v>
      </c>
      <c r="O54" s="85">
        <f t="shared" si="117"/>
        <v>16</v>
      </c>
      <c r="P54" s="85">
        <f t="shared" si="117"/>
        <v>16</v>
      </c>
      <c r="Q54" s="85">
        <f t="shared" si="117"/>
        <v>12</v>
      </c>
      <c r="R54" s="85">
        <f t="shared" si="117"/>
        <v>12</v>
      </c>
      <c r="S54" s="85">
        <f t="shared" si="117"/>
        <v>12</v>
      </c>
      <c r="T54" s="86">
        <f t="shared" si="117"/>
        <v>12</v>
      </c>
    </row>
    <row r="55" spans="1:20" ht="15" thickBot="1" x14ac:dyDescent="0.35"/>
    <row r="56" spans="1:20" x14ac:dyDescent="0.3">
      <c r="A56" s="130" t="s">
        <v>260</v>
      </c>
      <c r="B56" s="70" t="s">
        <v>258</v>
      </c>
      <c r="C56" s="88" t="str">
        <f>C53*C54&amp;"S "&amp;C29&amp;"P"</f>
        <v>120S 2P</v>
      </c>
      <c r="D56" s="88" t="str">
        <f t="shared" ref="D56:T56" si="119">D53*D54&amp;"S "&amp;D29&amp;"P"</f>
        <v>132S 1P</v>
      </c>
      <c r="E56" s="88" t="str">
        <f t="shared" si="119"/>
        <v>132S 1P</v>
      </c>
      <c r="F56" s="88" t="str">
        <f t="shared" si="119"/>
        <v>132S 1P</v>
      </c>
      <c r="G56" s="88" t="str">
        <f t="shared" si="119"/>
        <v>120S 2P</v>
      </c>
      <c r="H56" s="88" t="str">
        <f t="shared" ref="H56:K56" si="120">H53*H54&amp;"S "&amp;H29&amp;"P"</f>
        <v>132S 5P</v>
      </c>
      <c r="I56" s="88" t="str">
        <f t="shared" si="120"/>
        <v>132S 6P</v>
      </c>
      <c r="J56" s="88" t="str">
        <f t="shared" si="120"/>
        <v>132S 6P</v>
      </c>
      <c r="K56" s="88" t="str">
        <f t="shared" si="120"/>
        <v>132S 8P</v>
      </c>
      <c r="L56" s="88" t="str">
        <f t="shared" si="119"/>
        <v>156S 6P</v>
      </c>
      <c r="M56" s="88" t="str">
        <f t="shared" si="119"/>
        <v>156S 6P</v>
      </c>
      <c r="N56" s="88" t="str">
        <f t="shared" si="119"/>
        <v>150S 2P</v>
      </c>
      <c r="O56" s="88" t="str">
        <f t="shared" si="119"/>
        <v>160S 13P</v>
      </c>
      <c r="P56" s="88" t="str">
        <f t="shared" si="119"/>
        <v>160S 1P</v>
      </c>
      <c r="Q56" s="88" t="str">
        <f t="shared" si="119"/>
        <v>132S 5P</v>
      </c>
      <c r="R56" s="88" t="str">
        <f t="shared" si="119"/>
        <v>132S 7P</v>
      </c>
      <c r="S56" s="88" t="str">
        <f t="shared" si="119"/>
        <v>132S 4P</v>
      </c>
      <c r="T56" s="89" t="str">
        <f t="shared" si="119"/>
        <v>132S 6P</v>
      </c>
    </row>
    <row r="57" spans="1:20" x14ac:dyDescent="0.3">
      <c r="A57" s="131"/>
      <c r="B57" s="74" t="s">
        <v>250</v>
      </c>
      <c r="C57">
        <f t="shared" ref="C57:T57" si="121">C53*C54*C4</f>
        <v>504</v>
      </c>
      <c r="D57">
        <f t="shared" si="121"/>
        <v>554.4</v>
      </c>
      <c r="E57">
        <f t="shared" si="121"/>
        <v>554.4</v>
      </c>
      <c r="F57">
        <f t="shared" si="121"/>
        <v>554.4</v>
      </c>
      <c r="G57">
        <f t="shared" si="121"/>
        <v>504</v>
      </c>
      <c r="H57">
        <f t="shared" ref="H57:K57" si="122">H53*H54*H4</f>
        <v>554.4</v>
      </c>
      <c r="I57">
        <f t="shared" si="122"/>
        <v>554.4</v>
      </c>
      <c r="J57">
        <f t="shared" si="122"/>
        <v>554.4</v>
      </c>
      <c r="K57">
        <f t="shared" si="122"/>
        <v>554.4</v>
      </c>
      <c r="L57">
        <f t="shared" si="121"/>
        <v>561.6</v>
      </c>
      <c r="M57">
        <f t="shared" si="121"/>
        <v>561.6</v>
      </c>
      <c r="N57">
        <f t="shared" si="121"/>
        <v>540</v>
      </c>
      <c r="O57">
        <f t="shared" si="121"/>
        <v>576</v>
      </c>
      <c r="P57">
        <f t="shared" si="121"/>
        <v>576</v>
      </c>
      <c r="Q57">
        <f t="shared" si="121"/>
        <v>554.4</v>
      </c>
      <c r="R57">
        <f t="shared" si="121"/>
        <v>554.4</v>
      </c>
      <c r="S57">
        <f t="shared" si="121"/>
        <v>554.4</v>
      </c>
      <c r="T57" s="40">
        <f t="shared" si="121"/>
        <v>554.4</v>
      </c>
    </row>
    <row r="58" spans="1:20" x14ac:dyDescent="0.3">
      <c r="A58" s="131"/>
      <c r="B58" s="74" t="s">
        <v>261</v>
      </c>
      <c r="C58">
        <f>C54*C53*C3</f>
        <v>432</v>
      </c>
      <c r="D58">
        <f t="shared" ref="D58:T58" si="123">D54*D53*D3</f>
        <v>475.2</v>
      </c>
      <c r="E58">
        <f t="shared" si="123"/>
        <v>475.2</v>
      </c>
      <c r="F58">
        <f t="shared" si="123"/>
        <v>475.2</v>
      </c>
      <c r="G58">
        <f t="shared" si="123"/>
        <v>432</v>
      </c>
      <c r="H58">
        <f t="shared" ref="H58:K58" si="124">H54*H53*H3</f>
        <v>475.2</v>
      </c>
      <c r="I58">
        <f t="shared" si="124"/>
        <v>475.2</v>
      </c>
      <c r="J58">
        <f t="shared" si="124"/>
        <v>475.2</v>
      </c>
      <c r="K58">
        <f t="shared" si="124"/>
        <v>475.2</v>
      </c>
      <c r="L58">
        <f t="shared" si="123"/>
        <v>499.20000000000005</v>
      </c>
      <c r="M58">
        <f t="shared" si="123"/>
        <v>499.20000000000005</v>
      </c>
      <c r="N58">
        <f t="shared" si="123"/>
        <v>480</v>
      </c>
      <c r="O58">
        <f t="shared" si="123"/>
        <v>512</v>
      </c>
      <c r="P58">
        <f t="shared" si="123"/>
        <v>512</v>
      </c>
      <c r="Q58">
        <f t="shared" si="123"/>
        <v>475.2</v>
      </c>
      <c r="R58">
        <f t="shared" si="123"/>
        <v>475.2</v>
      </c>
      <c r="S58">
        <f t="shared" si="123"/>
        <v>475.2</v>
      </c>
      <c r="T58" s="40">
        <f t="shared" si="123"/>
        <v>475.2</v>
      </c>
    </row>
    <row r="59" spans="1:20" x14ac:dyDescent="0.3">
      <c r="A59" s="131"/>
      <c r="B59" s="74" t="s">
        <v>263</v>
      </c>
      <c r="C59" s="63">
        <f>(C53*C54*C4*C6*C29)/1000</f>
        <v>62.496000000000002</v>
      </c>
      <c r="D59" s="63">
        <f t="shared" ref="D59:T59" si="125">(D53*D54*D4*D6*D29)/1000</f>
        <v>85.932000000000002</v>
      </c>
      <c r="E59" s="63">
        <f t="shared" si="125"/>
        <v>99.792000000000002</v>
      </c>
      <c r="F59" s="63">
        <f t="shared" si="125"/>
        <v>110.88</v>
      </c>
      <c r="G59" s="63">
        <f t="shared" si="125"/>
        <v>63</v>
      </c>
      <c r="H59" s="63">
        <f t="shared" ref="H59:K59" si="126">(H53*H54*H4*H6*H29)/1000</f>
        <v>55.44</v>
      </c>
      <c r="I59" s="63">
        <f t="shared" si="126"/>
        <v>66.528000000000006</v>
      </c>
      <c r="J59" s="63">
        <f t="shared" si="126"/>
        <v>83.16</v>
      </c>
      <c r="K59" s="63">
        <f t="shared" si="126"/>
        <v>66.528000000000006</v>
      </c>
      <c r="L59" s="63">
        <f t="shared" si="125"/>
        <v>168.48</v>
      </c>
      <c r="M59" s="63">
        <f t="shared" si="125"/>
        <v>252.72</v>
      </c>
      <c r="N59" s="63">
        <f t="shared" si="125"/>
        <v>259.2</v>
      </c>
      <c r="O59" s="63">
        <f t="shared" si="125"/>
        <v>187.2</v>
      </c>
      <c r="P59" s="63">
        <f t="shared" si="125"/>
        <v>86.4</v>
      </c>
      <c r="Q59" s="63">
        <f t="shared" si="125"/>
        <v>55.44</v>
      </c>
      <c r="R59" s="63">
        <f t="shared" si="125"/>
        <v>58.212000000000003</v>
      </c>
      <c r="S59" s="63">
        <f t="shared" si="125"/>
        <v>77.616</v>
      </c>
      <c r="T59" s="81">
        <f t="shared" si="125"/>
        <v>66.528000000000006</v>
      </c>
    </row>
    <row r="60" spans="1:20" x14ac:dyDescent="0.3">
      <c r="A60" s="131"/>
      <c r="B60" s="74" t="s">
        <v>264</v>
      </c>
      <c r="C60" s="63">
        <f t="shared" ref="C60:T60" si="127">(C53*C54*C4*C5*C29)/1000</f>
        <v>187.488</v>
      </c>
      <c r="D60" s="63">
        <f t="shared" si="127"/>
        <v>128.62079999999997</v>
      </c>
      <c r="E60" s="63">
        <f t="shared" si="127"/>
        <v>155.232</v>
      </c>
      <c r="F60" s="63">
        <f t="shared" si="127"/>
        <v>199.584</v>
      </c>
      <c r="G60" s="63">
        <f t="shared" si="127"/>
        <v>226.8</v>
      </c>
      <c r="H60" s="63">
        <f t="shared" ref="H60:K60" si="128">(H53*H54*H4*H5*H29)/1000</f>
        <v>110.88</v>
      </c>
      <c r="I60" s="63">
        <f t="shared" si="128"/>
        <v>332.64</v>
      </c>
      <c r="J60" s="63">
        <f t="shared" si="128"/>
        <v>116.42400000000001</v>
      </c>
      <c r="K60" s="63">
        <f t="shared" si="128"/>
        <v>88.703999999999994</v>
      </c>
      <c r="L60" s="63">
        <f t="shared" si="127"/>
        <v>404.35199999999998</v>
      </c>
      <c r="M60" s="63">
        <f t="shared" si="127"/>
        <v>505.44</v>
      </c>
      <c r="N60" s="63">
        <f t="shared" si="127"/>
        <v>518.4</v>
      </c>
      <c r="O60" s="63">
        <f t="shared" si="127"/>
        <v>224.64</v>
      </c>
      <c r="P60" s="63">
        <f t="shared" si="127"/>
        <v>115.2</v>
      </c>
      <c r="Q60" s="63">
        <f t="shared" si="127"/>
        <v>83.16</v>
      </c>
      <c r="R60" s="63">
        <f t="shared" si="127"/>
        <v>116.42400000000001</v>
      </c>
      <c r="S60" s="63">
        <f t="shared" si="127"/>
        <v>99.792000000000002</v>
      </c>
      <c r="T60" s="81">
        <f t="shared" si="127"/>
        <v>99.792000000000002</v>
      </c>
    </row>
    <row r="61" spans="1:20" x14ac:dyDescent="0.3">
      <c r="A61" s="131"/>
      <c r="B61" s="74" t="s">
        <v>259</v>
      </c>
      <c r="C61">
        <f>C53*C54*C29</f>
        <v>240</v>
      </c>
      <c r="D61">
        <f t="shared" ref="D61:T61" si="129">D53*D54*D29</f>
        <v>132</v>
      </c>
      <c r="E61">
        <f t="shared" si="129"/>
        <v>132</v>
      </c>
      <c r="F61">
        <f t="shared" si="129"/>
        <v>132</v>
      </c>
      <c r="G61">
        <f t="shared" si="129"/>
        <v>240</v>
      </c>
      <c r="H61">
        <f t="shared" ref="H61:K61" si="130">H53*H54*H29</f>
        <v>660</v>
      </c>
      <c r="I61">
        <f t="shared" si="130"/>
        <v>792</v>
      </c>
      <c r="J61">
        <f t="shared" si="130"/>
        <v>792</v>
      </c>
      <c r="K61">
        <f t="shared" si="130"/>
        <v>1056</v>
      </c>
      <c r="L61">
        <f t="shared" si="129"/>
        <v>936</v>
      </c>
      <c r="M61">
        <f t="shared" si="129"/>
        <v>936</v>
      </c>
      <c r="N61">
        <f t="shared" si="129"/>
        <v>300</v>
      </c>
      <c r="O61">
        <f t="shared" si="129"/>
        <v>2080</v>
      </c>
      <c r="P61">
        <f t="shared" si="129"/>
        <v>160</v>
      </c>
      <c r="Q61">
        <f t="shared" si="129"/>
        <v>660</v>
      </c>
      <c r="R61">
        <f t="shared" si="129"/>
        <v>924</v>
      </c>
      <c r="S61">
        <f t="shared" si="129"/>
        <v>528</v>
      </c>
      <c r="T61" s="40">
        <f t="shared" si="129"/>
        <v>792</v>
      </c>
    </row>
    <row r="62" spans="1:20" x14ac:dyDescent="0.3">
      <c r="A62" s="131"/>
      <c r="B62" s="74" t="s">
        <v>242</v>
      </c>
      <c r="C62" s="63">
        <f>(C61*C8)/1000</f>
        <v>53.76</v>
      </c>
      <c r="D62" s="63">
        <f t="shared" ref="D62:T62" si="131">(D61*D8)/1000</f>
        <v>35.112000000000002</v>
      </c>
      <c r="E62" s="63">
        <f t="shared" si="131"/>
        <v>42.636000000000003</v>
      </c>
      <c r="F62" s="63">
        <f t="shared" si="131"/>
        <v>56.363999999999997</v>
      </c>
      <c r="G62" s="63">
        <f t="shared" si="131"/>
        <v>63.84</v>
      </c>
      <c r="H62" s="63">
        <f t="shared" ref="H62:K62" si="132">(H61*H8)/1000</f>
        <v>32.340000000000003</v>
      </c>
      <c r="I62" s="63">
        <f t="shared" si="132"/>
        <v>35.64</v>
      </c>
      <c r="J62" s="63">
        <f t="shared" si="132"/>
        <v>35.64</v>
      </c>
      <c r="K62" s="63">
        <f t="shared" si="132"/>
        <v>50.688000000000002</v>
      </c>
      <c r="L62" s="63">
        <f t="shared" si="131"/>
        <v>71.135999999999996</v>
      </c>
      <c r="M62" s="63">
        <f t="shared" si="131"/>
        <v>70.2</v>
      </c>
      <c r="N62" s="63">
        <f t="shared" si="131"/>
        <v>67.5</v>
      </c>
      <c r="O62" s="63">
        <f t="shared" si="131"/>
        <v>81.12</v>
      </c>
      <c r="P62" s="63">
        <f t="shared" si="131"/>
        <v>79.36</v>
      </c>
      <c r="Q62" s="63">
        <f t="shared" si="131"/>
        <v>30.756</v>
      </c>
      <c r="R62" s="63">
        <f t="shared" si="131"/>
        <v>85.932000000000002</v>
      </c>
      <c r="S62" s="63">
        <f t="shared" si="131"/>
        <v>36.96</v>
      </c>
      <c r="T62" s="81">
        <f t="shared" si="131"/>
        <v>68.111999999999995</v>
      </c>
    </row>
    <row r="63" spans="1:20" ht="15" thickBot="1" x14ac:dyDescent="0.35">
      <c r="A63" s="132"/>
      <c r="B63" s="71" t="s">
        <v>262</v>
      </c>
      <c r="C63" s="41">
        <f t="shared" ref="C63:T63" si="133">C29*C5</f>
        <v>372</v>
      </c>
      <c r="D63" s="41">
        <f t="shared" si="133"/>
        <v>232</v>
      </c>
      <c r="E63" s="41">
        <f t="shared" si="133"/>
        <v>280</v>
      </c>
      <c r="F63" s="41">
        <f t="shared" si="133"/>
        <v>360</v>
      </c>
      <c r="G63" s="41">
        <f t="shared" si="133"/>
        <v>450</v>
      </c>
      <c r="H63" s="41">
        <f t="shared" ref="H63:K63" si="134">H29*H5</f>
        <v>200</v>
      </c>
      <c r="I63" s="41">
        <f t="shared" si="134"/>
        <v>600</v>
      </c>
      <c r="J63" s="41">
        <f t="shared" si="134"/>
        <v>210</v>
      </c>
      <c r="K63" s="41">
        <f t="shared" si="134"/>
        <v>160</v>
      </c>
      <c r="L63" s="41">
        <f t="shared" si="133"/>
        <v>720</v>
      </c>
      <c r="M63" s="41">
        <f t="shared" si="133"/>
        <v>900</v>
      </c>
      <c r="N63" s="41">
        <f t="shared" si="133"/>
        <v>960</v>
      </c>
      <c r="O63" s="41">
        <f t="shared" si="133"/>
        <v>390</v>
      </c>
      <c r="P63" s="41">
        <f t="shared" si="133"/>
        <v>200</v>
      </c>
      <c r="Q63" s="41">
        <f t="shared" si="133"/>
        <v>150</v>
      </c>
      <c r="R63" s="41">
        <f t="shared" si="133"/>
        <v>210</v>
      </c>
      <c r="S63" s="41">
        <f t="shared" si="133"/>
        <v>180</v>
      </c>
      <c r="T63" s="42">
        <f t="shared" si="133"/>
        <v>180</v>
      </c>
    </row>
    <row r="64" spans="1:20" x14ac:dyDescent="0.3">
      <c r="B64" s="74" t="s">
        <v>266</v>
      </c>
      <c r="C64" s="105">
        <f>C61*C9</f>
        <v>0</v>
      </c>
      <c r="D64" s="105">
        <f t="shared" ref="D64:T64" si="135">D61*D9</f>
        <v>0</v>
      </c>
      <c r="E64" s="105">
        <f t="shared" si="135"/>
        <v>0</v>
      </c>
      <c r="F64" s="105">
        <f t="shared" si="135"/>
        <v>0</v>
      </c>
      <c r="G64" s="105">
        <f t="shared" si="135"/>
        <v>0</v>
      </c>
      <c r="H64" s="105">
        <f t="shared" ref="H64:K64" si="136">H61*H9</f>
        <v>0</v>
      </c>
      <c r="I64" s="105">
        <f t="shared" si="136"/>
        <v>0</v>
      </c>
      <c r="J64" s="105">
        <f t="shared" si="136"/>
        <v>0</v>
      </c>
      <c r="K64" s="105">
        <f t="shared" si="136"/>
        <v>0</v>
      </c>
      <c r="L64" s="105">
        <f t="shared" si="135"/>
        <v>8377.1999999999989</v>
      </c>
      <c r="M64" s="105">
        <f t="shared" si="135"/>
        <v>0</v>
      </c>
      <c r="N64" s="105">
        <f t="shared" si="135"/>
        <v>0</v>
      </c>
      <c r="O64" s="105">
        <f t="shared" si="135"/>
        <v>0</v>
      </c>
      <c r="P64" s="105">
        <f t="shared" si="135"/>
        <v>8800</v>
      </c>
      <c r="Q64" s="105">
        <f t="shared" si="135"/>
        <v>4917</v>
      </c>
      <c r="R64" s="105">
        <f t="shared" si="135"/>
        <v>9655.7999999999993</v>
      </c>
      <c r="S64" s="105">
        <f t="shared" si="135"/>
        <v>1689.6000000000001</v>
      </c>
      <c r="T64" s="105">
        <f t="shared" si="135"/>
        <v>5900.4000000000005</v>
      </c>
    </row>
    <row r="82" spans="3:21" x14ac:dyDescent="0.3">
      <c r="C82" s="2"/>
      <c r="D82" s="2"/>
      <c r="E82" s="2"/>
      <c r="F82" s="2"/>
      <c r="G82" s="2"/>
      <c r="H82" s="2"/>
      <c r="I82" s="2"/>
      <c r="J82" s="2"/>
      <c r="K82" s="2"/>
      <c r="L82" s="2"/>
      <c r="M82" s="2"/>
      <c r="N82" s="2"/>
      <c r="O82" s="2"/>
      <c r="P82" s="2"/>
      <c r="Q82" s="2"/>
      <c r="R82" s="2"/>
      <c r="S82" s="2"/>
      <c r="T82" s="2"/>
      <c r="U82" s="2"/>
    </row>
  </sheetData>
  <mergeCells count="10">
    <mergeCell ref="A56:A63"/>
    <mergeCell ref="C1:G1"/>
    <mergeCell ref="L1:T1"/>
    <mergeCell ref="B30:T30"/>
    <mergeCell ref="A2:A8"/>
    <mergeCell ref="A11:A22"/>
    <mergeCell ref="A24:A29"/>
    <mergeCell ref="A31:A34"/>
    <mergeCell ref="A37:A54"/>
    <mergeCell ref="C43:T43"/>
  </mergeCells>
  <conditionalFormatting sqref="P82">
    <cfRule type="colorScale" priority="100">
      <colorScale>
        <cfvo type="min"/>
        <cfvo type="percentile" val="50"/>
        <cfvo type="max"/>
        <color rgb="FF63BE7B"/>
        <color rgb="FFFFEB84"/>
        <color rgb="FFF8696B"/>
      </colorScale>
    </cfRule>
  </conditionalFormatting>
  <conditionalFormatting sqref="P82">
    <cfRule type="colorScale" priority="98">
      <colorScale>
        <cfvo type="min"/>
        <cfvo type="percentile" val="50"/>
        <cfvo type="max"/>
        <color rgb="FF63BE7B"/>
        <color rgb="FFFFEB84"/>
        <color rgb="FFF8696B"/>
      </colorScale>
    </cfRule>
  </conditionalFormatting>
  <conditionalFormatting sqref="V43:XFD43">
    <cfRule type="cellIs" dxfId="0" priority="73" operator="greaterThan">
      <formula>7000</formula>
    </cfRule>
  </conditionalFormatting>
  <conditionalFormatting sqref="U72:U73 B27:B29">
    <cfRule type="colorScale" priority="157">
      <colorScale>
        <cfvo type="min"/>
        <cfvo type="percentile" val="50"/>
        <cfvo type="max"/>
        <color rgb="FF63BE7B"/>
        <color rgb="FFFFEB84"/>
        <color rgb="FFF8696B"/>
      </colorScale>
    </cfRule>
  </conditionalFormatting>
  <conditionalFormatting sqref="U72">
    <cfRule type="colorScale" priority="160">
      <colorScale>
        <cfvo type="min"/>
        <cfvo type="percentile" val="50"/>
        <cfvo type="max"/>
        <color rgb="FF63BE7B"/>
        <color rgb="FFFFEB84"/>
        <color rgb="FFF8696B"/>
      </colorScale>
    </cfRule>
  </conditionalFormatting>
  <conditionalFormatting sqref="B27:B29 U73">
    <cfRule type="colorScale" priority="162">
      <colorScale>
        <cfvo type="min"/>
        <cfvo type="percentile" val="50"/>
        <cfvo type="max"/>
        <color rgb="FF63BE7B"/>
        <color rgb="FFFFEB84"/>
        <color rgb="FFF8696B"/>
      </colorScale>
    </cfRule>
  </conditionalFormatting>
  <conditionalFormatting sqref="U61">
    <cfRule type="colorScale" priority="167">
      <colorScale>
        <cfvo type="min"/>
        <cfvo type="percentile" val="50"/>
        <cfvo type="max"/>
        <color rgb="FF63BE7B"/>
        <color rgb="FFFFEB84"/>
        <color rgb="FFF8696B"/>
      </colorScale>
    </cfRule>
  </conditionalFormatting>
  <conditionalFormatting sqref="U67">
    <cfRule type="colorScale" priority="169">
      <colorScale>
        <cfvo type="min"/>
        <cfvo type="percentile" val="50"/>
        <cfvo type="max"/>
        <color rgb="FF63BE7B"/>
        <color rgb="FFFFEB84"/>
        <color rgb="FFF8696B"/>
      </colorScale>
    </cfRule>
  </conditionalFormatting>
  <conditionalFormatting sqref="Q82:U82">
    <cfRule type="colorScale" priority="176">
      <colorScale>
        <cfvo type="min"/>
        <cfvo type="percentile" val="50"/>
        <cfvo type="max"/>
        <color rgb="FF63BE7B"/>
        <color rgb="FFFFEB84"/>
        <color rgb="FFF8696B"/>
      </colorScale>
    </cfRule>
  </conditionalFormatting>
  <conditionalFormatting sqref="C82:O82">
    <cfRule type="colorScale" priority="208">
      <colorScale>
        <cfvo type="min"/>
        <cfvo type="percentile" val="50"/>
        <cfvo type="max"/>
        <color rgb="FF63BE7B"/>
        <color rgb="FFFFEB84"/>
        <color rgb="FFF8696B"/>
      </colorScale>
    </cfRule>
  </conditionalFormatting>
  <conditionalFormatting sqref="C82:U82">
    <cfRule type="colorScale" priority="210">
      <colorScale>
        <cfvo type="min"/>
        <cfvo type="percentile" val="50"/>
        <cfvo type="max"/>
        <color rgb="FF63BE7B"/>
        <color rgb="FFFFEB84"/>
        <color rgb="FFF8696B"/>
      </colorScale>
    </cfRule>
  </conditionalFormatting>
  <conditionalFormatting sqref="C62:T62">
    <cfRule type="colorScale" priority="212">
      <colorScale>
        <cfvo type="min"/>
        <cfvo type="percentile" val="50"/>
        <cfvo type="max"/>
        <color rgb="FF63BE7B"/>
        <color rgb="FFFFEB84"/>
        <color rgb="FFF8696B"/>
      </colorScale>
    </cfRule>
  </conditionalFormatting>
  <conditionalFormatting sqref="C60:T60">
    <cfRule type="colorScale" priority="214">
      <colorScale>
        <cfvo type="min"/>
        <cfvo type="percentile" val="50"/>
        <cfvo type="max"/>
        <color rgb="FFF8696B"/>
        <color rgb="FFFFEB84"/>
        <color rgb="FF63BE7B"/>
      </colorScale>
    </cfRule>
  </conditionalFormatting>
  <conditionalFormatting sqref="C59:T59">
    <cfRule type="colorScale" priority="216">
      <colorScale>
        <cfvo type="min"/>
        <cfvo type="percentile" val="50"/>
        <cfvo type="max"/>
        <color rgb="FFF8696B"/>
        <color rgb="FFFFEB84"/>
        <color rgb="FF63BE7B"/>
      </colorScale>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6A1B8-F4EF-4AFD-8AAC-4A3A905C0D36}">
  <dimension ref="B1:W47"/>
  <sheetViews>
    <sheetView topLeftCell="H20" zoomScale="160" zoomScaleNormal="160" workbookViewId="0">
      <selection activeCell="T33" sqref="T33"/>
    </sheetView>
  </sheetViews>
  <sheetFormatPr baseColWidth="10" defaultRowHeight="14.4" x14ac:dyDescent="0.3"/>
  <cols>
    <col min="2" max="2" width="21.44140625" customWidth="1"/>
    <col min="19" max="19" width="9.33203125" bestFit="1" customWidth="1"/>
    <col min="20" max="20" width="15.77734375" customWidth="1"/>
    <col min="21" max="21" width="14.44140625" customWidth="1"/>
  </cols>
  <sheetData>
    <row r="1" spans="2:23" ht="15" thickBot="1" x14ac:dyDescent="0.35">
      <c r="B1" s="141" t="s">
        <v>195</v>
      </c>
      <c r="C1" s="141"/>
      <c r="D1" s="141"/>
      <c r="E1" s="141"/>
      <c r="F1" s="141"/>
      <c r="G1" s="141"/>
    </row>
    <row r="2" spans="2:23" ht="15" thickBot="1" x14ac:dyDescent="0.35">
      <c r="B2" s="123" t="s">
        <v>267</v>
      </c>
      <c r="C2" s="129"/>
      <c r="D2" s="129"/>
      <c r="E2" s="129"/>
      <c r="F2" s="129"/>
      <c r="G2" s="133"/>
      <c r="N2" s="140"/>
      <c r="O2" s="140"/>
      <c r="P2" s="140"/>
      <c r="Q2" s="140"/>
      <c r="R2" s="140"/>
      <c r="S2" s="140"/>
      <c r="T2" s="140"/>
      <c r="U2" s="140"/>
      <c r="V2" s="140"/>
      <c r="W2" s="140"/>
    </row>
    <row r="3" spans="2:23" ht="15" thickBot="1" x14ac:dyDescent="0.35">
      <c r="B3" s="39"/>
      <c r="C3" s="110">
        <v>0.2</v>
      </c>
      <c r="D3" s="111">
        <v>7</v>
      </c>
      <c r="E3" s="111">
        <v>15</v>
      </c>
      <c r="F3" s="111">
        <v>20</v>
      </c>
      <c r="G3" s="112">
        <v>30</v>
      </c>
      <c r="H3" s="122"/>
      <c r="I3" s="122"/>
    </row>
    <row r="4" spans="2:23" x14ac:dyDescent="0.3">
      <c r="B4" s="38" t="s">
        <v>187</v>
      </c>
      <c r="C4" s="39">
        <v>10.5</v>
      </c>
      <c r="D4">
        <v>9.5</v>
      </c>
      <c r="E4">
        <v>8.9</v>
      </c>
      <c r="F4">
        <v>8.3000000000000007</v>
      </c>
      <c r="G4" s="40">
        <v>6.6</v>
      </c>
    </row>
    <row r="5" spans="2:23" x14ac:dyDescent="0.3">
      <c r="B5" s="39" t="s">
        <v>188</v>
      </c>
      <c r="C5" s="39">
        <v>9.1999999999999993</v>
      </c>
      <c r="D5">
        <v>8</v>
      </c>
      <c r="E5">
        <v>7.3</v>
      </c>
      <c r="F5">
        <v>6.9</v>
      </c>
      <c r="G5" s="40">
        <v>5.5</v>
      </c>
      <c r="H5" s="107"/>
      <c r="I5" s="107"/>
      <c r="J5" s="107"/>
    </row>
    <row r="6" spans="2:23" x14ac:dyDescent="0.3">
      <c r="B6" s="39" t="s">
        <v>189</v>
      </c>
      <c r="C6" s="39">
        <v>9.1999999999999993</v>
      </c>
      <c r="D6">
        <v>8.6</v>
      </c>
      <c r="E6">
        <v>8.1999999999999993</v>
      </c>
      <c r="F6">
        <v>7.8</v>
      </c>
      <c r="G6" s="40">
        <v>7.3</v>
      </c>
    </row>
    <row r="7" spans="2:23" x14ac:dyDescent="0.3">
      <c r="B7" s="39" t="s">
        <v>183</v>
      </c>
      <c r="C7" s="39">
        <v>11.1</v>
      </c>
      <c r="D7">
        <v>10.199999999999999</v>
      </c>
      <c r="E7">
        <v>9.6</v>
      </c>
      <c r="F7">
        <v>8.9</v>
      </c>
      <c r="G7" s="40">
        <v>7.2</v>
      </c>
    </row>
    <row r="8" spans="2:23" x14ac:dyDescent="0.3">
      <c r="B8" s="39" t="s">
        <v>190</v>
      </c>
      <c r="C8" s="39">
        <v>9.5</v>
      </c>
      <c r="D8">
        <v>8.8000000000000007</v>
      </c>
      <c r="E8">
        <v>8.6999999999999993</v>
      </c>
      <c r="F8">
        <v>8.5</v>
      </c>
      <c r="G8" s="40">
        <v>8</v>
      </c>
    </row>
    <row r="9" spans="2:23" x14ac:dyDescent="0.3">
      <c r="B9" s="39" t="s">
        <v>191</v>
      </c>
      <c r="C9" s="39">
        <v>9.8000000000000007</v>
      </c>
      <c r="D9">
        <v>9</v>
      </c>
      <c r="E9">
        <v>8.5</v>
      </c>
      <c r="F9">
        <v>8.1999999999999993</v>
      </c>
      <c r="G9" s="40">
        <v>7.7</v>
      </c>
      <c r="N9" s="127"/>
      <c r="O9" s="127"/>
      <c r="P9" s="127"/>
      <c r="Q9" s="127"/>
      <c r="R9" s="127"/>
      <c r="S9" s="127"/>
      <c r="T9" s="127"/>
      <c r="U9" s="127"/>
      <c r="V9" s="127"/>
      <c r="W9" s="127"/>
    </row>
    <row r="10" spans="2:23" x14ac:dyDescent="0.3">
      <c r="B10" s="39" t="s">
        <v>192</v>
      </c>
      <c r="C10" s="39">
        <v>11.1</v>
      </c>
      <c r="D10">
        <v>10.199999999999999</v>
      </c>
      <c r="E10">
        <v>9.5</v>
      </c>
      <c r="F10">
        <v>9.1</v>
      </c>
      <c r="G10" s="40">
        <v>7.5</v>
      </c>
    </row>
    <row r="11" spans="2:23" x14ac:dyDescent="0.3">
      <c r="B11" s="39" t="s">
        <v>193</v>
      </c>
      <c r="C11" s="39">
        <v>9.6999999999999993</v>
      </c>
      <c r="D11">
        <v>8.9</v>
      </c>
      <c r="E11">
        <v>8.9</v>
      </c>
      <c r="F11">
        <v>8.6</v>
      </c>
      <c r="G11" s="40">
        <v>8</v>
      </c>
    </row>
    <row r="12" spans="2:23" ht="15" thickBot="1" x14ac:dyDescent="0.35">
      <c r="B12" s="44" t="s">
        <v>194</v>
      </c>
      <c r="C12" s="44">
        <v>11.3</v>
      </c>
      <c r="D12" s="41">
        <v>10.8</v>
      </c>
      <c r="E12" s="41">
        <v>10.5</v>
      </c>
      <c r="F12" s="41">
        <v>10.3</v>
      </c>
      <c r="G12" s="42">
        <v>10</v>
      </c>
    </row>
    <row r="13" spans="2:23" x14ac:dyDescent="0.3">
      <c r="E13" s="40"/>
    </row>
    <row r="14" spans="2:23" ht="15" thickBot="1" x14ac:dyDescent="0.35"/>
    <row r="15" spans="2:23" ht="15" thickBot="1" x14ac:dyDescent="0.35">
      <c r="B15" s="123" t="s">
        <v>268</v>
      </c>
      <c r="C15" s="124"/>
      <c r="D15" s="124"/>
      <c r="E15" s="125"/>
    </row>
    <row r="16" spans="2:23" ht="15" thickBot="1" x14ac:dyDescent="0.35">
      <c r="B16" s="39"/>
      <c r="C16" s="110">
        <v>15</v>
      </c>
      <c r="D16" s="111">
        <v>20</v>
      </c>
      <c r="E16" s="112">
        <v>30</v>
      </c>
      <c r="M16" s="106"/>
    </row>
    <row r="17" spans="2:13" x14ac:dyDescent="0.3">
      <c r="B17" s="70" t="s">
        <v>187</v>
      </c>
      <c r="C17" s="39">
        <v>44</v>
      </c>
      <c r="D17">
        <v>81</v>
      </c>
      <c r="E17" s="108">
        <v>90</v>
      </c>
      <c r="M17" s="106"/>
    </row>
    <row r="18" spans="2:13" x14ac:dyDescent="0.3">
      <c r="B18" s="74" t="s">
        <v>188</v>
      </c>
      <c r="C18" s="39">
        <v>47</v>
      </c>
      <c r="D18">
        <v>90</v>
      </c>
      <c r="E18" s="108">
        <v>95</v>
      </c>
      <c r="M18" s="106"/>
    </row>
    <row r="19" spans="2:13" x14ac:dyDescent="0.3">
      <c r="B19" s="74" t="s">
        <v>189</v>
      </c>
      <c r="C19" s="39">
        <v>34</v>
      </c>
      <c r="D19">
        <v>42</v>
      </c>
      <c r="E19" s="108">
        <v>48</v>
      </c>
      <c r="M19" s="106"/>
    </row>
    <row r="20" spans="2:13" x14ac:dyDescent="0.3">
      <c r="B20" s="74" t="s">
        <v>183</v>
      </c>
      <c r="C20" s="39">
        <v>49</v>
      </c>
      <c r="D20">
        <v>75</v>
      </c>
      <c r="E20" s="108">
        <v>91</v>
      </c>
      <c r="M20" s="106"/>
    </row>
    <row r="21" spans="2:13" x14ac:dyDescent="0.3">
      <c r="B21" s="74" t="s">
        <v>190</v>
      </c>
      <c r="C21" s="39">
        <v>30</v>
      </c>
      <c r="D21">
        <v>38</v>
      </c>
      <c r="E21" s="108">
        <v>50</v>
      </c>
    </row>
    <row r="22" spans="2:13" x14ac:dyDescent="0.3">
      <c r="B22" s="74" t="s">
        <v>191</v>
      </c>
      <c r="C22" s="39">
        <v>28</v>
      </c>
      <c r="D22">
        <v>33</v>
      </c>
      <c r="E22" s="108">
        <v>43</v>
      </c>
    </row>
    <row r="23" spans="2:13" x14ac:dyDescent="0.3">
      <c r="B23" s="74" t="s">
        <v>192</v>
      </c>
      <c r="C23" s="39">
        <v>44</v>
      </c>
      <c r="D23">
        <v>55</v>
      </c>
      <c r="E23" s="108">
        <v>92</v>
      </c>
    </row>
    <row r="24" spans="2:13" x14ac:dyDescent="0.3">
      <c r="B24" s="74" t="s">
        <v>193</v>
      </c>
      <c r="C24" s="39">
        <v>35</v>
      </c>
      <c r="D24">
        <v>42</v>
      </c>
      <c r="E24" s="108">
        <v>50</v>
      </c>
    </row>
    <row r="25" spans="2:13" ht="15" thickBot="1" x14ac:dyDescent="0.35">
      <c r="B25" s="71" t="s">
        <v>194</v>
      </c>
      <c r="C25" s="44">
        <v>31</v>
      </c>
      <c r="D25" s="41">
        <v>33</v>
      </c>
      <c r="E25" s="109">
        <v>38</v>
      </c>
    </row>
    <row r="26" spans="2:13" x14ac:dyDescent="0.3">
      <c r="E26" s="121"/>
    </row>
    <row r="29" spans="2:13" x14ac:dyDescent="0.3">
      <c r="C29" s="140"/>
      <c r="D29" s="140"/>
    </row>
    <row r="37" spans="6:7" x14ac:dyDescent="0.3">
      <c r="F37" s="87"/>
      <c r="G37" s="87"/>
    </row>
    <row r="47" spans="6:7" ht="28.8" x14ac:dyDescent="0.55000000000000004">
      <c r="F47" s="15"/>
    </row>
  </sheetData>
  <mergeCells count="6">
    <mergeCell ref="C29:D29"/>
    <mergeCell ref="B1:G1"/>
    <mergeCell ref="N9:W9"/>
    <mergeCell ref="N2:W2"/>
    <mergeCell ref="B2:G2"/>
    <mergeCell ref="B15:E15"/>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opLeftCell="A48" zoomScaleNormal="100" workbookViewId="0">
      <selection activeCell="K22" sqref="K22:L22"/>
    </sheetView>
  </sheetViews>
  <sheetFormatPr baseColWidth="10" defaultColWidth="8.88671875" defaultRowHeight="14.4" x14ac:dyDescent="0.3"/>
  <cols>
    <col min="1" max="1" width="14.77734375" bestFit="1" customWidth="1"/>
    <col min="2" max="3" width="20.33203125" bestFit="1" customWidth="1"/>
    <col min="4" max="4" width="13" bestFit="1" customWidth="1"/>
    <col min="5" max="5" width="24.21875" bestFit="1" customWidth="1"/>
    <col min="6" max="6" width="16.21875" bestFit="1" customWidth="1"/>
  </cols>
  <sheetData>
    <row r="1" spans="1:7" ht="16.2" thickBot="1" x14ac:dyDescent="0.35">
      <c r="A1" s="19" t="s">
        <v>207</v>
      </c>
      <c r="B1" s="20" t="s">
        <v>208</v>
      </c>
      <c r="C1" s="20" t="s">
        <v>208</v>
      </c>
      <c r="D1" s="20" t="s">
        <v>209</v>
      </c>
      <c r="E1" s="20" t="s">
        <v>0</v>
      </c>
      <c r="F1" s="21" t="s">
        <v>210</v>
      </c>
    </row>
    <row r="2" spans="1:7" x14ac:dyDescent="0.3">
      <c r="A2" s="24">
        <v>0</v>
      </c>
      <c r="B2" s="27">
        <v>3.2</v>
      </c>
      <c r="C2" s="30">
        <f>B2*60^2</f>
        <v>11520</v>
      </c>
      <c r="D2" s="33"/>
      <c r="E2" s="33"/>
      <c r="F2" s="23"/>
    </row>
    <row r="3" spans="1:7" x14ac:dyDescent="0.3">
      <c r="A3" s="25">
        <v>0.2</v>
      </c>
      <c r="B3" s="28">
        <v>3.0156000000000001</v>
      </c>
      <c r="C3" s="31">
        <f t="shared" ref="C3:C13" si="0">B3*60^2</f>
        <v>10856.16</v>
      </c>
      <c r="D3" s="34">
        <f>C3/A3</f>
        <v>54280.799999999996</v>
      </c>
      <c r="E3" s="36">
        <f>$C$2/D3</f>
        <v>0.21222973869213424</v>
      </c>
      <c r="F3" s="17">
        <f>A3/E3</f>
        <v>0.94237500000000007</v>
      </c>
      <c r="G3" s="2"/>
    </row>
    <row r="4" spans="1:7" x14ac:dyDescent="0.3">
      <c r="A4" s="25">
        <v>0.5</v>
      </c>
      <c r="B4" s="28">
        <v>2.9843000000000002</v>
      </c>
      <c r="C4" s="31">
        <f t="shared" si="0"/>
        <v>10743.480000000001</v>
      </c>
      <c r="D4" s="34">
        <f t="shared" ref="D4:D13" si="1">C4/A4</f>
        <v>21486.960000000003</v>
      </c>
      <c r="E4" s="36">
        <f>$C$2/D4</f>
        <v>0.53613912810374287</v>
      </c>
      <c r="F4" s="17">
        <f t="shared" ref="F4:F13" si="2">A4/E4</f>
        <v>0.93259375000000011</v>
      </c>
    </row>
    <row r="5" spans="1:7" x14ac:dyDescent="0.3">
      <c r="A5" s="25">
        <v>1</v>
      </c>
      <c r="B5" s="28">
        <v>2.9687999999999999</v>
      </c>
      <c r="C5" s="31">
        <f t="shared" si="0"/>
        <v>10687.68</v>
      </c>
      <c r="D5" s="34">
        <f t="shared" si="1"/>
        <v>10687.68</v>
      </c>
      <c r="E5" s="36">
        <f t="shared" ref="E5:E12" si="3">$C$2/D5</f>
        <v>1.0778765831312314</v>
      </c>
      <c r="F5" s="17">
        <f t="shared" si="2"/>
        <v>0.92775000000000007</v>
      </c>
    </row>
    <row r="6" spans="1:7" x14ac:dyDescent="0.3">
      <c r="A6" s="25">
        <v>2</v>
      </c>
      <c r="B6" s="28">
        <v>2.9531000000000001</v>
      </c>
      <c r="C6" s="31">
        <f>B6*60^2</f>
        <v>10631.16</v>
      </c>
      <c r="D6" s="34">
        <f t="shared" si="1"/>
        <v>5315.58</v>
      </c>
      <c r="E6" s="36">
        <f t="shared" si="3"/>
        <v>2.1672141139819172</v>
      </c>
      <c r="F6" s="17">
        <f t="shared" si="2"/>
        <v>0.92284375000000007</v>
      </c>
    </row>
    <row r="7" spans="1:7" x14ac:dyDescent="0.3">
      <c r="A7" s="25">
        <v>3</v>
      </c>
      <c r="B7" s="28">
        <v>2.9369999999999998</v>
      </c>
      <c r="C7" s="31">
        <f t="shared" si="0"/>
        <v>10573.199999999999</v>
      </c>
      <c r="D7" s="34">
        <f t="shared" si="1"/>
        <v>3524.3999999999996</v>
      </c>
      <c r="E7" s="36">
        <f t="shared" si="3"/>
        <v>3.2686414708886624</v>
      </c>
      <c r="F7" s="17">
        <f t="shared" si="2"/>
        <v>0.91781249999999981</v>
      </c>
    </row>
    <row r="8" spans="1:7" x14ac:dyDescent="0.3">
      <c r="A8" s="25">
        <v>5</v>
      </c>
      <c r="B8" s="28">
        <v>2.91</v>
      </c>
      <c r="C8" s="31">
        <f>B8*60^2</f>
        <v>10476</v>
      </c>
      <c r="D8" s="34">
        <f t="shared" si="1"/>
        <v>2095.1999999999998</v>
      </c>
      <c r="E8" s="36">
        <f t="shared" si="3"/>
        <v>5.4982817869415817</v>
      </c>
      <c r="F8" s="17">
        <f t="shared" si="2"/>
        <v>0.90937499999999982</v>
      </c>
    </row>
    <row r="9" spans="1:7" x14ac:dyDescent="0.3">
      <c r="A9" s="25">
        <v>7</v>
      </c>
      <c r="B9" s="28">
        <v>2.85</v>
      </c>
      <c r="C9" s="31">
        <f t="shared" si="0"/>
        <v>10260</v>
      </c>
      <c r="D9" s="34">
        <f t="shared" si="1"/>
        <v>1465.7142857142858</v>
      </c>
      <c r="E9" s="36">
        <f t="shared" si="3"/>
        <v>7.8596491228070171</v>
      </c>
      <c r="F9" s="17">
        <f t="shared" si="2"/>
        <v>0.890625</v>
      </c>
    </row>
    <row r="10" spans="1:7" x14ac:dyDescent="0.3">
      <c r="A10" s="25">
        <v>10</v>
      </c>
      <c r="B10" s="28">
        <v>2.875</v>
      </c>
      <c r="C10" s="31">
        <f t="shared" si="0"/>
        <v>10350</v>
      </c>
      <c r="D10" s="34">
        <f t="shared" si="1"/>
        <v>1035</v>
      </c>
      <c r="E10" s="36">
        <f>$C$2/D10</f>
        <v>11.130434782608695</v>
      </c>
      <c r="F10" s="17">
        <f>A10/E10</f>
        <v>0.8984375</v>
      </c>
    </row>
    <row r="11" spans="1:7" x14ac:dyDescent="0.3">
      <c r="A11" s="25">
        <v>15</v>
      </c>
      <c r="B11" s="28">
        <v>2.82</v>
      </c>
      <c r="C11" s="31">
        <f t="shared" si="0"/>
        <v>10152</v>
      </c>
      <c r="D11" s="34">
        <f t="shared" si="1"/>
        <v>676.8</v>
      </c>
      <c r="E11" s="36">
        <f t="shared" si="3"/>
        <v>17.021276595744681</v>
      </c>
      <c r="F11" s="17">
        <f t="shared" si="2"/>
        <v>0.88124999999999998</v>
      </c>
    </row>
    <row r="12" spans="1:7" x14ac:dyDescent="0.3">
      <c r="A12" s="25">
        <v>20</v>
      </c>
      <c r="B12" s="28">
        <v>2.7</v>
      </c>
      <c r="C12" s="31">
        <f t="shared" si="0"/>
        <v>9720</v>
      </c>
      <c r="D12" s="34">
        <f t="shared" si="1"/>
        <v>486</v>
      </c>
      <c r="E12" s="36">
        <f t="shared" si="3"/>
        <v>23.703703703703702</v>
      </c>
      <c r="F12" s="17">
        <f t="shared" si="2"/>
        <v>0.84375</v>
      </c>
    </row>
    <row r="13" spans="1:7" ht="15" thickBot="1" x14ac:dyDescent="0.35">
      <c r="A13" s="26">
        <v>30</v>
      </c>
      <c r="B13" s="29">
        <v>2.5</v>
      </c>
      <c r="C13" s="32">
        <f t="shared" si="0"/>
        <v>9000</v>
      </c>
      <c r="D13" s="35">
        <f t="shared" si="1"/>
        <v>300</v>
      </c>
      <c r="E13" s="37">
        <f>$C$2/D13</f>
        <v>38.4</v>
      </c>
      <c r="F13" s="18">
        <f t="shared" si="2"/>
        <v>0.78125</v>
      </c>
    </row>
    <row r="15" spans="1:7" x14ac:dyDescent="0.3">
      <c r="F15" s="16" t="s">
        <v>211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0FAF4-7609-4C6D-8793-9B22DEBCE599}">
  <dimension ref="A1:O226"/>
  <sheetViews>
    <sheetView zoomScale="85" zoomScaleNormal="85" workbookViewId="0">
      <selection activeCell="P42" sqref="P42"/>
    </sheetView>
  </sheetViews>
  <sheetFormatPr baseColWidth="10" defaultRowHeight="14.4" x14ac:dyDescent="0.3"/>
  <sheetData>
    <row r="1" spans="2:15" ht="15" thickBot="1" x14ac:dyDescent="0.35"/>
    <row r="2" spans="2:15" ht="15" thickBot="1" x14ac:dyDescent="0.35">
      <c r="B2" s="38"/>
      <c r="C2" s="22"/>
      <c r="D2" s="22"/>
      <c r="E2" s="129" t="s">
        <v>141</v>
      </c>
      <c r="F2" s="129"/>
      <c r="G2" s="129"/>
      <c r="H2" s="129"/>
      <c r="I2" s="129"/>
      <c r="J2" s="129"/>
      <c r="K2" s="129"/>
      <c r="L2" s="129"/>
      <c r="M2" s="129"/>
      <c r="N2" s="129"/>
      <c r="O2" s="133"/>
    </row>
    <row r="3" spans="2:15" ht="14.4" customHeight="1" thickBot="1" x14ac:dyDescent="0.35">
      <c r="B3" s="39"/>
      <c r="D3" s="45">
        <f>1/12</f>
        <v>8.3333333333333329E-2</v>
      </c>
      <c r="E3" s="68">
        <v>0.2</v>
      </c>
      <c r="F3" s="119">
        <v>0.5</v>
      </c>
      <c r="G3" s="119">
        <v>1</v>
      </c>
      <c r="H3" s="119">
        <v>2</v>
      </c>
      <c r="I3" s="119">
        <v>3</v>
      </c>
      <c r="J3" s="119">
        <v>5</v>
      </c>
      <c r="K3" s="119">
        <v>7</v>
      </c>
      <c r="L3" s="119">
        <v>10</v>
      </c>
      <c r="M3" s="119">
        <v>15</v>
      </c>
      <c r="N3" s="119">
        <v>20</v>
      </c>
      <c r="O3" s="120">
        <v>30</v>
      </c>
    </row>
    <row r="4" spans="2:15" x14ac:dyDescent="0.3">
      <c r="B4" s="146" t="s">
        <v>213</v>
      </c>
      <c r="C4" s="116">
        <v>0</v>
      </c>
      <c r="D4" s="113">
        <v>0</v>
      </c>
      <c r="E4" s="38">
        <v>2.85</v>
      </c>
      <c r="F4" s="22">
        <v>2.8</v>
      </c>
      <c r="G4" s="22">
        <v>2.8</v>
      </c>
      <c r="H4" s="22">
        <v>2.8</v>
      </c>
      <c r="I4" s="22">
        <v>2.8</v>
      </c>
      <c r="J4" s="22">
        <v>2.8</v>
      </c>
      <c r="K4" s="22">
        <v>2.8</v>
      </c>
      <c r="L4" s="22">
        <v>2.8</v>
      </c>
      <c r="M4" s="22">
        <v>2.8</v>
      </c>
      <c r="N4" s="22">
        <v>2.8</v>
      </c>
      <c r="O4" s="43">
        <v>2.8</v>
      </c>
    </row>
    <row r="5" spans="2:15" x14ac:dyDescent="0.3">
      <c r="B5" s="147"/>
      <c r="C5" s="117">
        <v>0.25</v>
      </c>
      <c r="D5" s="114">
        <f t="shared" ref="D5:D16" si="0">D4+$B$55</f>
        <v>8.3333333333333329E-2</v>
      </c>
      <c r="E5" s="39">
        <v>3.16</v>
      </c>
      <c r="F5">
        <v>3.15</v>
      </c>
      <c r="G5">
        <v>3.13</v>
      </c>
      <c r="H5">
        <v>3.09</v>
      </c>
      <c r="I5">
        <v>3.06</v>
      </c>
      <c r="J5">
        <v>3.03</v>
      </c>
      <c r="K5">
        <v>2.99</v>
      </c>
      <c r="L5">
        <v>2.95</v>
      </c>
      <c r="M5">
        <v>2.88</v>
      </c>
      <c r="N5">
        <v>2.8</v>
      </c>
      <c r="O5" s="40">
        <v>2.8</v>
      </c>
    </row>
    <row r="6" spans="2:15" x14ac:dyDescent="0.3">
      <c r="B6" s="147"/>
      <c r="C6" s="117">
        <v>0.5</v>
      </c>
      <c r="D6" s="114">
        <f t="shared" si="0"/>
        <v>0.16666666666666666</v>
      </c>
      <c r="E6" s="39">
        <v>3.32</v>
      </c>
      <c r="F6">
        <v>3.34</v>
      </c>
      <c r="G6">
        <v>3.32</v>
      </c>
      <c r="H6">
        <v>3.3</v>
      </c>
      <c r="I6">
        <v>3.27</v>
      </c>
      <c r="J6">
        <v>3.24</v>
      </c>
      <c r="K6">
        <v>3.2</v>
      </c>
      <c r="L6">
        <v>3.15</v>
      </c>
      <c r="M6">
        <v>3.08</v>
      </c>
      <c r="N6">
        <v>3</v>
      </c>
      <c r="O6" s="40">
        <v>2.83</v>
      </c>
    </row>
    <row r="7" spans="2:15" x14ac:dyDescent="0.3">
      <c r="B7" s="147"/>
      <c r="C7" s="117">
        <v>0.75</v>
      </c>
      <c r="D7" s="114">
        <f t="shared" si="0"/>
        <v>0.25</v>
      </c>
      <c r="E7" s="39">
        <v>3.48</v>
      </c>
      <c r="F7">
        <v>3.47</v>
      </c>
      <c r="G7">
        <v>3.45</v>
      </c>
      <c r="H7">
        <v>3.42</v>
      </c>
      <c r="I7">
        <v>3.4</v>
      </c>
      <c r="J7">
        <v>3.35</v>
      </c>
      <c r="K7">
        <v>3.31</v>
      </c>
      <c r="L7">
        <v>3.26</v>
      </c>
      <c r="M7">
        <v>3.2</v>
      </c>
      <c r="N7">
        <v>3.13</v>
      </c>
      <c r="O7" s="40">
        <v>3</v>
      </c>
    </row>
    <row r="8" spans="2:15" x14ac:dyDescent="0.3">
      <c r="B8" s="147"/>
      <c r="C8" s="117">
        <v>1</v>
      </c>
      <c r="D8" s="114">
        <f t="shared" si="0"/>
        <v>0.33333333333333331</v>
      </c>
      <c r="E8" s="39">
        <v>3.57</v>
      </c>
      <c r="F8">
        <v>3.55</v>
      </c>
      <c r="G8">
        <v>3.53</v>
      </c>
      <c r="H8">
        <v>3.5</v>
      </c>
      <c r="I8">
        <v>3.47</v>
      </c>
      <c r="J8">
        <v>3.44</v>
      </c>
      <c r="K8">
        <v>3.4</v>
      </c>
      <c r="L8">
        <v>3.34</v>
      </c>
      <c r="M8">
        <v>3.27</v>
      </c>
      <c r="N8">
        <v>3.2</v>
      </c>
      <c r="O8" s="40">
        <v>3.05</v>
      </c>
    </row>
    <row r="9" spans="2:15" x14ac:dyDescent="0.3">
      <c r="B9" s="147"/>
      <c r="C9" s="117">
        <v>1.25</v>
      </c>
      <c r="D9" s="114">
        <f t="shared" si="0"/>
        <v>0.41666666666666663</v>
      </c>
      <c r="E9" s="39">
        <v>3.65</v>
      </c>
      <c r="F9">
        <v>3.64</v>
      </c>
      <c r="G9">
        <v>3.62</v>
      </c>
      <c r="H9">
        <v>3.59</v>
      </c>
      <c r="I9">
        <v>3.55</v>
      </c>
      <c r="J9">
        <v>3.5</v>
      </c>
      <c r="K9">
        <v>3.46</v>
      </c>
      <c r="L9">
        <v>3.41</v>
      </c>
      <c r="M9">
        <v>3.33</v>
      </c>
      <c r="N9">
        <v>3.25</v>
      </c>
      <c r="O9" s="40">
        <v>3.11</v>
      </c>
    </row>
    <row r="10" spans="2:15" x14ac:dyDescent="0.3">
      <c r="B10" s="147"/>
      <c r="C10" s="117">
        <v>1.5</v>
      </c>
      <c r="D10" s="114">
        <f t="shared" si="0"/>
        <v>0.49999999999999994</v>
      </c>
      <c r="E10" s="39">
        <v>3.74</v>
      </c>
      <c r="F10">
        <v>3.73</v>
      </c>
      <c r="G10">
        <v>3.71</v>
      </c>
      <c r="H10">
        <v>3.67</v>
      </c>
      <c r="I10">
        <v>3.65</v>
      </c>
      <c r="J10">
        <v>3.6</v>
      </c>
      <c r="K10">
        <v>3.55</v>
      </c>
      <c r="L10">
        <v>3.49</v>
      </c>
      <c r="M10">
        <v>3.4</v>
      </c>
      <c r="N10">
        <v>3.31</v>
      </c>
      <c r="O10" s="40">
        <v>3.16</v>
      </c>
    </row>
    <row r="11" spans="2:15" x14ac:dyDescent="0.3">
      <c r="B11" s="147"/>
      <c r="C11" s="117">
        <v>1.75</v>
      </c>
      <c r="D11" s="114">
        <f t="shared" si="0"/>
        <v>0.58333333333333326</v>
      </c>
      <c r="E11" s="39">
        <v>3.81</v>
      </c>
      <c r="F11">
        <v>3.8</v>
      </c>
      <c r="G11">
        <v>3.78</v>
      </c>
      <c r="H11">
        <v>3.75</v>
      </c>
      <c r="I11">
        <v>3.72</v>
      </c>
      <c r="J11">
        <v>3.67</v>
      </c>
      <c r="K11">
        <v>3.62</v>
      </c>
      <c r="L11">
        <v>3.56</v>
      </c>
      <c r="M11">
        <v>3.47</v>
      </c>
      <c r="N11">
        <v>3.38</v>
      </c>
      <c r="O11" s="40">
        <v>3.2</v>
      </c>
    </row>
    <row r="12" spans="2:15" x14ac:dyDescent="0.3">
      <c r="B12" s="147"/>
      <c r="C12" s="117">
        <v>2</v>
      </c>
      <c r="D12" s="114">
        <f t="shared" si="0"/>
        <v>0.66666666666666663</v>
      </c>
      <c r="E12" s="39">
        <v>3.87</v>
      </c>
      <c r="F12">
        <v>3.85</v>
      </c>
      <c r="G12">
        <v>3.84</v>
      </c>
      <c r="H12">
        <v>3.8</v>
      </c>
      <c r="I12">
        <v>3.79</v>
      </c>
      <c r="J12">
        <v>3.74</v>
      </c>
      <c r="K12">
        <v>3.7</v>
      </c>
      <c r="L12">
        <v>3.62</v>
      </c>
      <c r="M12">
        <v>3.52</v>
      </c>
      <c r="N12">
        <v>3.43</v>
      </c>
      <c r="O12" s="40">
        <v>3.22</v>
      </c>
    </row>
    <row r="13" spans="2:15" x14ac:dyDescent="0.3">
      <c r="B13" s="147"/>
      <c r="C13" s="117">
        <v>2.25</v>
      </c>
      <c r="D13" s="114">
        <f t="shared" si="0"/>
        <v>0.75</v>
      </c>
      <c r="E13" s="39">
        <v>3.96</v>
      </c>
      <c r="F13">
        <v>3.95</v>
      </c>
      <c r="G13">
        <v>3.93</v>
      </c>
      <c r="H13">
        <v>3.89</v>
      </c>
      <c r="I13">
        <v>3.86</v>
      </c>
      <c r="J13">
        <v>3.81</v>
      </c>
      <c r="K13">
        <v>3.77</v>
      </c>
      <c r="L13">
        <v>3.7</v>
      </c>
      <c r="M13">
        <v>3.6</v>
      </c>
      <c r="N13">
        <v>3.5</v>
      </c>
      <c r="O13" s="40">
        <v>3.28</v>
      </c>
    </row>
    <row r="14" spans="2:15" x14ac:dyDescent="0.3">
      <c r="B14" s="147"/>
      <c r="C14" s="117">
        <v>2.5</v>
      </c>
      <c r="D14" s="114">
        <f t="shared" si="0"/>
        <v>0.83333333333333337</v>
      </c>
      <c r="E14" s="39">
        <v>4.05</v>
      </c>
      <c r="F14">
        <v>4.04</v>
      </c>
      <c r="G14">
        <v>4.01</v>
      </c>
      <c r="H14">
        <v>3.98</v>
      </c>
      <c r="I14">
        <v>3.95</v>
      </c>
      <c r="J14">
        <v>3.89</v>
      </c>
      <c r="K14">
        <v>3.84</v>
      </c>
      <c r="L14">
        <v>3.77</v>
      </c>
      <c r="M14">
        <v>3.65</v>
      </c>
      <c r="N14">
        <v>3.55</v>
      </c>
      <c r="O14" s="40">
        <v>3.34</v>
      </c>
    </row>
    <row r="15" spans="2:15" x14ac:dyDescent="0.3">
      <c r="B15" s="147"/>
      <c r="C15" s="117">
        <v>2.75</v>
      </c>
      <c r="D15" s="114">
        <f t="shared" si="0"/>
        <v>0.91666666666666674</v>
      </c>
      <c r="E15" s="39">
        <v>4.08</v>
      </c>
      <c r="F15">
        <v>4.07</v>
      </c>
      <c r="G15">
        <v>4.05</v>
      </c>
      <c r="H15">
        <v>4.01</v>
      </c>
      <c r="I15">
        <v>3.98</v>
      </c>
      <c r="J15">
        <v>3.93</v>
      </c>
      <c r="K15">
        <v>3.88</v>
      </c>
      <c r="L15">
        <v>3.81</v>
      </c>
      <c r="M15">
        <v>3.7</v>
      </c>
      <c r="N15">
        <v>3.6</v>
      </c>
      <c r="O15" s="40">
        <v>3.4</v>
      </c>
    </row>
    <row r="16" spans="2:15" ht="15" thickBot="1" x14ac:dyDescent="0.35">
      <c r="B16" s="148"/>
      <c r="C16" s="118">
        <v>3</v>
      </c>
      <c r="D16" s="115">
        <f t="shared" si="0"/>
        <v>1</v>
      </c>
      <c r="E16" s="44">
        <v>4.18</v>
      </c>
      <c r="F16" s="41">
        <v>4.16</v>
      </c>
      <c r="G16" s="41">
        <v>4.1399999999999997</v>
      </c>
      <c r="H16" s="41">
        <v>4.12</v>
      </c>
      <c r="I16" s="41">
        <v>4.0999999999999996</v>
      </c>
      <c r="J16" s="41">
        <v>4.0750000000000002</v>
      </c>
      <c r="K16" s="41">
        <v>4.05</v>
      </c>
      <c r="L16" s="41">
        <v>3.98</v>
      </c>
      <c r="M16" s="41">
        <v>3.88</v>
      </c>
      <c r="N16" s="41">
        <v>3.7749999999999999</v>
      </c>
      <c r="O16" s="42">
        <v>3.59</v>
      </c>
    </row>
    <row r="32" spans="14:14" x14ac:dyDescent="0.3">
      <c r="N32" s="1"/>
    </row>
    <row r="51" spans="1:13" x14ac:dyDescent="0.3">
      <c r="A51" s="145" t="s">
        <v>212</v>
      </c>
      <c r="B51" s="145"/>
      <c r="C51" s="145"/>
      <c r="D51" s="145"/>
      <c r="E51" s="145"/>
      <c r="F51" s="145"/>
      <c r="G51" s="145"/>
      <c r="H51" s="145"/>
      <c r="I51" s="145"/>
      <c r="J51" s="145"/>
      <c r="K51" s="145"/>
      <c r="L51" s="145"/>
      <c r="M51" s="145"/>
    </row>
    <row r="52" spans="1:13" x14ac:dyDescent="0.3">
      <c r="A52" s="145"/>
      <c r="B52" s="145"/>
      <c r="C52" s="145"/>
      <c r="D52" s="145"/>
      <c r="E52" s="145"/>
      <c r="F52" s="145"/>
      <c r="G52" s="145"/>
      <c r="H52" s="145"/>
      <c r="I52" s="145"/>
      <c r="J52" s="145"/>
      <c r="K52" s="145"/>
      <c r="L52" s="145"/>
      <c r="M52" s="145"/>
    </row>
    <row r="53" spans="1:13" ht="15" thickBot="1" x14ac:dyDescent="0.35"/>
    <row r="54" spans="1:13" x14ac:dyDescent="0.3">
      <c r="C54" s="144" t="s">
        <v>141</v>
      </c>
      <c r="D54" s="129"/>
      <c r="E54" s="129"/>
      <c r="F54" s="129"/>
      <c r="G54" s="129"/>
      <c r="H54" s="129"/>
      <c r="I54" s="129"/>
      <c r="J54" s="129"/>
      <c r="K54" s="129"/>
      <c r="L54" s="129"/>
      <c r="M54" s="133"/>
    </row>
    <row r="55" spans="1:13" ht="15" thickBot="1" x14ac:dyDescent="0.35">
      <c r="B55" s="9">
        <f>1/12</f>
        <v>8.3333333333333329E-2</v>
      </c>
      <c r="C55" s="10">
        <v>0.2</v>
      </c>
      <c r="D55" s="11">
        <v>0.5</v>
      </c>
      <c r="E55" s="11">
        <v>1</v>
      </c>
      <c r="F55" s="11">
        <v>2</v>
      </c>
      <c r="G55" s="11">
        <v>3</v>
      </c>
      <c r="H55" s="11">
        <v>5</v>
      </c>
      <c r="I55" s="11">
        <v>7</v>
      </c>
      <c r="J55" s="11">
        <v>10</v>
      </c>
      <c r="K55" s="11">
        <v>15</v>
      </c>
      <c r="L55" s="11">
        <v>20</v>
      </c>
      <c r="M55" s="12">
        <v>30</v>
      </c>
    </row>
    <row r="56" spans="1:13" x14ac:dyDescent="0.3">
      <c r="A56" s="142" t="s">
        <v>140</v>
      </c>
      <c r="B56" s="7">
        <v>0</v>
      </c>
      <c r="C56" s="6">
        <v>2.847</v>
      </c>
      <c r="D56" s="5">
        <v>2.8420000000000001</v>
      </c>
      <c r="E56" s="5">
        <v>2.8370000000000002</v>
      </c>
      <c r="F56" s="5">
        <v>2.835</v>
      </c>
      <c r="G56" s="5">
        <v>2.8330000000000002</v>
      </c>
      <c r="H56" s="5">
        <v>2.8319999999999999</v>
      </c>
      <c r="I56" s="5">
        <v>2.83</v>
      </c>
      <c r="J56" s="5">
        <v>2.8250000000000002</v>
      </c>
      <c r="K56" s="5">
        <v>2.81</v>
      </c>
      <c r="L56" s="5">
        <v>2.8</v>
      </c>
      <c r="M56" s="5">
        <v>2.72</v>
      </c>
    </row>
    <row r="57" spans="1:13" x14ac:dyDescent="0.3">
      <c r="A57" s="142"/>
      <c r="B57" s="7">
        <f t="shared" ref="B57:B68" si="1">B56+$B$55</f>
        <v>8.3333333333333329E-2</v>
      </c>
      <c r="C57" s="6">
        <v>2.95</v>
      </c>
      <c r="D57" s="5">
        <v>2.9449999999999998</v>
      </c>
      <c r="E57" s="5">
        <v>2.94</v>
      </c>
      <c r="F57" s="5">
        <v>2.93</v>
      </c>
      <c r="G57" s="5">
        <v>2.9249999999999998</v>
      </c>
      <c r="H57" s="5">
        <v>2.92</v>
      </c>
      <c r="I57" s="5">
        <v>2.91</v>
      </c>
      <c r="J57" s="5">
        <v>2.9</v>
      </c>
      <c r="K57" s="5">
        <v>2.88</v>
      </c>
      <c r="L57" s="5">
        <v>2.86</v>
      </c>
      <c r="M57" s="5">
        <v>2.8</v>
      </c>
    </row>
    <row r="58" spans="1:13" x14ac:dyDescent="0.3">
      <c r="A58" s="142"/>
      <c r="B58" s="7">
        <f t="shared" si="1"/>
        <v>0.16666666666666666</v>
      </c>
      <c r="C58" s="6">
        <v>3.09</v>
      </c>
      <c r="D58" s="5">
        <v>3.08</v>
      </c>
      <c r="E58" s="5">
        <v>3.07</v>
      </c>
      <c r="F58" s="5">
        <v>3.06</v>
      </c>
      <c r="G58" s="5">
        <v>3.0550000000000002</v>
      </c>
      <c r="H58" s="5">
        <v>3.0449999999999999</v>
      </c>
      <c r="I58" s="5">
        <v>3.03</v>
      </c>
      <c r="J58" s="5">
        <v>3.01</v>
      </c>
      <c r="K58" s="5">
        <v>2.98</v>
      </c>
      <c r="L58" s="5">
        <v>2.95</v>
      </c>
      <c r="M58" s="5">
        <v>2.87</v>
      </c>
    </row>
    <row r="59" spans="1:13" x14ac:dyDescent="0.3">
      <c r="A59" s="142"/>
      <c r="B59" s="7">
        <f t="shared" si="1"/>
        <v>0.25</v>
      </c>
      <c r="C59" s="6">
        <v>3.25</v>
      </c>
      <c r="D59" s="5">
        <v>3.25</v>
      </c>
      <c r="E59" s="5">
        <v>3.24</v>
      </c>
      <c r="F59" s="5">
        <v>3.23</v>
      </c>
      <c r="G59" s="5">
        <v>3.21</v>
      </c>
      <c r="H59" s="5">
        <v>3.2</v>
      </c>
      <c r="I59" s="5">
        <v>3.157</v>
      </c>
      <c r="J59" s="5">
        <v>3.15</v>
      </c>
      <c r="K59" s="5">
        <v>3.12</v>
      </c>
      <c r="L59" s="5">
        <v>3.07</v>
      </c>
      <c r="M59" s="5">
        <v>2.98</v>
      </c>
    </row>
    <row r="60" spans="1:13" x14ac:dyDescent="0.3">
      <c r="A60" s="142"/>
      <c r="B60" s="7">
        <f t="shared" si="1"/>
        <v>0.33333333333333331</v>
      </c>
      <c r="C60" s="6">
        <v>3.4</v>
      </c>
      <c r="D60" s="5">
        <v>3.41</v>
      </c>
      <c r="E60" s="5">
        <v>3.4</v>
      </c>
      <c r="F60" s="5">
        <v>3.38</v>
      </c>
      <c r="G60" s="5">
        <v>3.36</v>
      </c>
      <c r="H60" s="5">
        <v>3.34</v>
      </c>
      <c r="I60" s="5">
        <v>3.3050000000000002</v>
      </c>
      <c r="J60" s="5">
        <v>3.27</v>
      </c>
      <c r="K60" s="5">
        <v>3.22</v>
      </c>
      <c r="L60" s="5">
        <v>3.16</v>
      </c>
      <c r="M60" s="5">
        <v>3.05</v>
      </c>
    </row>
    <row r="61" spans="1:13" x14ac:dyDescent="0.3">
      <c r="A61" s="142"/>
      <c r="B61" s="7">
        <f t="shared" si="1"/>
        <v>0.41666666666666663</v>
      </c>
      <c r="C61" s="6">
        <v>3.5249999999999999</v>
      </c>
      <c r="D61" s="5">
        <v>3.52</v>
      </c>
      <c r="E61" s="5">
        <v>3.5150000000000001</v>
      </c>
      <c r="F61" s="5">
        <v>3.49</v>
      </c>
      <c r="G61" s="5">
        <v>3.47</v>
      </c>
      <c r="H61" s="5">
        <v>3.43</v>
      </c>
      <c r="I61" s="5">
        <v>3.4</v>
      </c>
      <c r="J61" s="5">
        <v>3.36</v>
      </c>
      <c r="K61" s="5">
        <v>3.3</v>
      </c>
      <c r="L61" s="5">
        <v>3.24</v>
      </c>
      <c r="M61" s="5">
        <v>3.15</v>
      </c>
    </row>
    <row r="62" spans="1:13" x14ac:dyDescent="0.3">
      <c r="A62" s="142"/>
      <c r="B62" s="7">
        <f t="shared" si="1"/>
        <v>0.49999999999999994</v>
      </c>
      <c r="C62" s="6">
        <v>3.66</v>
      </c>
      <c r="D62" s="5">
        <v>3.65</v>
      </c>
      <c r="E62" s="5">
        <v>3.63</v>
      </c>
      <c r="F62" s="5">
        <v>3.6</v>
      </c>
      <c r="G62" s="5">
        <v>3.57</v>
      </c>
      <c r="H62" s="5">
        <v>3.5</v>
      </c>
      <c r="I62" s="5">
        <v>3.45</v>
      </c>
      <c r="J62" s="5">
        <v>3.37</v>
      </c>
      <c r="K62" s="5">
        <v>3.31</v>
      </c>
      <c r="L62" s="5">
        <v>3.31</v>
      </c>
      <c r="M62" s="5">
        <v>3.16</v>
      </c>
    </row>
    <row r="63" spans="1:13" x14ac:dyDescent="0.3">
      <c r="A63" s="142"/>
      <c r="B63" s="7">
        <f t="shared" si="1"/>
        <v>0.58333333333333326</v>
      </c>
      <c r="C63" s="6">
        <v>3.7650000000000001</v>
      </c>
      <c r="D63" s="5">
        <v>3.7549999999999999</v>
      </c>
      <c r="E63" s="5">
        <v>3.74</v>
      </c>
      <c r="F63" s="5">
        <v>3.7149999999999999</v>
      </c>
      <c r="G63" s="5">
        <v>3.6589999999999998</v>
      </c>
      <c r="H63" s="5">
        <v>3.645</v>
      </c>
      <c r="I63" s="5">
        <v>3.6</v>
      </c>
      <c r="J63" s="5">
        <v>3.54</v>
      </c>
      <c r="K63" s="5">
        <v>3.46</v>
      </c>
      <c r="L63" s="5">
        <v>3.38</v>
      </c>
      <c r="M63" s="5">
        <v>3.2</v>
      </c>
    </row>
    <row r="64" spans="1:13" x14ac:dyDescent="0.3">
      <c r="A64" s="142"/>
      <c r="B64" s="7">
        <f t="shared" si="1"/>
        <v>0.66666666666666663</v>
      </c>
      <c r="C64" s="6">
        <v>3.86</v>
      </c>
      <c r="D64" s="5">
        <v>3.85</v>
      </c>
      <c r="E64" s="5">
        <v>3.83</v>
      </c>
      <c r="F64" s="5">
        <v>3.8050000000000002</v>
      </c>
      <c r="G64" s="5">
        <v>3.78</v>
      </c>
      <c r="H64" s="5">
        <v>3.74</v>
      </c>
      <c r="I64" s="5">
        <v>3.6949999999999998</v>
      </c>
      <c r="J64" s="5">
        <v>3.64</v>
      </c>
      <c r="K64" s="5">
        <v>3.55</v>
      </c>
      <c r="L64" s="5">
        <v>3.45</v>
      </c>
      <c r="M64" s="5">
        <v>3.25</v>
      </c>
    </row>
    <row r="65" spans="1:13" x14ac:dyDescent="0.3">
      <c r="A65" s="142"/>
      <c r="B65" s="7">
        <f t="shared" si="1"/>
        <v>0.75</v>
      </c>
      <c r="C65" s="6">
        <v>4</v>
      </c>
      <c r="D65" s="5">
        <v>3.9849999999999999</v>
      </c>
      <c r="E65" s="5">
        <v>3.97</v>
      </c>
      <c r="F65" s="5">
        <v>3.9350000000000001</v>
      </c>
      <c r="G65" s="5">
        <v>3.9</v>
      </c>
      <c r="H65" s="5">
        <v>3.85</v>
      </c>
      <c r="I65" s="5">
        <v>3.8</v>
      </c>
      <c r="J65" s="5">
        <v>3.73</v>
      </c>
      <c r="K65" s="5">
        <v>3.63</v>
      </c>
      <c r="L65" s="5">
        <v>3.5350000000000001</v>
      </c>
      <c r="M65" s="5">
        <v>3.33</v>
      </c>
    </row>
    <row r="66" spans="1:13" x14ac:dyDescent="0.3">
      <c r="A66" s="142"/>
      <c r="B66" s="7">
        <f t="shared" si="1"/>
        <v>0.83333333333333337</v>
      </c>
      <c r="C66" s="6">
        <v>4.0720000000000001</v>
      </c>
      <c r="D66" s="5">
        <v>4.0679999999999996</v>
      </c>
      <c r="E66" s="5">
        <v>4.05</v>
      </c>
      <c r="F66" s="5">
        <v>4.0199999999999996</v>
      </c>
      <c r="G66" s="5">
        <v>3.98</v>
      </c>
      <c r="H66" s="5">
        <v>3.93</v>
      </c>
      <c r="I66" s="5">
        <v>3.875</v>
      </c>
      <c r="J66" s="5">
        <v>3.8149999999999999</v>
      </c>
      <c r="K66" s="5">
        <v>3.71</v>
      </c>
      <c r="L66" s="5">
        <v>3.6</v>
      </c>
      <c r="M66" s="5">
        <v>3.4</v>
      </c>
    </row>
    <row r="67" spans="1:13" ht="15" thickBot="1" x14ac:dyDescent="0.35">
      <c r="A67" s="143"/>
      <c r="B67" s="8">
        <f t="shared" si="1"/>
        <v>0.91666666666666674</v>
      </c>
      <c r="C67" s="6">
        <v>4.18</v>
      </c>
      <c r="D67" s="5">
        <v>4.17</v>
      </c>
      <c r="E67" s="5">
        <v>4.1500000000000004</v>
      </c>
      <c r="F67" s="5">
        <v>4.13</v>
      </c>
      <c r="G67" s="5">
        <v>4.1100000000000003</v>
      </c>
      <c r="H67" s="5">
        <v>4.08</v>
      </c>
      <c r="I67" s="5">
        <v>4.0199999999999996</v>
      </c>
      <c r="J67" s="5">
        <v>3.97</v>
      </c>
      <c r="K67" s="5">
        <v>3.88</v>
      </c>
      <c r="L67" s="5">
        <v>3.77</v>
      </c>
      <c r="M67" s="5">
        <v>3.59</v>
      </c>
    </row>
    <row r="68" spans="1:13" ht="15" thickBot="1" x14ac:dyDescent="0.35">
      <c r="B68" s="8">
        <f t="shared" si="1"/>
        <v>1</v>
      </c>
    </row>
    <row r="69" spans="1:13" x14ac:dyDescent="0.3">
      <c r="B69" s="4"/>
    </row>
    <row r="70" spans="1:13" x14ac:dyDescent="0.3">
      <c r="C70" t="s">
        <v>1</v>
      </c>
      <c r="D70" t="s">
        <v>2</v>
      </c>
      <c r="E70">
        <v>1</v>
      </c>
      <c r="F70">
        <v>2</v>
      </c>
      <c r="G70">
        <v>3</v>
      </c>
      <c r="H70">
        <v>5</v>
      </c>
      <c r="I70">
        <v>7</v>
      </c>
      <c r="J70">
        <v>10</v>
      </c>
      <c r="K70">
        <v>15</v>
      </c>
      <c r="L70">
        <v>20</v>
      </c>
      <c r="M70">
        <v>30</v>
      </c>
    </row>
    <row r="71" spans="1:13" x14ac:dyDescent="0.3">
      <c r="B71">
        <v>0</v>
      </c>
      <c r="C71" s="1" t="s">
        <v>3</v>
      </c>
      <c r="D71" s="1" t="s">
        <v>4</v>
      </c>
      <c r="E71" s="1" t="s">
        <v>5</v>
      </c>
      <c r="F71" s="1" t="s">
        <v>6</v>
      </c>
      <c r="G71" s="1" t="s">
        <v>7</v>
      </c>
      <c r="H71" s="1" t="s">
        <v>8</v>
      </c>
      <c r="I71" s="1" t="s">
        <v>9</v>
      </c>
      <c r="J71" s="1" t="s">
        <v>10</v>
      </c>
      <c r="K71" s="1" t="s">
        <v>11</v>
      </c>
      <c r="L71" s="1" t="s">
        <v>12</v>
      </c>
      <c r="M71" s="1" t="s">
        <v>13</v>
      </c>
    </row>
    <row r="72" spans="1:13" x14ac:dyDescent="0.3">
      <c r="B72" t="s">
        <v>14</v>
      </c>
      <c r="C72" s="1" t="s">
        <v>15</v>
      </c>
      <c r="D72" s="1" t="s">
        <v>16</v>
      </c>
      <c r="E72" s="1" t="s">
        <v>17</v>
      </c>
      <c r="F72" s="1" t="s">
        <v>18</v>
      </c>
      <c r="G72" s="1" t="s">
        <v>19</v>
      </c>
      <c r="H72" s="1" t="s">
        <v>20</v>
      </c>
      <c r="I72" s="1" t="s">
        <v>21</v>
      </c>
      <c r="J72" s="1" t="s">
        <v>22</v>
      </c>
      <c r="K72" s="1" t="s">
        <v>23</v>
      </c>
      <c r="L72" s="1" t="s">
        <v>24</v>
      </c>
      <c r="M72" s="1" t="s">
        <v>12</v>
      </c>
    </row>
    <row r="73" spans="1:13" x14ac:dyDescent="0.3">
      <c r="B73" t="s">
        <v>25</v>
      </c>
      <c r="C73" s="1" t="s">
        <v>26</v>
      </c>
      <c r="D73" s="1" t="s">
        <v>27</v>
      </c>
      <c r="E73" s="1" t="s">
        <v>28</v>
      </c>
      <c r="F73" s="1" t="s">
        <v>29</v>
      </c>
      <c r="G73" s="1" t="s">
        <v>30</v>
      </c>
      <c r="H73" s="1" t="s">
        <v>31</v>
      </c>
      <c r="I73" s="1" t="s">
        <v>32</v>
      </c>
      <c r="J73" s="1" t="s">
        <v>33</v>
      </c>
      <c r="K73" s="1" t="s">
        <v>34</v>
      </c>
      <c r="L73" s="1" t="s">
        <v>15</v>
      </c>
      <c r="M73" s="1" t="s">
        <v>35</v>
      </c>
    </row>
    <row r="74" spans="1:13" x14ac:dyDescent="0.3">
      <c r="B74" t="s">
        <v>36</v>
      </c>
      <c r="C74" s="1" t="s">
        <v>37</v>
      </c>
      <c r="D74" s="1" t="s">
        <v>37</v>
      </c>
      <c r="E74" s="1" t="s">
        <v>38</v>
      </c>
      <c r="F74" s="1" t="s">
        <v>39</v>
      </c>
      <c r="G74" s="1" t="s">
        <v>40</v>
      </c>
      <c r="H74" s="1" t="s">
        <v>41</v>
      </c>
      <c r="I74" s="1" t="s">
        <v>42</v>
      </c>
      <c r="J74" s="1" t="s">
        <v>43</v>
      </c>
      <c r="K74" s="1" t="s">
        <v>44</v>
      </c>
      <c r="L74" s="1" t="s">
        <v>28</v>
      </c>
      <c r="M74" s="1" t="s">
        <v>34</v>
      </c>
    </row>
    <row r="75" spans="1:13" x14ac:dyDescent="0.3">
      <c r="B75" t="s">
        <v>45</v>
      </c>
      <c r="C75" s="1" t="s">
        <v>46</v>
      </c>
      <c r="D75" s="1" t="s">
        <v>47</v>
      </c>
      <c r="E75" s="1" t="s">
        <v>46</v>
      </c>
      <c r="F75" s="1" t="s">
        <v>48</v>
      </c>
      <c r="G75" s="1" t="s">
        <v>49</v>
      </c>
      <c r="H75" s="1" t="s">
        <v>50</v>
      </c>
      <c r="I75" s="1" t="s">
        <v>51</v>
      </c>
      <c r="J75" s="1" t="s">
        <v>52</v>
      </c>
      <c r="K75" s="1" t="s">
        <v>53</v>
      </c>
      <c r="L75" s="1" t="s">
        <v>54</v>
      </c>
      <c r="M75" s="1" t="s">
        <v>55</v>
      </c>
    </row>
    <row r="76" spans="1:13" x14ac:dyDescent="0.3">
      <c r="B76" t="s">
        <v>56</v>
      </c>
      <c r="C76" s="1" t="s">
        <v>57</v>
      </c>
      <c r="D76" s="1" t="s">
        <v>58</v>
      </c>
      <c r="E76" s="1" t="s">
        <v>59</v>
      </c>
      <c r="F76" s="1" t="s">
        <v>60</v>
      </c>
      <c r="G76" s="1" t="s">
        <v>61</v>
      </c>
      <c r="H76" s="1" t="s">
        <v>62</v>
      </c>
      <c r="I76" s="1" t="s">
        <v>46</v>
      </c>
      <c r="J76" s="1" t="s">
        <v>49</v>
      </c>
      <c r="K76" s="1" t="s">
        <v>63</v>
      </c>
      <c r="L76" s="1" t="s">
        <v>38</v>
      </c>
      <c r="M76" s="1" t="s">
        <v>43</v>
      </c>
    </row>
    <row r="77" spans="1:13" x14ac:dyDescent="0.3">
      <c r="B77" t="s">
        <v>64</v>
      </c>
      <c r="C77" s="1" t="s">
        <v>65</v>
      </c>
      <c r="D77" s="1" t="s">
        <v>66</v>
      </c>
      <c r="E77" s="1" t="s">
        <v>67</v>
      </c>
      <c r="F77" s="1" t="s">
        <v>68</v>
      </c>
      <c r="G77" s="1" t="s">
        <v>69</v>
      </c>
      <c r="H77" s="1" t="s">
        <v>70</v>
      </c>
      <c r="I77" s="1" t="s">
        <v>71</v>
      </c>
      <c r="J77" s="1" t="s">
        <v>72</v>
      </c>
      <c r="K77" s="1" t="s">
        <v>73</v>
      </c>
      <c r="L77" s="1" t="s">
        <v>73</v>
      </c>
      <c r="M77" s="1" t="s">
        <v>54</v>
      </c>
    </row>
    <row r="78" spans="1:13" x14ac:dyDescent="0.3">
      <c r="B78" t="s">
        <v>74</v>
      </c>
      <c r="C78" s="1" t="s">
        <v>75</v>
      </c>
      <c r="D78" s="1" t="s">
        <v>76</v>
      </c>
      <c r="E78" s="1" t="s">
        <v>77</v>
      </c>
      <c r="F78" s="1" t="s">
        <v>78</v>
      </c>
      <c r="G78" s="1" t="s">
        <v>79</v>
      </c>
      <c r="H78" s="1" t="s">
        <v>80</v>
      </c>
      <c r="I78" s="1" t="s">
        <v>68</v>
      </c>
      <c r="J78" s="1" t="s">
        <v>81</v>
      </c>
      <c r="K78" s="1" t="s">
        <v>82</v>
      </c>
      <c r="L78" s="1" t="s">
        <v>48</v>
      </c>
      <c r="M78" s="1" t="s">
        <v>41</v>
      </c>
    </row>
    <row r="79" spans="1:13" x14ac:dyDescent="0.3">
      <c r="B79" t="s">
        <v>83</v>
      </c>
      <c r="C79" s="1" t="s">
        <v>84</v>
      </c>
      <c r="D79" s="1" t="s">
        <v>85</v>
      </c>
      <c r="E79" s="1" t="s">
        <v>86</v>
      </c>
      <c r="F79" s="1" t="s">
        <v>87</v>
      </c>
      <c r="G79" s="1" t="s">
        <v>88</v>
      </c>
      <c r="H79" s="1" t="s">
        <v>77</v>
      </c>
      <c r="I79" s="1" t="s">
        <v>89</v>
      </c>
      <c r="J79" s="1" t="s">
        <v>90</v>
      </c>
      <c r="K79" s="1" t="s">
        <v>91</v>
      </c>
      <c r="L79" s="1" t="s">
        <v>71</v>
      </c>
      <c r="M79" s="1" t="s">
        <v>37</v>
      </c>
    </row>
    <row r="80" spans="1:13" x14ac:dyDescent="0.3">
      <c r="B80" t="s">
        <v>92</v>
      </c>
      <c r="C80" s="1" t="s">
        <v>93</v>
      </c>
      <c r="D80" s="1" t="s">
        <v>94</v>
      </c>
      <c r="E80" s="1" t="s">
        <v>95</v>
      </c>
      <c r="F80" s="1" t="s">
        <v>96</v>
      </c>
      <c r="G80" s="1" t="s">
        <v>97</v>
      </c>
      <c r="H80" s="1" t="s">
        <v>85</v>
      </c>
      <c r="I80" s="1" t="s">
        <v>98</v>
      </c>
      <c r="J80" s="1" t="s">
        <v>99</v>
      </c>
      <c r="K80" s="1" t="s">
        <v>67</v>
      </c>
      <c r="L80" s="1" t="s">
        <v>100</v>
      </c>
      <c r="M80" s="1" t="s">
        <v>101</v>
      </c>
    </row>
    <row r="81" spans="2:13" x14ac:dyDescent="0.3">
      <c r="B81" t="s">
        <v>102</v>
      </c>
      <c r="C81" s="1" t="s">
        <v>103</v>
      </c>
      <c r="D81" s="1" t="s">
        <v>104</v>
      </c>
      <c r="E81" s="1" t="s">
        <v>105</v>
      </c>
      <c r="F81" s="1" t="s">
        <v>106</v>
      </c>
      <c r="G81" s="1" t="s">
        <v>107</v>
      </c>
      <c r="H81" s="1" t="s">
        <v>108</v>
      </c>
      <c r="I81" s="1" t="s">
        <v>109</v>
      </c>
      <c r="J81" s="1" t="s">
        <v>110</v>
      </c>
      <c r="K81" s="1" t="s">
        <v>111</v>
      </c>
      <c r="L81" s="1" t="s">
        <v>68</v>
      </c>
      <c r="M81" s="1" t="s">
        <v>46</v>
      </c>
    </row>
    <row r="82" spans="2:13" x14ac:dyDescent="0.3">
      <c r="B82">
        <v>1</v>
      </c>
      <c r="C82" s="1" t="s">
        <v>112</v>
      </c>
      <c r="D82" s="1" t="s">
        <v>113</v>
      </c>
      <c r="E82" s="1" t="s">
        <v>114</v>
      </c>
      <c r="F82" s="1" t="s">
        <v>115</v>
      </c>
      <c r="G82" s="1" t="s">
        <v>116</v>
      </c>
      <c r="H82" s="1" t="s">
        <v>117</v>
      </c>
      <c r="I82" s="1" t="s">
        <v>106</v>
      </c>
      <c r="J82" s="1" t="s">
        <v>95</v>
      </c>
      <c r="K82" s="1" t="s">
        <v>118</v>
      </c>
      <c r="L82" s="1" t="s">
        <v>119</v>
      </c>
      <c r="M82" s="1" t="s">
        <v>120</v>
      </c>
    </row>
    <row r="84" spans="2:13" x14ac:dyDescent="0.3">
      <c r="B84">
        <v>0</v>
      </c>
      <c r="C84" s="1" t="s">
        <v>1</v>
      </c>
      <c r="D84">
        <v>2</v>
      </c>
      <c r="F84">
        <v>0</v>
      </c>
      <c r="G84" s="1" t="s">
        <v>1</v>
      </c>
      <c r="H84">
        <v>2</v>
      </c>
    </row>
    <row r="85" spans="2:13" x14ac:dyDescent="0.3">
      <c r="B85" t="s">
        <v>121</v>
      </c>
      <c r="C85" t="s">
        <v>1</v>
      </c>
      <c r="D85" s="1" t="s">
        <v>3</v>
      </c>
      <c r="E85" s="1"/>
      <c r="F85" t="s">
        <v>122</v>
      </c>
      <c r="G85" t="s">
        <v>1</v>
      </c>
      <c r="H85" s="1" t="s">
        <v>3</v>
      </c>
      <c r="I85" s="1"/>
      <c r="J85" s="1"/>
      <c r="K85" s="1"/>
      <c r="L85" s="1"/>
      <c r="M85" s="1"/>
    </row>
    <row r="86" spans="2:13" x14ac:dyDescent="0.3">
      <c r="B86" t="s">
        <v>45</v>
      </c>
      <c r="C86" t="s">
        <v>1</v>
      </c>
      <c r="D86" s="1" t="s">
        <v>15</v>
      </c>
      <c r="F86" t="s">
        <v>25</v>
      </c>
      <c r="G86" t="s">
        <v>1</v>
      </c>
      <c r="H86" s="1" t="s">
        <v>15</v>
      </c>
    </row>
    <row r="87" spans="2:13" x14ac:dyDescent="0.3">
      <c r="B87" t="s">
        <v>123</v>
      </c>
      <c r="C87" t="s">
        <v>1</v>
      </c>
      <c r="D87" s="1" t="s">
        <v>26</v>
      </c>
      <c r="F87" t="s">
        <v>124</v>
      </c>
      <c r="G87" t="s">
        <v>1</v>
      </c>
      <c r="H87" s="1" t="s">
        <v>26</v>
      </c>
    </row>
    <row r="88" spans="2:13" x14ac:dyDescent="0.3">
      <c r="B88" t="s">
        <v>125</v>
      </c>
      <c r="C88" t="s">
        <v>1</v>
      </c>
      <c r="D88" s="1" t="s">
        <v>37</v>
      </c>
      <c r="F88" t="s">
        <v>126</v>
      </c>
      <c r="G88" t="s">
        <v>1</v>
      </c>
      <c r="H88" s="1" t="s">
        <v>37</v>
      </c>
    </row>
    <row r="89" spans="2:13" x14ac:dyDescent="0.3">
      <c r="B89" t="s">
        <v>127</v>
      </c>
      <c r="C89" t="s">
        <v>1</v>
      </c>
      <c r="D89" s="1" t="s">
        <v>46</v>
      </c>
      <c r="F89" t="s">
        <v>123</v>
      </c>
      <c r="G89" t="s">
        <v>1</v>
      </c>
      <c r="H89" s="1" t="s">
        <v>46</v>
      </c>
    </row>
    <row r="90" spans="2:13" x14ac:dyDescent="0.3">
      <c r="B90" t="s">
        <v>128</v>
      </c>
      <c r="C90" t="s">
        <v>1</v>
      </c>
      <c r="D90" s="1" t="s">
        <v>57</v>
      </c>
      <c r="F90" t="s">
        <v>129</v>
      </c>
      <c r="G90" t="s">
        <v>1</v>
      </c>
      <c r="H90" s="1" t="s">
        <v>57</v>
      </c>
    </row>
    <row r="91" spans="2:13" x14ac:dyDescent="0.3">
      <c r="B91" t="s">
        <v>130</v>
      </c>
      <c r="C91" t="s">
        <v>1</v>
      </c>
      <c r="D91" s="1" t="s">
        <v>65</v>
      </c>
      <c r="F91" t="s">
        <v>131</v>
      </c>
      <c r="G91" t="s">
        <v>1</v>
      </c>
      <c r="H91" s="1" t="s">
        <v>65</v>
      </c>
    </row>
    <row r="92" spans="2:13" x14ac:dyDescent="0.3">
      <c r="B92" t="s">
        <v>132</v>
      </c>
      <c r="C92" t="s">
        <v>1</v>
      </c>
      <c r="D92" s="1" t="s">
        <v>75</v>
      </c>
      <c r="F92" t="s">
        <v>133</v>
      </c>
      <c r="G92" t="s">
        <v>1</v>
      </c>
      <c r="H92" s="1" t="s">
        <v>75</v>
      </c>
    </row>
    <row r="93" spans="2:13" x14ac:dyDescent="0.3">
      <c r="B93" t="s">
        <v>134</v>
      </c>
      <c r="C93" t="s">
        <v>1</v>
      </c>
      <c r="D93" s="1" t="s">
        <v>84</v>
      </c>
      <c r="F93" t="s">
        <v>135</v>
      </c>
      <c r="G93" t="s">
        <v>1</v>
      </c>
      <c r="H93" s="1" t="s">
        <v>84</v>
      </c>
    </row>
    <row r="94" spans="2:13" x14ac:dyDescent="0.3">
      <c r="B94" t="s">
        <v>136</v>
      </c>
      <c r="C94" t="s">
        <v>1</v>
      </c>
      <c r="D94" s="1" t="s">
        <v>93</v>
      </c>
      <c r="F94">
        <v>0.83636363599999997</v>
      </c>
      <c r="G94" t="s">
        <v>1</v>
      </c>
      <c r="H94" s="1" t="s">
        <v>93</v>
      </c>
    </row>
    <row r="95" spans="2:13" x14ac:dyDescent="0.3">
      <c r="B95" t="s">
        <v>138</v>
      </c>
      <c r="C95" t="s">
        <v>1</v>
      </c>
      <c r="D95" s="1" t="s">
        <v>103</v>
      </c>
      <c r="F95" t="s">
        <v>139</v>
      </c>
      <c r="G95" t="s">
        <v>1</v>
      </c>
      <c r="H95" s="1" t="s">
        <v>103</v>
      </c>
    </row>
    <row r="96" spans="2:13" x14ac:dyDescent="0.3">
      <c r="B96">
        <v>1</v>
      </c>
      <c r="C96" t="s">
        <v>1</v>
      </c>
      <c r="D96" s="1" t="s">
        <v>112</v>
      </c>
      <c r="F96">
        <v>1</v>
      </c>
      <c r="G96" t="s">
        <v>1</v>
      </c>
      <c r="H96" s="1" t="s">
        <v>112</v>
      </c>
    </row>
    <row r="97" spans="2:8" x14ac:dyDescent="0.3">
      <c r="B97" t="s">
        <v>121</v>
      </c>
      <c r="C97" t="s">
        <v>2</v>
      </c>
      <c r="D97" s="1" t="s">
        <v>4</v>
      </c>
      <c r="F97">
        <v>0</v>
      </c>
      <c r="G97" t="s">
        <v>2</v>
      </c>
      <c r="H97">
        <v>2</v>
      </c>
    </row>
    <row r="98" spans="2:8" x14ac:dyDescent="0.3">
      <c r="B98" t="s">
        <v>45</v>
      </c>
      <c r="C98" t="s">
        <v>2</v>
      </c>
      <c r="D98" s="1" t="s">
        <v>16</v>
      </c>
      <c r="F98" t="s">
        <v>122</v>
      </c>
      <c r="G98" t="s">
        <v>2</v>
      </c>
      <c r="H98" s="1" t="s">
        <v>4</v>
      </c>
    </row>
    <row r="99" spans="2:8" x14ac:dyDescent="0.3">
      <c r="B99" t="s">
        <v>123</v>
      </c>
      <c r="C99" t="s">
        <v>2</v>
      </c>
      <c r="D99" s="1" t="s">
        <v>27</v>
      </c>
      <c r="F99" t="s">
        <v>25</v>
      </c>
      <c r="G99" t="s">
        <v>2</v>
      </c>
      <c r="H99" s="1" t="s">
        <v>16</v>
      </c>
    </row>
    <row r="100" spans="2:8" x14ac:dyDescent="0.3">
      <c r="B100" t="s">
        <v>125</v>
      </c>
      <c r="C100" t="s">
        <v>2</v>
      </c>
      <c r="D100" s="1" t="s">
        <v>37</v>
      </c>
      <c r="F100" t="s">
        <v>124</v>
      </c>
      <c r="G100" t="s">
        <v>2</v>
      </c>
      <c r="H100" s="1" t="s">
        <v>27</v>
      </c>
    </row>
    <row r="101" spans="2:8" x14ac:dyDescent="0.3">
      <c r="B101" t="s">
        <v>127</v>
      </c>
      <c r="C101" t="s">
        <v>2</v>
      </c>
      <c r="D101" s="1" t="s">
        <v>47</v>
      </c>
      <c r="F101" t="s">
        <v>126</v>
      </c>
      <c r="G101" t="s">
        <v>2</v>
      </c>
      <c r="H101" s="1" t="s">
        <v>37</v>
      </c>
    </row>
    <row r="102" spans="2:8" x14ac:dyDescent="0.3">
      <c r="B102" t="s">
        <v>128</v>
      </c>
      <c r="C102" t="s">
        <v>2</v>
      </c>
      <c r="D102" s="1" t="s">
        <v>58</v>
      </c>
      <c r="F102" t="s">
        <v>123</v>
      </c>
      <c r="G102" t="s">
        <v>2</v>
      </c>
      <c r="H102" s="1" t="s">
        <v>47</v>
      </c>
    </row>
    <row r="103" spans="2:8" x14ac:dyDescent="0.3">
      <c r="B103" t="s">
        <v>130</v>
      </c>
      <c r="C103" t="s">
        <v>2</v>
      </c>
      <c r="D103" s="1" t="s">
        <v>66</v>
      </c>
      <c r="F103" t="s">
        <v>129</v>
      </c>
      <c r="G103" t="s">
        <v>2</v>
      </c>
      <c r="H103" s="1" t="s">
        <v>58</v>
      </c>
    </row>
    <row r="104" spans="2:8" x14ac:dyDescent="0.3">
      <c r="B104" t="s">
        <v>132</v>
      </c>
      <c r="C104" t="s">
        <v>2</v>
      </c>
      <c r="D104" s="1" t="s">
        <v>76</v>
      </c>
      <c r="F104" t="s">
        <v>131</v>
      </c>
      <c r="G104" t="s">
        <v>2</v>
      </c>
      <c r="H104" s="1" t="s">
        <v>66</v>
      </c>
    </row>
    <row r="105" spans="2:8" x14ac:dyDescent="0.3">
      <c r="B105" t="s">
        <v>134</v>
      </c>
      <c r="C105" t="s">
        <v>2</v>
      </c>
      <c r="D105" s="1" t="s">
        <v>85</v>
      </c>
      <c r="F105" t="s">
        <v>133</v>
      </c>
      <c r="G105" t="s">
        <v>2</v>
      </c>
      <c r="H105" s="1" t="s">
        <v>76</v>
      </c>
    </row>
    <row r="106" spans="2:8" x14ac:dyDescent="0.3">
      <c r="B106" t="s">
        <v>136</v>
      </c>
      <c r="C106" t="s">
        <v>2</v>
      </c>
      <c r="D106" s="1" t="s">
        <v>94</v>
      </c>
      <c r="F106" t="s">
        <v>135</v>
      </c>
      <c r="G106" t="s">
        <v>2</v>
      </c>
      <c r="H106" s="1" t="s">
        <v>85</v>
      </c>
    </row>
    <row r="107" spans="2:8" x14ac:dyDescent="0.3">
      <c r="B107" t="s">
        <v>138</v>
      </c>
      <c r="C107" t="s">
        <v>2</v>
      </c>
      <c r="D107" s="1" t="s">
        <v>104</v>
      </c>
      <c r="F107" t="s">
        <v>137</v>
      </c>
      <c r="G107" t="s">
        <v>2</v>
      </c>
      <c r="H107" s="1" t="s">
        <v>94</v>
      </c>
    </row>
    <row r="108" spans="2:8" x14ac:dyDescent="0.3">
      <c r="B108">
        <v>1</v>
      </c>
      <c r="C108" t="s">
        <v>2</v>
      </c>
      <c r="D108" s="1" t="s">
        <v>113</v>
      </c>
      <c r="F108" t="s">
        <v>139</v>
      </c>
      <c r="G108" t="s">
        <v>2</v>
      </c>
      <c r="H108" s="1" t="s">
        <v>104</v>
      </c>
    </row>
    <row r="109" spans="2:8" x14ac:dyDescent="0.3">
      <c r="B109" t="s">
        <v>121</v>
      </c>
      <c r="C109">
        <v>1</v>
      </c>
      <c r="D109" s="1" t="s">
        <v>5</v>
      </c>
      <c r="F109">
        <v>1</v>
      </c>
      <c r="G109" t="s">
        <v>2</v>
      </c>
      <c r="H109" s="1" t="s">
        <v>113</v>
      </c>
    </row>
    <row r="110" spans="2:8" x14ac:dyDescent="0.3">
      <c r="B110" t="s">
        <v>45</v>
      </c>
      <c r="C110">
        <v>1</v>
      </c>
      <c r="D110" s="1" t="s">
        <v>17</v>
      </c>
      <c r="F110">
        <v>0</v>
      </c>
      <c r="G110">
        <v>1</v>
      </c>
      <c r="H110">
        <v>2</v>
      </c>
    </row>
    <row r="111" spans="2:8" x14ac:dyDescent="0.3">
      <c r="B111" t="s">
        <v>123</v>
      </c>
      <c r="C111">
        <v>1</v>
      </c>
      <c r="D111" s="1" t="s">
        <v>28</v>
      </c>
      <c r="F111" t="s">
        <v>122</v>
      </c>
      <c r="G111">
        <v>1</v>
      </c>
      <c r="H111" s="1" t="s">
        <v>5</v>
      </c>
    </row>
    <row r="112" spans="2:8" x14ac:dyDescent="0.3">
      <c r="B112" t="s">
        <v>125</v>
      </c>
      <c r="C112">
        <v>1</v>
      </c>
      <c r="D112" s="1" t="s">
        <v>38</v>
      </c>
      <c r="F112" t="s">
        <v>25</v>
      </c>
      <c r="G112">
        <v>1</v>
      </c>
      <c r="H112" s="1" t="s">
        <v>17</v>
      </c>
    </row>
    <row r="113" spans="2:8" x14ac:dyDescent="0.3">
      <c r="B113" t="s">
        <v>127</v>
      </c>
      <c r="C113">
        <v>1</v>
      </c>
      <c r="D113" s="1" t="s">
        <v>46</v>
      </c>
      <c r="F113" t="s">
        <v>124</v>
      </c>
      <c r="G113">
        <v>1</v>
      </c>
      <c r="H113" s="1" t="s">
        <v>28</v>
      </c>
    </row>
    <row r="114" spans="2:8" x14ac:dyDescent="0.3">
      <c r="B114" t="s">
        <v>128</v>
      </c>
      <c r="C114">
        <v>1</v>
      </c>
      <c r="D114" s="1" t="s">
        <v>59</v>
      </c>
      <c r="F114" t="s">
        <v>126</v>
      </c>
      <c r="G114">
        <v>1</v>
      </c>
      <c r="H114" s="1" t="s">
        <v>38</v>
      </c>
    </row>
    <row r="115" spans="2:8" x14ac:dyDescent="0.3">
      <c r="B115" t="s">
        <v>130</v>
      </c>
      <c r="C115">
        <v>1</v>
      </c>
      <c r="D115" s="1" t="s">
        <v>67</v>
      </c>
      <c r="F115">
        <v>0.42727272700000002</v>
      </c>
      <c r="G115">
        <v>1</v>
      </c>
      <c r="H115" s="1" t="s">
        <v>46</v>
      </c>
    </row>
    <row r="116" spans="2:8" x14ac:dyDescent="0.3">
      <c r="B116" t="s">
        <v>132</v>
      </c>
      <c r="C116">
        <v>1</v>
      </c>
      <c r="D116" s="1" t="s">
        <v>77</v>
      </c>
      <c r="F116" t="s">
        <v>129</v>
      </c>
      <c r="G116">
        <v>1</v>
      </c>
      <c r="H116" s="1" t="s">
        <v>59</v>
      </c>
    </row>
    <row r="117" spans="2:8" x14ac:dyDescent="0.3">
      <c r="B117" t="s">
        <v>134</v>
      </c>
      <c r="C117">
        <v>1</v>
      </c>
      <c r="D117" s="1" t="s">
        <v>86</v>
      </c>
      <c r="F117" t="s">
        <v>131</v>
      </c>
      <c r="G117">
        <v>1</v>
      </c>
      <c r="H117" s="1" t="s">
        <v>67</v>
      </c>
    </row>
    <row r="118" spans="2:8" x14ac:dyDescent="0.3">
      <c r="B118" t="s">
        <v>136</v>
      </c>
      <c r="C118">
        <v>1</v>
      </c>
      <c r="D118" s="1" t="s">
        <v>95</v>
      </c>
      <c r="F118" t="s">
        <v>133</v>
      </c>
      <c r="G118">
        <v>1</v>
      </c>
      <c r="H118" s="1" t="s">
        <v>77</v>
      </c>
    </row>
    <row r="119" spans="2:8" x14ac:dyDescent="0.3">
      <c r="B119" t="s">
        <v>138</v>
      </c>
      <c r="C119">
        <v>1</v>
      </c>
      <c r="D119" s="1" t="s">
        <v>105</v>
      </c>
      <c r="F119" t="s">
        <v>135</v>
      </c>
      <c r="G119">
        <v>1</v>
      </c>
      <c r="H119" s="1" t="s">
        <v>86</v>
      </c>
    </row>
    <row r="120" spans="2:8" x14ac:dyDescent="0.3">
      <c r="B120">
        <v>1</v>
      </c>
      <c r="C120">
        <v>1</v>
      </c>
      <c r="D120" s="1" t="s">
        <v>114</v>
      </c>
      <c r="F120" t="s">
        <v>137</v>
      </c>
      <c r="G120">
        <v>1</v>
      </c>
      <c r="H120" s="1" t="s">
        <v>95</v>
      </c>
    </row>
    <row r="121" spans="2:8" x14ac:dyDescent="0.3">
      <c r="B121" t="s">
        <v>121</v>
      </c>
      <c r="C121">
        <v>2</v>
      </c>
      <c r="D121" s="1" t="s">
        <v>6</v>
      </c>
      <c r="F121" t="s">
        <v>139</v>
      </c>
      <c r="G121">
        <v>1</v>
      </c>
      <c r="H121" s="1" t="s">
        <v>105</v>
      </c>
    </row>
    <row r="122" spans="2:8" x14ac:dyDescent="0.3">
      <c r="B122" t="s">
        <v>45</v>
      </c>
      <c r="C122">
        <v>2</v>
      </c>
      <c r="D122" s="1" t="s">
        <v>18</v>
      </c>
      <c r="F122">
        <v>1</v>
      </c>
      <c r="G122">
        <v>1</v>
      </c>
      <c r="H122" s="1" t="s">
        <v>114</v>
      </c>
    </row>
    <row r="123" spans="2:8" x14ac:dyDescent="0.3">
      <c r="B123" t="s">
        <v>123</v>
      </c>
      <c r="C123">
        <v>2</v>
      </c>
      <c r="D123" s="1" t="s">
        <v>29</v>
      </c>
      <c r="F123">
        <v>0</v>
      </c>
      <c r="G123">
        <v>2</v>
      </c>
      <c r="H123">
        <v>2</v>
      </c>
    </row>
    <row r="124" spans="2:8" x14ac:dyDescent="0.3">
      <c r="B124" t="s">
        <v>125</v>
      </c>
      <c r="C124">
        <v>2</v>
      </c>
      <c r="D124" s="1" t="s">
        <v>39</v>
      </c>
      <c r="F124" t="s">
        <v>122</v>
      </c>
      <c r="G124">
        <v>2</v>
      </c>
      <c r="H124" s="1" t="s">
        <v>6</v>
      </c>
    </row>
    <row r="125" spans="2:8" x14ac:dyDescent="0.3">
      <c r="B125" t="s">
        <v>127</v>
      </c>
      <c r="C125">
        <v>2</v>
      </c>
      <c r="D125" s="1" t="s">
        <v>48</v>
      </c>
      <c r="F125" t="s">
        <v>25</v>
      </c>
      <c r="G125">
        <v>2</v>
      </c>
      <c r="H125" s="1" t="s">
        <v>18</v>
      </c>
    </row>
    <row r="126" spans="2:8" x14ac:dyDescent="0.3">
      <c r="B126" t="s">
        <v>128</v>
      </c>
      <c r="C126">
        <v>2</v>
      </c>
      <c r="D126" s="1" t="s">
        <v>60</v>
      </c>
      <c r="F126" t="s">
        <v>124</v>
      </c>
      <c r="G126">
        <v>2</v>
      </c>
      <c r="H126" s="1" t="s">
        <v>29</v>
      </c>
    </row>
    <row r="127" spans="2:8" x14ac:dyDescent="0.3">
      <c r="B127" t="s">
        <v>130</v>
      </c>
      <c r="C127">
        <v>2</v>
      </c>
      <c r="D127" s="1" t="s">
        <v>68</v>
      </c>
      <c r="F127" t="s">
        <v>126</v>
      </c>
      <c r="G127">
        <v>2</v>
      </c>
      <c r="H127" s="1" t="s">
        <v>39</v>
      </c>
    </row>
    <row r="128" spans="2:8" x14ac:dyDescent="0.3">
      <c r="B128" t="s">
        <v>132</v>
      </c>
      <c r="C128">
        <v>2</v>
      </c>
      <c r="D128" s="1" t="s">
        <v>78</v>
      </c>
      <c r="F128" t="s">
        <v>123</v>
      </c>
      <c r="G128">
        <v>2</v>
      </c>
      <c r="H128" s="1" t="s">
        <v>48</v>
      </c>
    </row>
    <row r="129" spans="2:8" x14ac:dyDescent="0.3">
      <c r="B129" t="s">
        <v>134</v>
      </c>
      <c r="C129">
        <v>2</v>
      </c>
      <c r="D129" s="1" t="s">
        <v>87</v>
      </c>
      <c r="F129" t="s">
        <v>129</v>
      </c>
      <c r="G129">
        <v>2</v>
      </c>
      <c r="H129" s="1" t="s">
        <v>60</v>
      </c>
    </row>
    <row r="130" spans="2:8" x14ac:dyDescent="0.3">
      <c r="B130" t="s">
        <v>136</v>
      </c>
      <c r="C130">
        <v>2</v>
      </c>
      <c r="D130" s="1" t="s">
        <v>96</v>
      </c>
      <c r="F130" t="s">
        <v>131</v>
      </c>
      <c r="G130">
        <v>2</v>
      </c>
      <c r="H130" s="1" t="s">
        <v>68</v>
      </c>
    </row>
    <row r="131" spans="2:8" x14ac:dyDescent="0.3">
      <c r="B131" t="s">
        <v>138</v>
      </c>
      <c r="C131">
        <v>2</v>
      </c>
      <c r="D131" s="1" t="s">
        <v>106</v>
      </c>
      <c r="F131" t="s">
        <v>133</v>
      </c>
      <c r="G131">
        <v>2</v>
      </c>
      <c r="H131" s="1" t="s">
        <v>78</v>
      </c>
    </row>
    <row r="132" spans="2:8" x14ac:dyDescent="0.3">
      <c r="B132">
        <v>1</v>
      </c>
      <c r="C132">
        <v>2</v>
      </c>
      <c r="D132" s="1" t="s">
        <v>115</v>
      </c>
      <c r="F132" t="s">
        <v>135</v>
      </c>
      <c r="G132">
        <v>2</v>
      </c>
      <c r="H132" s="1" t="s">
        <v>87</v>
      </c>
    </row>
    <row r="133" spans="2:8" x14ac:dyDescent="0.3">
      <c r="B133" t="s">
        <v>121</v>
      </c>
      <c r="C133">
        <v>3</v>
      </c>
      <c r="D133" s="1" t="s">
        <v>7</v>
      </c>
      <c r="F133" t="s">
        <v>137</v>
      </c>
      <c r="G133">
        <v>2</v>
      </c>
      <c r="H133" s="1" t="s">
        <v>96</v>
      </c>
    </row>
    <row r="134" spans="2:8" x14ac:dyDescent="0.3">
      <c r="B134" t="s">
        <v>45</v>
      </c>
      <c r="C134">
        <v>3</v>
      </c>
      <c r="D134" s="1" t="s">
        <v>19</v>
      </c>
      <c r="F134" t="s">
        <v>139</v>
      </c>
      <c r="G134">
        <v>2</v>
      </c>
      <c r="H134" s="1" t="s">
        <v>106</v>
      </c>
    </row>
    <row r="135" spans="2:8" x14ac:dyDescent="0.3">
      <c r="B135" t="s">
        <v>123</v>
      </c>
      <c r="C135">
        <v>3</v>
      </c>
      <c r="D135" s="1" t="s">
        <v>30</v>
      </c>
      <c r="F135">
        <v>1</v>
      </c>
      <c r="G135">
        <v>2</v>
      </c>
      <c r="H135" s="1" t="s">
        <v>115</v>
      </c>
    </row>
    <row r="136" spans="2:8" x14ac:dyDescent="0.3">
      <c r="B136" t="s">
        <v>125</v>
      </c>
      <c r="C136">
        <v>3</v>
      </c>
      <c r="D136" s="1" t="s">
        <v>40</v>
      </c>
      <c r="F136">
        <v>0</v>
      </c>
      <c r="G136">
        <v>3</v>
      </c>
      <c r="H136">
        <v>2</v>
      </c>
    </row>
    <row r="137" spans="2:8" x14ac:dyDescent="0.3">
      <c r="B137" t="s">
        <v>127</v>
      </c>
      <c r="C137">
        <v>3</v>
      </c>
      <c r="D137" s="1" t="s">
        <v>49</v>
      </c>
      <c r="F137" t="s">
        <v>122</v>
      </c>
      <c r="G137">
        <v>3</v>
      </c>
      <c r="H137" s="1" t="s">
        <v>7</v>
      </c>
    </row>
    <row r="138" spans="2:8" x14ac:dyDescent="0.3">
      <c r="B138" t="s">
        <v>128</v>
      </c>
      <c r="C138">
        <v>3</v>
      </c>
      <c r="D138" s="1" t="s">
        <v>61</v>
      </c>
      <c r="F138" t="s">
        <v>25</v>
      </c>
      <c r="G138">
        <v>3</v>
      </c>
      <c r="H138" s="1" t="s">
        <v>19</v>
      </c>
    </row>
    <row r="139" spans="2:8" x14ac:dyDescent="0.3">
      <c r="B139" t="s">
        <v>130</v>
      </c>
      <c r="C139">
        <v>3</v>
      </c>
      <c r="D139" s="1" t="s">
        <v>69</v>
      </c>
      <c r="F139" t="s">
        <v>124</v>
      </c>
      <c r="G139">
        <v>3</v>
      </c>
      <c r="H139" s="1" t="s">
        <v>30</v>
      </c>
    </row>
    <row r="140" spans="2:8" x14ac:dyDescent="0.3">
      <c r="B140" t="s">
        <v>132</v>
      </c>
      <c r="C140">
        <v>3</v>
      </c>
      <c r="D140" s="1" t="s">
        <v>79</v>
      </c>
      <c r="F140" t="s">
        <v>126</v>
      </c>
      <c r="G140">
        <v>3</v>
      </c>
      <c r="H140" s="1" t="s">
        <v>40</v>
      </c>
    </row>
    <row r="141" spans="2:8" x14ac:dyDescent="0.3">
      <c r="B141" t="s">
        <v>134</v>
      </c>
      <c r="C141">
        <v>3</v>
      </c>
      <c r="D141" s="1" t="s">
        <v>88</v>
      </c>
      <c r="F141" t="s">
        <v>123</v>
      </c>
      <c r="G141">
        <v>3</v>
      </c>
      <c r="H141" s="1" t="s">
        <v>49</v>
      </c>
    </row>
    <row r="142" spans="2:8" x14ac:dyDescent="0.3">
      <c r="B142" t="s">
        <v>136</v>
      </c>
      <c r="C142">
        <v>3</v>
      </c>
      <c r="D142" s="1" t="s">
        <v>97</v>
      </c>
      <c r="F142" t="s">
        <v>129</v>
      </c>
      <c r="G142">
        <v>3</v>
      </c>
      <c r="H142" s="1" t="s">
        <v>61</v>
      </c>
    </row>
    <row r="143" spans="2:8" x14ac:dyDescent="0.3">
      <c r="B143" t="s">
        <v>138</v>
      </c>
      <c r="C143">
        <v>3</v>
      </c>
      <c r="D143" s="1" t="s">
        <v>107</v>
      </c>
      <c r="F143" t="s">
        <v>131</v>
      </c>
      <c r="G143">
        <v>3</v>
      </c>
      <c r="H143" s="1" t="s">
        <v>69</v>
      </c>
    </row>
    <row r="144" spans="2:8" x14ac:dyDescent="0.3">
      <c r="B144">
        <v>1</v>
      </c>
      <c r="C144">
        <v>3</v>
      </c>
      <c r="D144" s="1" t="s">
        <v>116</v>
      </c>
      <c r="F144" t="s">
        <v>133</v>
      </c>
      <c r="G144">
        <v>3</v>
      </c>
      <c r="H144" s="1" t="s">
        <v>79</v>
      </c>
    </row>
    <row r="145" spans="2:8" x14ac:dyDescent="0.3">
      <c r="B145" t="s">
        <v>121</v>
      </c>
      <c r="C145">
        <v>5</v>
      </c>
      <c r="D145" s="1" t="s">
        <v>8</v>
      </c>
      <c r="F145" t="s">
        <v>135</v>
      </c>
      <c r="G145">
        <v>3</v>
      </c>
      <c r="H145" s="1" t="s">
        <v>88</v>
      </c>
    </row>
    <row r="146" spans="2:8" x14ac:dyDescent="0.3">
      <c r="B146" t="s">
        <v>45</v>
      </c>
      <c r="C146">
        <v>5</v>
      </c>
      <c r="D146" s="1" t="s">
        <v>20</v>
      </c>
      <c r="F146" t="s">
        <v>137</v>
      </c>
      <c r="G146">
        <v>3</v>
      </c>
      <c r="H146" s="1" t="s">
        <v>97</v>
      </c>
    </row>
    <row r="147" spans="2:8" x14ac:dyDescent="0.3">
      <c r="B147" t="s">
        <v>123</v>
      </c>
      <c r="C147">
        <v>5</v>
      </c>
      <c r="D147" s="1" t="s">
        <v>31</v>
      </c>
      <c r="F147" t="s">
        <v>139</v>
      </c>
      <c r="G147">
        <v>3</v>
      </c>
      <c r="H147" s="1" t="s">
        <v>107</v>
      </c>
    </row>
    <row r="148" spans="2:8" x14ac:dyDescent="0.3">
      <c r="B148" t="s">
        <v>125</v>
      </c>
      <c r="C148">
        <v>5</v>
      </c>
      <c r="D148" s="1" t="s">
        <v>41</v>
      </c>
      <c r="F148">
        <v>1</v>
      </c>
      <c r="G148">
        <v>3</v>
      </c>
      <c r="H148" s="1" t="s">
        <v>116</v>
      </c>
    </row>
    <row r="149" spans="2:8" x14ac:dyDescent="0.3">
      <c r="B149" t="s">
        <v>127</v>
      </c>
      <c r="C149">
        <v>5</v>
      </c>
      <c r="D149" s="1" t="s">
        <v>50</v>
      </c>
      <c r="F149">
        <v>0</v>
      </c>
      <c r="G149">
        <v>5</v>
      </c>
      <c r="H149">
        <v>2</v>
      </c>
    </row>
    <row r="150" spans="2:8" x14ac:dyDescent="0.3">
      <c r="B150" t="s">
        <v>128</v>
      </c>
      <c r="C150">
        <v>5</v>
      </c>
      <c r="D150" s="1" t="s">
        <v>62</v>
      </c>
      <c r="F150" t="s">
        <v>122</v>
      </c>
      <c r="G150">
        <v>5</v>
      </c>
      <c r="H150" s="1" t="s">
        <v>8</v>
      </c>
    </row>
    <row r="151" spans="2:8" x14ac:dyDescent="0.3">
      <c r="B151" t="s">
        <v>130</v>
      </c>
      <c r="C151">
        <v>5</v>
      </c>
      <c r="D151" s="1" t="s">
        <v>70</v>
      </c>
      <c r="F151" t="s">
        <v>25</v>
      </c>
      <c r="G151">
        <v>5</v>
      </c>
      <c r="H151" s="1" t="s">
        <v>20</v>
      </c>
    </row>
    <row r="152" spans="2:8" x14ac:dyDescent="0.3">
      <c r="B152" t="s">
        <v>132</v>
      </c>
      <c r="C152">
        <v>5</v>
      </c>
      <c r="D152" s="1" t="s">
        <v>80</v>
      </c>
      <c r="F152" t="s">
        <v>124</v>
      </c>
      <c r="G152">
        <v>5</v>
      </c>
      <c r="H152" s="1" t="s">
        <v>31</v>
      </c>
    </row>
    <row r="153" spans="2:8" x14ac:dyDescent="0.3">
      <c r="B153" t="s">
        <v>134</v>
      </c>
      <c r="C153">
        <v>5</v>
      </c>
      <c r="D153" s="1" t="s">
        <v>77</v>
      </c>
      <c r="F153" t="s">
        <v>126</v>
      </c>
      <c r="G153">
        <v>5</v>
      </c>
      <c r="H153" s="1" t="s">
        <v>41</v>
      </c>
    </row>
    <row r="154" spans="2:8" x14ac:dyDescent="0.3">
      <c r="B154" t="s">
        <v>136</v>
      </c>
      <c r="C154">
        <v>5</v>
      </c>
      <c r="D154" s="1" t="s">
        <v>85</v>
      </c>
      <c r="F154" t="s">
        <v>123</v>
      </c>
      <c r="G154">
        <v>5</v>
      </c>
      <c r="H154" s="1" t="s">
        <v>50</v>
      </c>
    </row>
    <row r="155" spans="2:8" x14ac:dyDescent="0.3">
      <c r="B155" t="s">
        <v>138</v>
      </c>
      <c r="C155">
        <v>5</v>
      </c>
      <c r="D155" s="1" t="s">
        <v>108</v>
      </c>
      <c r="F155" t="s">
        <v>129</v>
      </c>
      <c r="G155">
        <v>5</v>
      </c>
      <c r="H155" s="1" t="s">
        <v>62</v>
      </c>
    </row>
    <row r="156" spans="2:8" x14ac:dyDescent="0.3">
      <c r="B156">
        <v>1</v>
      </c>
      <c r="C156">
        <v>5</v>
      </c>
      <c r="D156" s="1" t="s">
        <v>117</v>
      </c>
      <c r="F156" t="s">
        <v>131</v>
      </c>
      <c r="G156">
        <v>5</v>
      </c>
      <c r="H156" s="1" t="s">
        <v>70</v>
      </c>
    </row>
    <row r="157" spans="2:8" x14ac:dyDescent="0.3">
      <c r="B157" t="s">
        <v>121</v>
      </c>
      <c r="C157">
        <v>7</v>
      </c>
      <c r="D157" s="1" t="s">
        <v>9</v>
      </c>
      <c r="F157" t="s">
        <v>133</v>
      </c>
      <c r="G157">
        <v>5</v>
      </c>
      <c r="H157" s="1" t="s">
        <v>80</v>
      </c>
    </row>
    <row r="158" spans="2:8" x14ac:dyDescent="0.3">
      <c r="B158" t="s">
        <v>45</v>
      </c>
      <c r="C158">
        <v>7</v>
      </c>
      <c r="D158" s="1" t="s">
        <v>21</v>
      </c>
      <c r="F158" t="s">
        <v>135</v>
      </c>
      <c r="G158">
        <v>5</v>
      </c>
      <c r="H158" s="1" t="s">
        <v>77</v>
      </c>
    </row>
    <row r="159" spans="2:8" x14ac:dyDescent="0.3">
      <c r="B159" t="s">
        <v>123</v>
      </c>
      <c r="C159">
        <v>7</v>
      </c>
      <c r="D159" s="1" t="s">
        <v>32</v>
      </c>
      <c r="F159" t="s">
        <v>137</v>
      </c>
      <c r="G159">
        <v>5</v>
      </c>
      <c r="H159" s="1" t="s">
        <v>85</v>
      </c>
    </row>
    <row r="160" spans="2:8" x14ac:dyDescent="0.3">
      <c r="B160" t="s">
        <v>125</v>
      </c>
      <c r="C160">
        <v>7</v>
      </c>
      <c r="D160" s="1" t="s">
        <v>42</v>
      </c>
      <c r="F160" t="s">
        <v>139</v>
      </c>
      <c r="G160">
        <v>5</v>
      </c>
      <c r="H160" s="1" t="s">
        <v>108</v>
      </c>
    </row>
    <row r="161" spans="2:8" x14ac:dyDescent="0.3">
      <c r="B161" t="s">
        <v>127</v>
      </c>
      <c r="C161">
        <v>7</v>
      </c>
      <c r="D161" s="1" t="s">
        <v>51</v>
      </c>
      <c r="F161">
        <v>1</v>
      </c>
      <c r="G161">
        <v>5</v>
      </c>
      <c r="H161" s="1" t="s">
        <v>117</v>
      </c>
    </row>
    <row r="162" spans="2:8" x14ac:dyDescent="0.3">
      <c r="B162" t="s">
        <v>128</v>
      </c>
      <c r="C162">
        <v>7</v>
      </c>
      <c r="D162" s="1" t="s">
        <v>46</v>
      </c>
      <c r="F162">
        <v>0</v>
      </c>
      <c r="G162">
        <v>7</v>
      </c>
      <c r="H162">
        <v>2</v>
      </c>
    </row>
    <row r="163" spans="2:8" x14ac:dyDescent="0.3">
      <c r="B163" t="s">
        <v>130</v>
      </c>
      <c r="C163">
        <v>7</v>
      </c>
      <c r="D163" s="1" t="s">
        <v>71</v>
      </c>
      <c r="F163" t="s">
        <v>122</v>
      </c>
      <c r="G163">
        <v>7</v>
      </c>
      <c r="H163" s="1" t="s">
        <v>9</v>
      </c>
    </row>
    <row r="164" spans="2:8" x14ac:dyDescent="0.3">
      <c r="B164" t="s">
        <v>132</v>
      </c>
      <c r="C164">
        <v>7</v>
      </c>
      <c r="D164" s="1" t="s">
        <v>68</v>
      </c>
      <c r="F164" t="s">
        <v>25</v>
      </c>
      <c r="G164">
        <v>7</v>
      </c>
      <c r="H164" s="1" t="s">
        <v>21</v>
      </c>
    </row>
    <row r="165" spans="2:8" x14ac:dyDescent="0.3">
      <c r="B165" t="s">
        <v>134</v>
      </c>
      <c r="C165">
        <v>7</v>
      </c>
      <c r="D165" s="1" t="s">
        <v>89</v>
      </c>
      <c r="F165" t="s">
        <v>124</v>
      </c>
      <c r="G165">
        <v>7</v>
      </c>
      <c r="H165" s="1" t="s">
        <v>32</v>
      </c>
    </row>
    <row r="166" spans="2:8" x14ac:dyDescent="0.3">
      <c r="B166" t="s">
        <v>136</v>
      </c>
      <c r="C166">
        <v>7</v>
      </c>
      <c r="D166" s="1" t="s">
        <v>98</v>
      </c>
      <c r="F166" t="s">
        <v>126</v>
      </c>
      <c r="G166">
        <v>7</v>
      </c>
      <c r="H166" s="1" t="s">
        <v>42</v>
      </c>
    </row>
    <row r="167" spans="2:8" x14ac:dyDescent="0.3">
      <c r="B167" t="s">
        <v>138</v>
      </c>
      <c r="C167">
        <v>7</v>
      </c>
      <c r="D167" s="1" t="s">
        <v>109</v>
      </c>
      <c r="F167" t="s">
        <v>123</v>
      </c>
      <c r="G167">
        <v>7</v>
      </c>
      <c r="H167" s="1" t="s">
        <v>51</v>
      </c>
    </row>
    <row r="168" spans="2:8" x14ac:dyDescent="0.3">
      <c r="B168">
        <v>1</v>
      </c>
      <c r="C168">
        <v>7</v>
      </c>
      <c r="D168" s="1" t="s">
        <v>106</v>
      </c>
      <c r="F168" t="s">
        <v>129</v>
      </c>
      <c r="G168">
        <v>7</v>
      </c>
      <c r="H168" s="1" t="s">
        <v>46</v>
      </c>
    </row>
    <row r="169" spans="2:8" x14ac:dyDescent="0.3">
      <c r="B169" t="s">
        <v>121</v>
      </c>
      <c r="C169">
        <v>10</v>
      </c>
      <c r="D169" s="1" t="s">
        <v>10</v>
      </c>
      <c r="F169" t="s">
        <v>131</v>
      </c>
      <c r="G169">
        <v>7</v>
      </c>
      <c r="H169" s="1" t="s">
        <v>71</v>
      </c>
    </row>
    <row r="170" spans="2:8" x14ac:dyDescent="0.3">
      <c r="B170" t="s">
        <v>45</v>
      </c>
      <c r="C170">
        <v>10</v>
      </c>
      <c r="D170" s="1" t="s">
        <v>22</v>
      </c>
      <c r="F170" t="s">
        <v>133</v>
      </c>
      <c r="G170">
        <v>7</v>
      </c>
      <c r="H170" s="1" t="s">
        <v>68</v>
      </c>
    </row>
    <row r="171" spans="2:8" x14ac:dyDescent="0.3">
      <c r="B171" t="s">
        <v>123</v>
      </c>
      <c r="C171">
        <v>10</v>
      </c>
      <c r="D171" s="1" t="s">
        <v>33</v>
      </c>
      <c r="F171" t="s">
        <v>135</v>
      </c>
      <c r="G171">
        <v>7</v>
      </c>
      <c r="H171" s="1" t="s">
        <v>89</v>
      </c>
    </row>
    <row r="172" spans="2:8" x14ac:dyDescent="0.3">
      <c r="B172" t="s">
        <v>125</v>
      </c>
      <c r="C172">
        <v>10</v>
      </c>
      <c r="D172" s="1" t="s">
        <v>43</v>
      </c>
      <c r="F172" t="s">
        <v>137</v>
      </c>
      <c r="G172">
        <v>7</v>
      </c>
      <c r="H172" s="1" t="s">
        <v>98</v>
      </c>
    </row>
    <row r="173" spans="2:8" x14ac:dyDescent="0.3">
      <c r="B173" t="s">
        <v>127</v>
      </c>
      <c r="C173">
        <v>10</v>
      </c>
      <c r="D173" s="1" t="s">
        <v>52</v>
      </c>
      <c r="F173" t="s">
        <v>139</v>
      </c>
      <c r="G173">
        <v>7</v>
      </c>
      <c r="H173" s="1" t="s">
        <v>109</v>
      </c>
    </row>
    <row r="174" spans="2:8" x14ac:dyDescent="0.3">
      <c r="B174" t="s">
        <v>128</v>
      </c>
      <c r="C174">
        <v>10</v>
      </c>
      <c r="D174" s="1" t="s">
        <v>49</v>
      </c>
      <c r="F174">
        <v>1</v>
      </c>
      <c r="G174">
        <v>7</v>
      </c>
      <c r="H174" s="1" t="s">
        <v>106</v>
      </c>
    </row>
    <row r="175" spans="2:8" x14ac:dyDescent="0.3">
      <c r="B175" t="s">
        <v>130</v>
      </c>
      <c r="C175">
        <v>10</v>
      </c>
      <c r="D175" s="1" t="s">
        <v>72</v>
      </c>
      <c r="F175">
        <v>0</v>
      </c>
      <c r="G175">
        <v>10</v>
      </c>
      <c r="H175">
        <v>2</v>
      </c>
    </row>
    <row r="176" spans="2:8" x14ac:dyDescent="0.3">
      <c r="B176" t="s">
        <v>132</v>
      </c>
      <c r="C176">
        <v>10</v>
      </c>
      <c r="D176" s="1" t="s">
        <v>81</v>
      </c>
      <c r="F176" t="s">
        <v>122</v>
      </c>
      <c r="G176">
        <v>10</v>
      </c>
      <c r="H176" s="1" t="s">
        <v>10</v>
      </c>
    </row>
    <row r="177" spans="2:8" x14ac:dyDescent="0.3">
      <c r="B177" t="s">
        <v>134</v>
      </c>
      <c r="C177">
        <v>10</v>
      </c>
      <c r="D177" s="1" t="s">
        <v>90</v>
      </c>
      <c r="F177" t="s">
        <v>25</v>
      </c>
      <c r="G177">
        <v>10</v>
      </c>
      <c r="H177" s="1" t="s">
        <v>22</v>
      </c>
    </row>
    <row r="178" spans="2:8" x14ac:dyDescent="0.3">
      <c r="B178" t="s">
        <v>136</v>
      </c>
      <c r="C178">
        <v>10</v>
      </c>
      <c r="D178" s="1" t="s">
        <v>99</v>
      </c>
      <c r="F178" t="s">
        <v>124</v>
      </c>
      <c r="G178">
        <v>10</v>
      </c>
      <c r="H178" s="1" t="s">
        <v>33</v>
      </c>
    </row>
    <row r="179" spans="2:8" x14ac:dyDescent="0.3">
      <c r="B179" t="s">
        <v>138</v>
      </c>
      <c r="C179">
        <v>10</v>
      </c>
      <c r="D179" s="1" t="s">
        <v>110</v>
      </c>
      <c r="F179" t="s">
        <v>126</v>
      </c>
      <c r="G179">
        <v>10</v>
      </c>
      <c r="H179" s="1" t="s">
        <v>43</v>
      </c>
    </row>
    <row r="180" spans="2:8" x14ac:dyDescent="0.3">
      <c r="B180">
        <v>1</v>
      </c>
      <c r="C180">
        <v>10</v>
      </c>
      <c r="D180" s="1" t="s">
        <v>95</v>
      </c>
      <c r="F180" t="s">
        <v>123</v>
      </c>
      <c r="G180">
        <v>10</v>
      </c>
      <c r="H180" s="1" t="s">
        <v>52</v>
      </c>
    </row>
    <row r="181" spans="2:8" x14ac:dyDescent="0.3">
      <c r="B181" t="s">
        <v>121</v>
      </c>
      <c r="C181">
        <v>15</v>
      </c>
      <c r="D181" s="1" t="s">
        <v>11</v>
      </c>
      <c r="F181" t="s">
        <v>129</v>
      </c>
      <c r="G181">
        <v>10</v>
      </c>
      <c r="H181" s="1" t="s">
        <v>49</v>
      </c>
    </row>
    <row r="182" spans="2:8" x14ac:dyDescent="0.3">
      <c r="B182" t="s">
        <v>45</v>
      </c>
      <c r="C182">
        <v>15</v>
      </c>
      <c r="D182" s="1" t="s">
        <v>23</v>
      </c>
      <c r="F182" t="s">
        <v>131</v>
      </c>
      <c r="G182">
        <v>10</v>
      </c>
      <c r="H182" s="1" t="s">
        <v>72</v>
      </c>
    </row>
    <row r="183" spans="2:8" x14ac:dyDescent="0.3">
      <c r="B183" t="s">
        <v>123</v>
      </c>
      <c r="C183">
        <v>15</v>
      </c>
      <c r="D183" s="1" t="s">
        <v>34</v>
      </c>
      <c r="F183" t="s">
        <v>133</v>
      </c>
      <c r="G183">
        <v>10</v>
      </c>
      <c r="H183" s="1" t="s">
        <v>81</v>
      </c>
    </row>
    <row r="184" spans="2:8" x14ac:dyDescent="0.3">
      <c r="B184" t="s">
        <v>125</v>
      </c>
      <c r="C184">
        <v>15</v>
      </c>
      <c r="D184" s="1" t="s">
        <v>44</v>
      </c>
      <c r="F184" t="s">
        <v>135</v>
      </c>
      <c r="G184">
        <v>10</v>
      </c>
      <c r="H184" s="1" t="s">
        <v>90</v>
      </c>
    </row>
    <row r="185" spans="2:8" x14ac:dyDescent="0.3">
      <c r="B185" t="s">
        <v>127</v>
      </c>
      <c r="C185">
        <v>15</v>
      </c>
      <c r="D185" s="1" t="s">
        <v>53</v>
      </c>
      <c r="F185" t="s">
        <v>137</v>
      </c>
      <c r="G185">
        <v>10</v>
      </c>
      <c r="H185" s="1" t="s">
        <v>99</v>
      </c>
    </row>
    <row r="186" spans="2:8" x14ac:dyDescent="0.3">
      <c r="B186" t="s">
        <v>128</v>
      </c>
      <c r="C186">
        <v>15</v>
      </c>
      <c r="D186" s="1" t="s">
        <v>63</v>
      </c>
      <c r="F186" t="s">
        <v>139</v>
      </c>
      <c r="G186">
        <v>10</v>
      </c>
      <c r="H186" s="1" t="s">
        <v>110</v>
      </c>
    </row>
    <row r="187" spans="2:8" x14ac:dyDescent="0.3">
      <c r="B187" t="s">
        <v>130</v>
      </c>
      <c r="C187">
        <v>15</v>
      </c>
      <c r="D187" s="1" t="s">
        <v>73</v>
      </c>
      <c r="F187">
        <v>1</v>
      </c>
      <c r="G187">
        <v>10</v>
      </c>
      <c r="H187" s="1" t="s">
        <v>95</v>
      </c>
    </row>
    <row r="188" spans="2:8" x14ac:dyDescent="0.3">
      <c r="B188" t="s">
        <v>132</v>
      </c>
      <c r="C188">
        <v>15</v>
      </c>
      <c r="D188" s="1" t="s">
        <v>82</v>
      </c>
      <c r="F188">
        <v>0</v>
      </c>
      <c r="G188">
        <v>15</v>
      </c>
      <c r="H188">
        <v>2</v>
      </c>
    </row>
    <row r="189" spans="2:8" x14ac:dyDescent="0.3">
      <c r="B189" t="s">
        <v>134</v>
      </c>
      <c r="C189">
        <v>15</v>
      </c>
      <c r="D189" s="1" t="s">
        <v>91</v>
      </c>
      <c r="F189" t="s">
        <v>122</v>
      </c>
      <c r="G189">
        <v>15</v>
      </c>
      <c r="H189" s="1" t="s">
        <v>11</v>
      </c>
    </row>
    <row r="190" spans="2:8" x14ac:dyDescent="0.3">
      <c r="B190" t="s">
        <v>136</v>
      </c>
      <c r="C190">
        <v>15</v>
      </c>
      <c r="D190" s="1" t="s">
        <v>67</v>
      </c>
      <c r="F190" t="s">
        <v>25</v>
      </c>
      <c r="G190">
        <v>15</v>
      </c>
      <c r="H190" s="1" t="s">
        <v>23</v>
      </c>
    </row>
    <row r="191" spans="2:8" x14ac:dyDescent="0.3">
      <c r="B191" t="s">
        <v>138</v>
      </c>
      <c r="C191">
        <v>15</v>
      </c>
      <c r="D191" s="1" t="s">
        <v>111</v>
      </c>
      <c r="F191" t="s">
        <v>124</v>
      </c>
      <c r="G191">
        <v>15</v>
      </c>
      <c r="H191" s="1" t="s">
        <v>34</v>
      </c>
    </row>
    <row r="192" spans="2:8" x14ac:dyDescent="0.3">
      <c r="B192">
        <v>1</v>
      </c>
      <c r="C192">
        <v>15</v>
      </c>
      <c r="D192" s="1" t="s">
        <v>118</v>
      </c>
      <c r="F192" t="s">
        <v>126</v>
      </c>
      <c r="G192">
        <v>15</v>
      </c>
      <c r="H192" s="1" t="s">
        <v>44</v>
      </c>
    </row>
    <row r="193" spans="2:8" x14ac:dyDescent="0.3">
      <c r="B193" t="s">
        <v>121</v>
      </c>
      <c r="C193">
        <v>20</v>
      </c>
      <c r="D193" s="1" t="s">
        <v>12</v>
      </c>
      <c r="F193" t="s">
        <v>123</v>
      </c>
      <c r="G193">
        <v>15</v>
      </c>
      <c r="H193" s="1" t="s">
        <v>53</v>
      </c>
    </row>
    <row r="194" spans="2:8" x14ac:dyDescent="0.3">
      <c r="B194" t="s">
        <v>45</v>
      </c>
      <c r="C194">
        <v>20</v>
      </c>
      <c r="D194" s="1" t="s">
        <v>24</v>
      </c>
      <c r="F194" t="s">
        <v>129</v>
      </c>
      <c r="G194">
        <v>15</v>
      </c>
      <c r="H194" s="1" t="s">
        <v>63</v>
      </c>
    </row>
    <row r="195" spans="2:8" x14ac:dyDescent="0.3">
      <c r="B195" t="s">
        <v>123</v>
      </c>
      <c r="C195">
        <v>20</v>
      </c>
      <c r="D195" s="1" t="s">
        <v>15</v>
      </c>
      <c r="F195" t="s">
        <v>131</v>
      </c>
      <c r="G195">
        <v>15</v>
      </c>
      <c r="H195" s="1" t="s">
        <v>73</v>
      </c>
    </row>
    <row r="196" spans="2:8" x14ac:dyDescent="0.3">
      <c r="B196" t="s">
        <v>125</v>
      </c>
      <c r="C196">
        <v>20</v>
      </c>
      <c r="D196" s="1" t="s">
        <v>28</v>
      </c>
      <c r="F196" t="s">
        <v>133</v>
      </c>
      <c r="G196">
        <v>15</v>
      </c>
      <c r="H196" s="1" t="s">
        <v>82</v>
      </c>
    </row>
    <row r="197" spans="2:8" x14ac:dyDescent="0.3">
      <c r="B197" t="s">
        <v>127</v>
      </c>
      <c r="C197">
        <v>20</v>
      </c>
      <c r="D197" s="1" t="s">
        <v>54</v>
      </c>
      <c r="F197" t="s">
        <v>135</v>
      </c>
      <c r="G197">
        <v>15</v>
      </c>
      <c r="H197" s="1" t="s">
        <v>91</v>
      </c>
    </row>
    <row r="198" spans="2:8" x14ac:dyDescent="0.3">
      <c r="B198" t="s">
        <v>128</v>
      </c>
      <c r="C198">
        <v>20</v>
      </c>
      <c r="D198" s="1" t="s">
        <v>38</v>
      </c>
      <c r="F198" t="s">
        <v>137</v>
      </c>
      <c r="G198">
        <v>15</v>
      </c>
      <c r="H198" s="1" t="s">
        <v>67</v>
      </c>
    </row>
    <row r="199" spans="2:8" x14ac:dyDescent="0.3">
      <c r="B199" t="s">
        <v>130</v>
      </c>
      <c r="C199">
        <v>20</v>
      </c>
      <c r="D199" s="1" t="s">
        <v>73</v>
      </c>
      <c r="F199" t="s">
        <v>139</v>
      </c>
      <c r="G199">
        <v>15</v>
      </c>
      <c r="H199" s="1" t="s">
        <v>111</v>
      </c>
    </row>
    <row r="200" spans="2:8" x14ac:dyDescent="0.3">
      <c r="B200" t="s">
        <v>132</v>
      </c>
      <c r="C200">
        <v>20</v>
      </c>
      <c r="D200" s="1" t="s">
        <v>48</v>
      </c>
      <c r="F200">
        <v>1</v>
      </c>
      <c r="G200">
        <v>15</v>
      </c>
      <c r="H200" s="1" t="s">
        <v>118</v>
      </c>
    </row>
    <row r="201" spans="2:8" x14ac:dyDescent="0.3">
      <c r="B201" t="s">
        <v>134</v>
      </c>
      <c r="C201">
        <v>20</v>
      </c>
      <c r="D201" s="1" t="s">
        <v>71</v>
      </c>
      <c r="F201">
        <v>0</v>
      </c>
      <c r="G201">
        <v>20</v>
      </c>
      <c r="H201">
        <v>2</v>
      </c>
    </row>
    <row r="202" spans="2:8" x14ac:dyDescent="0.3">
      <c r="B202" t="s">
        <v>136</v>
      </c>
      <c r="C202">
        <v>20</v>
      </c>
      <c r="D202" s="1" t="s">
        <v>100</v>
      </c>
      <c r="F202" t="s">
        <v>122</v>
      </c>
      <c r="G202">
        <v>20</v>
      </c>
      <c r="H202" s="1" t="s">
        <v>12</v>
      </c>
    </row>
    <row r="203" spans="2:8" x14ac:dyDescent="0.3">
      <c r="B203" t="s">
        <v>138</v>
      </c>
      <c r="C203">
        <v>20</v>
      </c>
      <c r="D203" s="1" t="s">
        <v>68</v>
      </c>
      <c r="F203" t="s">
        <v>25</v>
      </c>
      <c r="G203">
        <v>20</v>
      </c>
      <c r="H203" s="1" t="s">
        <v>24</v>
      </c>
    </row>
    <row r="204" spans="2:8" x14ac:dyDescent="0.3">
      <c r="B204">
        <v>1</v>
      </c>
      <c r="C204">
        <v>20</v>
      </c>
      <c r="D204" s="1" t="s">
        <v>119</v>
      </c>
      <c r="F204" t="s">
        <v>124</v>
      </c>
      <c r="G204">
        <v>20</v>
      </c>
      <c r="H204" s="1" t="s">
        <v>15</v>
      </c>
    </row>
    <row r="205" spans="2:8" x14ac:dyDescent="0.3">
      <c r="B205" t="s">
        <v>121</v>
      </c>
      <c r="C205">
        <v>30</v>
      </c>
      <c r="D205" s="1" t="s">
        <v>13</v>
      </c>
      <c r="F205" t="s">
        <v>126</v>
      </c>
      <c r="G205">
        <v>20</v>
      </c>
      <c r="H205" s="1" t="s">
        <v>28</v>
      </c>
    </row>
    <row r="206" spans="2:8" x14ac:dyDescent="0.3">
      <c r="B206" t="s">
        <v>45</v>
      </c>
      <c r="C206">
        <v>30</v>
      </c>
      <c r="D206" s="1" t="s">
        <v>12</v>
      </c>
      <c r="F206" t="s">
        <v>123</v>
      </c>
      <c r="G206">
        <v>20</v>
      </c>
      <c r="H206" s="1" t="s">
        <v>54</v>
      </c>
    </row>
    <row r="207" spans="2:8" x14ac:dyDescent="0.3">
      <c r="B207" t="s">
        <v>123</v>
      </c>
      <c r="C207">
        <v>30</v>
      </c>
      <c r="D207" s="1" t="s">
        <v>35</v>
      </c>
      <c r="F207" t="s">
        <v>129</v>
      </c>
      <c r="G207">
        <v>20</v>
      </c>
      <c r="H207" s="1" t="s">
        <v>38</v>
      </c>
    </row>
    <row r="208" spans="2:8" x14ac:dyDescent="0.3">
      <c r="B208" t="s">
        <v>125</v>
      </c>
      <c r="C208">
        <v>30</v>
      </c>
      <c r="D208" s="1" t="s">
        <v>34</v>
      </c>
      <c r="F208" t="s">
        <v>131</v>
      </c>
      <c r="G208">
        <v>20</v>
      </c>
      <c r="H208" s="1" t="s">
        <v>73</v>
      </c>
    </row>
    <row r="209" spans="2:8" x14ac:dyDescent="0.3">
      <c r="B209" t="s">
        <v>127</v>
      </c>
      <c r="C209">
        <v>30</v>
      </c>
      <c r="D209" s="1" t="s">
        <v>55</v>
      </c>
      <c r="F209" t="s">
        <v>133</v>
      </c>
      <c r="G209">
        <v>20</v>
      </c>
      <c r="H209" s="1" t="s">
        <v>48</v>
      </c>
    </row>
    <row r="210" spans="2:8" x14ac:dyDescent="0.3">
      <c r="B210" t="s">
        <v>128</v>
      </c>
      <c r="C210">
        <v>30</v>
      </c>
      <c r="D210" s="1" t="s">
        <v>43</v>
      </c>
      <c r="F210" t="s">
        <v>135</v>
      </c>
      <c r="G210">
        <v>20</v>
      </c>
      <c r="H210" s="1" t="s">
        <v>71</v>
      </c>
    </row>
    <row r="211" spans="2:8" x14ac:dyDescent="0.3">
      <c r="B211" t="s">
        <v>130</v>
      </c>
      <c r="C211">
        <v>30</v>
      </c>
      <c r="D211" s="1" t="s">
        <v>54</v>
      </c>
      <c r="F211" t="s">
        <v>137</v>
      </c>
      <c r="G211">
        <v>20</v>
      </c>
      <c r="H211" s="1" t="s">
        <v>100</v>
      </c>
    </row>
    <row r="212" spans="2:8" x14ac:dyDescent="0.3">
      <c r="B212" t="s">
        <v>132</v>
      </c>
      <c r="C212">
        <v>30</v>
      </c>
      <c r="D212" s="1" t="s">
        <v>41</v>
      </c>
      <c r="F212" t="s">
        <v>139</v>
      </c>
      <c r="G212">
        <v>20</v>
      </c>
      <c r="H212" s="1" t="s">
        <v>68</v>
      </c>
    </row>
    <row r="213" spans="2:8" x14ac:dyDescent="0.3">
      <c r="B213" t="s">
        <v>134</v>
      </c>
      <c r="C213">
        <v>30</v>
      </c>
      <c r="D213" s="1" t="s">
        <v>37</v>
      </c>
      <c r="F213">
        <v>1</v>
      </c>
      <c r="G213">
        <v>20</v>
      </c>
      <c r="H213" s="1" t="s">
        <v>119</v>
      </c>
    </row>
    <row r="214" spans="2:8" x14ac:dyDescent="0.3">
      <c r="B214" t="s">
        <v>136</v>
      </c>
      <c r="C214">
        <v>30</v>
      </c>
      <c r="D214" s="1" t="s">
        <v>101</v>
      </c>
      <c r="F214">
        <v>0</v>
      </c>
      <c r="G214">
        <v>30</v>
      </c>
      <c r="H214">
        <v>2</v>
      </c>
    </row>
    <row r="215" spans="2:8" x14ac:dyDescent="0.3">
      <c r="B215" t="s">
        <v>138</v>
      </c>
      <c r="C215">
        <v>30</v>
      </c>
      <c r="D215" s="1" t="s">
        <v>46</v>
      </c>
      <c r="F215" t="s">
        <v>122</v>
      </c>
      <c r="G215">
        <v>30</v>
      </c>
      <c r="H215" s="1" t="s">
        <v>13</v>
      </c>
    </row>
    <row r="216" spans="2:8" x14ac:dyDescent="0.3">
      <c r="B216">
        <v>1</v>
      </c>
      <c r="C216">
        <v>30</v>
      </c>
      <c r="D216" s="1" t="s">
        <v>120</v>
      </c>
      <c r="F216" t="s">
        <v>25</v>
      </c>
      <c r="G216">
        <v>30</v>
      </c>
      <c r="H216" s="1" t="s">
        <v>12</v>
      </c>
    </row>
    <row r="217" spans="2:8" x14ac:dyDescent="0.3">
      <c r="F217" t="s">
        <v>124</v>
      </c>
      <c r="G217">
        <v>30</v>
      </c>
      <c r="H217" s="1" t="s">
        <v>35</v>
      </c>
    </row>
    <row r="218" spans="2:8" x14ac:dyDescent="0.3">
      <c r="F218" t="s">
        <v>126</v>
      </c>
      <c r="G218">
        <v>30</v>
      </c>
      <c r="H218" s="1" t="s">
        <v>34</v>
      </c>
    </row>
    <row r="219" spans="2:8" x14ac:dyDescent="0.3">
      <c r="F219" t="s">
        <v>123</v>
      </c>
      <c r="G219">
        <v>30</v>
      </c>
      <c r="H219" s="1" t="s">
        <v>55</v>
      </c>
    </row>
    <row r="220" spans="2:8" x14ac:dyDescent="0.3">
      <c r="F220" t="s">
        <v>129</v>
      </c>
      <c r="G220">
        <v>30</v>
      </c>
      <c r="H220" s="1" t="s">
        <v>43</v>
      </c>
    </row>
    <row r="221" spans="2:8" x14ac:dyDescent="0.3">
      <c r="F221" t="s">
        <v>131</v>
      </c>
      <c r="G221">
        <v>30</v>
      </c>
      <c r="H221" s="1" t="s">
        <v>54</v>
      </c>
    </row>
    <row r="222" spans="2:8" x14ac:dyDescent="0.3">
      <c r="F222" t="s">
        <v>133</v>
      </c>
      <c r="G222">
        <v>30</v>
      </c>
      <c r="H222" s="1" t="s">
        <v>41</v>
      </c>
    </row>
    <row r="223" spans="2:8" x14ac:dyDescent="0.3">
      <c r="F223" t="s">
        <v>135</v>
      </c>
      <c r="G223">
        <v>30</v>
      </c>
      <c r="H223" s="1" t="s">
        <v>37</v>
      </c>
    </row>
    <row r="224" spans="2:8" x14ac:dyDescent="0.3">
      <c r="F224" t="s">
        <v>137</v>
      </c>
      <c r="G224">
        <v>30</v>
      </c>
      <c r="H224" s="1" t="s">
        <v>101</v>
      </c>
    </row>
    <row r="225" spans="6:8" x14ac:dyDescent="0.3">
      <c r="F225" t="s">
        <v>139</v>
      </c>
      <c r="G225">
        <v>30</v>
      </c>
      <c r="H225" s="1" t="s">
        <v>46</v>
      </c>
    </row>
    <row r="226" spans="6:8" x14ac:dyDescent="0.3">
      <c r="F226">
        <v>1</v>
      </c>
      <c r="G226">
        <v>30</v>
      </c>
      <c r="H226" s="1" t="s">
        <v>120</v>
      </c>
    </row>
  </sheetData>
  <mergeCells count="5">
    <mergeCell ref="A56:A67"/>
    <mergeCell ref="C54:M54"/>
    <mergeCell ref="E2:O2"/>
    <mergeCell ref="A51:M52"/>
    <mergeCell ref="B4:B16"/>
  </mergeCells>
  <conditionalFormatting sqref="C56:M67">
    <cfRule type="colorScale" priority="4">
      <colorScale>
        <cfvo type="min"/>
        <cfvo type="percentile" val="50"/>
        <cfvo type="max"/>
        <color rgb="FFF8696B"/>
        <color rgb="FFFFEB84"/>
        <color rgb="FF63BE7B"/>
      </colorScale>
    </cfRule>
  </conditionalFormatting>
  <conditionalFormatting sqref="E4:O15 E16">
    <cfRule type="colorScale" priority="2">
      <colorScale>
        <cfvo type="min"/>
        <cfvo type="percentile" val="50"/>
        <cfvo type="max"/>
        <color rgb="FFF8696B"/>
        <color rgb="FFFFEB84"/>
        <color rgb="FF63BE7B"/>
      </colorScale>
    </cfRule>
  </conditionalFormatting>
  <conditionalFormatting sqref="E4:O16">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Benchmarking</vt:lpstr>
      <vt:lpstr>Zellvergleich</vt:lpstr>
      <vt:lpstr>Zellvergleich Detailiert</vt:lpstr>
      <vt:lpstr>Entladeeffizienz VTC6</vt:lpstr>
      <vt:lpstr>Voltage SOC Current VTC6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Deeken</dc:creator>
  <cp:lastModifiedBy>Lukas Deeken</cp:lastModifiedBy>
  <dcterms:created xsi:type="dcterms:W3CDTF">2015-06-05T18:19:34Z</dcterms:created>
  <dcterms:modified xsi:type="dcterms:W3CDTF">2022-12-29T19:34:32Z</dcterms:modified>
</cp:coreProperties>
</file>