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D:\Privat\Git\Projektarbeit-Hochvolt-Elektrik-Komponenten-FSE-Fahrzeug\latex\calc\"/>
    </mc:Choice>
  </mc:AlternateContent>
  <xr:revisionPtr revIDLastSave="0" documentId="13_ncr:1_{9DF9FE28-67BB-4546-9A6A-C361C9E653B9}" xr6:coauthVersionLast="47" xr6:coauthVersionMax="47" xr10:uidLastSave="{00000000-0000-0000-0000-000000000000}"/>
  <bookViews>
    <workbookView xWindow="-108" yWindow="-108" windowWidth="30936" windowHeight="16896" xr2:uid="{00000000-000D-0000-FFFF-FFFF0000000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3" i="1" l="1"/>
  <c r="C168" i="1"/>
  <c r="B109" i="1"/>
  <c r="B110" i="1" s="1"/>
  <c r="B161" i="1" s="1"/>
  <c r="D105" i="1"/>
  <c r="B105" i="1" s="1"/>
  <c r="D113" i="1"/>
  <c r="B21" i="1"/>
  <c r="B74" i="1"/>
  <c r="B25" i="1"/>
  <c r="B94" i="1"/>
  <c r="E91" i="1" s="1"/>
  <c r="E92" i="1" s="1"/>
  <c r="B95" i="1" s="1"/>
  <c r="B99" i="1" s="1"/>
  <c r="B82" i="1"/>
  <c r="B81" i="1"/>
  <c r="B85" i="1" s="1"/>
  <c r="B58" i="1"/>
  <c r="F41" i="1"/>
  <c r="B41" i="1" s="1"/>
  <c r="I115" i="1" l="1"/>
  <c r="I117" i="1" s="1"/>
  <c r="I25" i="1"/>
  <c r="G25" i="1"/>
  <c r="B64" i="1"/>
  <c r="B80" i="1"/>
  <c r="D135" i="1"/>
  <c r="B135" i="1" s="1"/>
  <c r="B144" i="1"/>
  <c r="E142" i="1" s="1"/>
  <c r="E143" i="1" s="1"/>
  <c r="B145" i="1" s="1"/>
  <c r="B149" i="1" s="1"/>
  <c r="B122" i="1"/>
  <c r="E120" i="1" s="1"/>
  <c r="E121" i="1" s="1"/>
  <c r="B123" i="1" s="1"/>
  <c r="B127" i="1" s="1"/>
  <c r="D21" i="1"/>
  <c r="B116" i="1"/>
  <c r="B136" i="1"/>
  <c r="D40" i="1"/>
  <c r="S73" i="1"/>
  <c r="S53" i="1"/>
  <c r="B23" i="1" l="1"/>
  <c r="B60" i="1" s="1"/>
  <c r="B22" i="1"/>
  <c r="B34" i="1"/>
  <c r="B78" i="1"/>
  <c r="B61" i="1" s="1"/>
  <c r="B155" i="1" s="1"/>
  <c r="B35" i="1"/>
  <c r="D23" i="1"/>
  <c r="B26" i="1"/>
  <c r="D46" i="1"/>
  <c r="B29" i="1"/>
  <c r="B154" i="1" l="1"/>
  <c r="B66" i="1"/>
  <c r="B68" i="1" s="1"/>
  <c r="B75" i="1" s="1"/>
  <c r="B18" i="1"/>
  <c r="B19" i="1" s="1"/>
  <c r="B103" i="1"/>
  <c r="B160" i="1" s="1"/>
  <c r="B17" i="1"/>
  <c r="D109" i="1"/>
  <c r="B37" i="1"/>
  <c r="B42" i="1" s="1"/>
  <c r="D42" i="1" s="1"/>
  <c r="B47" i="1"/>
  <c r="B48" i="1" s="1"/>
  <c r="B53" i="1"/>
  <c r="B132" i="1" s="1"/>
  <c r="B52" i="1"/>
  <c r="B7" i="1"/>
  <c r="H25" i="1"/>
  <c r="F25" i="1"/>
  <c r="B115" i="1" l="1"/>
  <c r="B117" i="1" s="1"/>
  <c r="B62" i="1"/>
  <c r="B156" i="1" s="1"/>
  <c r="B56" i="1"/>
  <c r="B87" i="1"/>
  <c r="B86" i="1"/>
  <c r="B33" i="1"/>
  <c r="B84" i="1"/>
  <c r="B54" i="1"/>
  <c r="D54" i="1" s="1"/>
  <c r="B133" i="1"/>
  <c r="B164" i="1" s="1"/>
  <c r="B49" i="1"/>
  <c r="B50" i="1" s="1"/>
  <c r="B71" i="1"/>
  <c r="B119" i="1" l="1"/>
  <c r="B124" i="1" s="1"/>
  <c r="B129" i="1"/>
  <c r="B79" i="1"/>
  <c r="B158" i="1" s="1"/>
  <c r="B88" i="1"/>
  <c r="D35" i="1"/>
  <c r="B131" i="1"/>
  <c r="B163" i="1" s="1"/>
  <c r="B44" i="1"/>
  <c r="D44" i="1" s="1"/>
  <c r="D34" i="1"/>
  <c r="D50" i="1"/>
  <c r="E49" i="1"/>
  <c r="B91" i="1" l="1"/>
  <c r="B101" i="1"/>
  <c r="B138" i="1"/>
  <c r="B151" i="1" s="1"/>
  <c r="D53" i="1"/>
  <c r="B141" i="1" l="1"/>
  <c r="B146" i="1" s="1"/>
  <c r="E72" i="1" l="1"/>
  <c r="E73" i="1" s="1"/>
</calcChain>
</file>

<file path=xl/sharedStrings.xml><?xml version="1.0" encoding="utf-8"?>
<sst xmlns="http://schemas.openxmlformats.org/spreadsheetml/2006/main" count="354" uniqueCount="192">
  <si>
    <t>Eingangsparameter</t>
  </si>
  <si>
    <t>V_Out</t>
  </si>
  <si>
    <t>bis</t>
  </si>
  <si>
    <t>F_Osc</t>
  </si>
  <si>
    <t>Referenz design nutz 100Khz</t>
  </si>
  <si>
    <t>D_max</t>
  </si>
  <si>
    <t>Typischer max. Duty Cycle laut datenblatt</t>
  </si>
  <si>
    <t>D_min</t>
  </si>
  <si>
    <t>Ü</t>
  </si>
  <si>
    <t>V</t>
  </si>
  <si>
    <t xml:space="preserve">bis </t>
  </si>
  <si>
    <t>H1</t>
  </si>
  <si>
    <t>H2</t>
  </si>
  <si>
    <t>uH</t>
  </si>
  <si>
    <t>Ü_ideal</t>
  </si>
  <si>
    <t>U_real</t>
  </si>
  <si>
    <t>Trafo Optionen</t>
  </si>
  <si>
    <t>I_max</t>
  </si>
  <si>
    <t>W</t>
  </si>
  <si>
    <t>P_Out_max</t>
  </si>
  <si>
    <t>A</t>
  </si>
  <si>
    <t>L_o</t>
  </si>
  <si>
    <t>hz</t>
  </si>
  <si>
    <t>H</t>
  </si>
  <si>
    <t>L_o (Vmin) &gt;</t>
  </si>
  <si>
    <t>L_o (Vmax) &gt;</t>
  </si>
  <si>
    <t>V_In_min</t>
  </si>
  <si>
    <t>V_In_max</t>
  </si>
  <si>
    <t>Coilcraft</t>
  </si>
  <si>
    <t>2pcs</t>
  </si>
  <si>
    <t>anzahl</t>
  </si>
  <si>
    <t>U_real_gesamt</t>
  </si>
  <si>
    <t>AGP4233-153ME</t>
  </si>
  <si>
    <t>4 in reihe</t>
  </si>
  <si>
    <t>K_Factor</t>
  </si>
  <si>
    <t>Leakage Inductance</t>
  </si>
  <si>
    <t>RISense</t>
  </si>
  <si>
    <t>Ohm</t>
  </si>
  <si>
    <t>mOhm</t>
  </si>
  <si>
    <t>RIVSEC</t>
  </si>
  <si>
    <t>R1</t>
  </si>
  <si>
    <t>Mohm</t>
  </si>
  <si>
    <t>R3</t>
  </si>
  <si>
    <t>R2</t>
  </si>
  <si>
    <t>UVLO_Sec_min</t>
  </si>
  <si>
    <t>UVLO_Sec_max</t>
  </si>
  <si>
    <t>kOhm</t>
  </si>
  <si>
    <t>C_CL</t>
  </si>
  <si>
    <t>F</t>
  </si>
  <si>
    <t>nF</t>
  </si>
  <si>
    <t>C_S</t>
  </si>
  <si>
    <t>R_S</t>
  </si>
  <si>
    <t>Voltage Ripple requrement</t>
  </si>
  <si>
    <t>of Vout</t>
  </si>
  <si>
    <t>V_p2p</t>
  </si>
  <si>
    <t>ESR of C_out</t>
  </si>
  <si>
    <t>C_out_min</t>
  </si>
  <si>
    <t>uF</t>
  </si>
  <si>
    <t>Foldback ratio</t>
  </si>
  <si>
    <t>per Datasheet</t>
  </si>
  <si>
    <t>R_Timer</t>
  </si>
  <si>
    <t>R_DS_on</t>
  </si>
  <si>
    <t>mV</t>
  </si>
  <si>
    <t>V_trip_max Mosfet</t>
  </si>
  <si>
    <t>E_AS</t>
  </si>
  <si>
    <t>V_BR(DSS)</t>
  </si>
  <si>
    <t>mJ</t>
  </si>
  <si>
    <t>R_CSP/R_CSN</t>
  </si>
  <si>
    <t>V_DS_Max Catch Mosfet</t>
  </si>
  <si>
    <t>S=2</t>
  </si>
  <si>
    <t>R_sns</t>
  </si>
  <si>
    <t>festgelegt</t>
  </si>
  <si>
    <t xml:space="preserve">mOhm </t>
  </si>
  <si>
    <t>gewählt</t>
  </si>
  <si>
    <t>V_in</t>
  </si>
  <si>
    <t>RMS Current Sec.</t>
  </si>
  <si>
    <t>RMS Current Prim</t>
  </si>
  <si>
    <t>Total Power In</t>
  </si>
  <si>
    <t>Toral Power Out</t>
  </si>
  <si>
    <t>Total Eff.</t>
  </si>
  <si>
    <t>@</t>
  </si>
  <si>
    <t>260V</t>
  </si>
  <si>
    <t xml:space="preserve">I_Out </t>
  </si>
  <si>
    <t>ARMS</t>
  </si>
  <si>
    <t>V_Ripp</t>
  </si>
  <si>
    <t>%</t>
  </si>
  <si>
    <t>Without Leakage Inductance</t>
  </si>
  <si>
    <t>Catch Mosfet and V_Trip</t>
  </si>
  <si>
    <t>Clamp Capacitance and Snubber</t>
  </si>
  <si>
    <t>Output Inductance and Capacitance</t>
  </si>
  <si>
    <t>Transformer</t>
  </si>
  <si>
    <t>Calculated Value</t>
  </si>
  <si>
    <t>Input</t>
  </si>
  <si>
    <t>Active Clamp Mosfet</t>
  </si>
  <si>
    <t>Primary Mosfet</t>
  </si>
  <si>
    <t>P_I_Mag</t>
  </si>
  <si>
    <t>V_Max</t>
  </si>
  <si>
    <t>equal to primary</t>
  </si>
  <si>
    <t>BV_DSS_min</t>
  </si>
  <si>
    <t>I_SD_max</t>
  </si>
  <si>
    <t>P_Conduction</t>
  </si>
  <si>
    <t>P_Gatedriver</t>
  </si>
  <si>
    <t>Q_G</t>
  </si>
  <si>
    <t>INT_VCC</t>
  </si>
  <si>
    <t>nC</t>
  </si>
  <si>
    <t>C</t>
  </si>
  <si>
    <t>P_Turn_off</t>
  </si>
  <si>
    <t>P_Turn_on</t>
  </si>
  <si>
    <t>Q_GD</t>
  </si>
  <si>
    <t>P_M1_max</t>
  </si>
  <si>
    <t>NP/NS</t>
  </si>
  <si>
    <t>NS/NP</t>
  </si>
  <si>
    <t>UJ3C120150K3S</t>
  </si>
  <si>
    <t>STF7N105K5</t>
  </si>
  <si>
    <t>Forward Mosfet</t>
  </si>
  <si>
    <t>V_DS_Max</t>
  </si>
  <si>
    <t>Resonant Case</t>
  </si>
  <si>
    <t>Active clamp Case</t>
  </si>
  <si>
    <t>I_DS_max</t>
  </si>
  <si>
    <t>P_M_Forward</t>
  </si>
  <si>
    <t>P_M_catch</t>
  </si>
  <si>
    <t>IPP019N08NF2SAKMA1</t>
  </si>
  <si>
    <t>Gewählt</t>
  </si>
  <si>
    <t xml:space="preserve">IXFK240N25X3 </t>
  </si>
  <si>
    <t>AGM2222-562</t>
  </si>
  <si>
    <t>t_amb</t>
  </si>
  <si>
    <t>°C</t>
  </si>
  <si>
    <t>R_t_max</t>
  </si>
  <si>
    <t>t_max_mos</t>
  </si>
  <si>
    <t>K/W</t>
  </si>
  <si>
    <t>R_thJC</t>
  </si>
  <si>
    <t>R_thCS</t>
  </si>
  <si>
    <t>A-sink</t>
  </si>
  <si>
    <t>mm^2</t>
  </si>
  <si>
    <t>R_thSC</t>
  </si>
  <si>
    <t>R_thCA_max</t>
  </si>
  <si>
    <t>Arctivc Silver 5</t>
  </si>
  <si>
    <t>W/mm^2*K</t>
  </si>
  <si>
    <t>W/K</t>
  </si>
  <si>
    <t>geschätzt</t>
  </si>
  <si>
    <t>TO247-3</t>
  </si>
  <si>
    <t>RA-T2X-38E</t>
  </si>
  <si>
    <t>TO264-3</t>
  </si>
  <si>
    <t>TO220-3</t>
  </si>
  <si>
    <t>WA-T220-101E</t>
  </si>
  <si>
    <t>I_D_Max_pulsed</t>
  </si>
  <si>
    <t>P_ACM_Max</t>
  </si>
  <si>
    <t>Safety Factor</t>
  </si>
  <si>
    <t>T_th_gesamt</t>
  </si>
  <si>
    <t>t_max</t>
  </si>
  <si>
    <t>CR101-75</t>
  </si>
  <si>
    <t>General</t>
  </si>
  <si>
    <t>2V Entladeschluss und etwas luft nach unten</t>
  </si>
  <si>
    <t>4,25V Ladeschluss und etwas luft nach oben</t>
  </si>
  <si>
    <t xml:space="preserve"> </t>
  </si>
  <si>
    <t>Min Verbauch des Fahzeuges Ripple soll kleiner sein um in CCM zu bleiben sonst DCM</t>
  </si>
  <si>
    <t>ICR</t>
  </si>
  <si>
    <t>1/1/ESR1+1/ESR2…</t>
  </si>
  <si>
    <t>Werte aus Red Expert von WE</t>
  </si>
  <si>
    <t>gleich wie oben</t>
  </si>
  <si>
    <t>"-&gt;"</t>
  </si>
  <si>
    <t>Zu groß!!!</t>
  </si>
  <si>
    <t>ersatzweise</t>
  </si>
  <si>
    <t>AGM2222-562ME</t>
  </si>
  <si>
    <t>I Ripple</t>
  </si>
  <si>
    <t>&lt;- fehler fläche falsch</t>
  </si>
  <si>
    <t>CS = Case Sink</t>
  </si>
  <si>
    <t>JC = Junction Case</t>
  </si>
  <si>
    <t>SA = Sink Ambient</t>
  </si>
  <si>
    <t>RT_th_gesamt</t>
  </si>
  <si>
    <t>Result</t>
  </si>
  <si>
    <t>I Ripple neu (p-p)</t>
  </si>
  <si>
    <t>D_Avg</t>
  </si>
  <si>
    <t>Vtrip max muss größer Vtrip sein</t>
  </si>
  <si>
    <t>Parallel Capacitance 5,2*10^-12</t>
  </si>
  <si>
    <t>Vtrip</t>
  </si>
  <si>
    <t>Werte aus der Sim</t>
  </si>
  <si>
    <t>Active Clamp Fet</t>
  </si>
  <si>
    <t>Primary Fet</t>
  </si>
  <si>
    <t>Catch Fet</t>
  </si>
  <si>
    <t>Forward Fet</t>
  </si>
  <si>
    <t>600V 40A</t>
  </si>
  <si>
    <t>230V 40A</t>
  </si>
  <si>
    <t>I_catch_FET_max_reverse</t>
  </si>
  <si>
    <t>x</t>
  </si>
  <si>
    <t>Gesamtwerte</t>
  </si>
  <si>
    <t>Pin</t>
  </si>
  <si>
    <t>Pout</t>
  </si>
  <si>
    <t>Wirkungsgrad</t>
  </si>
  <si>
    <t>600V 10A</t>
  </si>
  <si>
    <t>230V 10A</t>
  </si>
  <si>
    <t>2 in reihe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</si>
</sst>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000"/>
    <numFmt numFmtId="166" formatCode="0.0"/>
    <numFmt numFmtId="167" formatCode="0.000%"/>
    <numFmt numFmtId="168" formatCode="0.00000"/>
    <numFmt numFmtId="169" formatCode="0.00000000"/>
  </numFmts>
  <fonts count="6" x14ac:knownFonts="1">
    <font>
      <sz val="11"/>
      <color theme="1"/>
      <name val="Calibri"/>
      <family val="2"/>
      <scheme val="minor"/>
    </font>
    <font>
      <b/>
      <sz val="8"/>
      <color rgb="FF000000"/>
      <name val="Libre Franklin"/>
    </font>
    <font>
      <sz val="8"/>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rgb="FF92D05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9" fontId="4" fillId="0" borderId="0" applyFont="0" applyFill="0" applyBorder="0" applyAlignment="0" applyProtection="0"/>
  </cellStyleXfs>
  <cellXfs count="42">
    <xf numFmtId="0" fontId="0" fillId="0" borderId="0" xfId="0"/>
    <xf numFmtId="11" fontId="0" fillId="0" borderId="0" xfId="0" applyNumberFormat="1"/>
    <xf numFmtId="0" fontId="1" fillId="0" borderId="0" xfId="0" applyFont="1"/>
    <xf numFmtId="18" fontId="0" fillId="0" borderId="0" xfId="0" applyNumberFormat="1"/>
    <xf numFmtId="2" fontId="0" fillId="0" borderId="0" xfId="0" applyNumberFormat="1"/>
    <xf numFmtId="1" fontId="0" fillId="0" borderId="0" xfId="0" applyNumberFormat="1"/>
    <xf numFmtId="0" fontId="0" fillId="3" borderId="0" xfId="0" applyFill="1"/>
    <xf numFmtId="164" fontId="0" fillId="3" borderId="0" xfId="0" applyNumberFormat="1" applyFill="1"/>
    <xf numFmtId="11" fontId="0" fillId="3" borderId="0" xfId="0" applyNumberFormat="1" applyFill="1"/>
    <xf numFmtId="0" fontId="1" fillId="3" borderId="0" xfId="0" applyFont="1" applyFill="1"/>
    <xf numFmtId="2" fontId="0" fillId="3" borderId="0" xfId="0" applyNumberFormat="1" applyFill="1"/>
    <xf numFmtId="165" fontId="0" fillId="3" borderId="0" xfId="0" applyNumberFormat="1" applyFill="1"/>
    <xf numFmtId="0" fontId="0" fillId="4" borderId="0" xfId="0" applyFill="1"/>
    <xf numFmtId="164" fontId="0" fillId="4" borderId="0" xfId="0" applyNumberFormat="1" applyFill="1"/>
    <xf numFmtId="9" fontId="0" fillId="4" borderId="0" xfId="0" applyNumberFormat="1" applyFill="1"/>
    <xf numFmtId="0" fontId="0" fillId="5" borderId="0" xfId="0" applyFill="1"/>
    <xf numFmtId="165" fontId="0" fillId="0" borderId="0" xfId="0" applyNumberFormat="1"/>
    <xf numFmtId="165" fontId="0" fillId="5" borderId="0" xfId="0" applyNumberFormat="1" applyFill="1"/>
    <xf numFmtId="2" fontId="0" fillId="5" borderId="0" xfId="0" applyNumberFormat="1" applyFill="1"/>
    <xf numFmtId="2" fontId="0" fillId="4" borderId="0" xfId="0" applyNumberFormat="1" applyFill="1"/>
    <xf numFmtId="165" fontId="0" fillId="4" borderId="0" xfId="0" applyNumberFormat="1" applyFill="1"/>
    <xf numFmtId="11" fontId="0" fillId="5" borderId="0" xfId="0" applyNumberFormat="1" applyFill="1"/>
    <xf numFmtId="0" fontId="3" fillId="0" borderId="0" xfId="1"/>
    <xf numFmtId="0" fontId="0" fillId="0" borderId="0" xfId="0" applyAlignment="1">
      <alignment horizontal="center" vertical="center"/>
    </xf>
    <xf numFmtId="164" fontId="0" fillId="0" borderId="0" xfId="0" applyNumberFormat="1"/>
    <xf numFmtId="0" fontId="0" fillId="4" borderId="0" xfId="0" applyFill="1" applyAlignment="1">
      <alignment horizontal="center"/>
    </xf>
    <xf numFmtId="167" fontId="0" fillId="0" borderId="0" xfId="2" applyNumberFormat="1" applyFont="1"/>
    <xf numFmtId="0" fontId="0" fillId="6" borderId="0" xfId="0" applyFill="1"/>
    <xf numFmtId="2" fontId="0" fillId="6" borderId="0" xfId="0" applyNumberFormat="1" applyFill="1"/>
    <xf numFmtId="9" fontId="0" fillId="4" borderId="0" xfId="2" applyFont="1" applyFill="1"/>
    <xf numFmtId="1" fontId="0" fillId="6" borderId="0" xfId="0" applyNumberFormat="1" applyFill="1"/>
    <xf numFmtId="1" fontId="0" fillId="5" borderId="0" xfId="0" applyNumberFormat="1" applyFill="1"/>
    <xf numFmtId="166" fontId="0" fillId="6" borderId="0" xfId="0" applyNumberFormat="1" applyFill="1"/>
    <xf numFmtId="166" fontId="0" fillId="5" borderId="0" xfId="0" applyNumberFormat="1" applyFill="1"/>
    <xf numFmtId="168" fontId="0" fillId="0" borderId="0" xfId="0" applyNumberFormat="1"/>
    <xf numFmtId="169" fontId="0" fillId="0" borderId="0" xfId="0" applyNumberFormat="1"/>
    <xf numFmtId="0" fontId="0" fillId="0" borderId="0" xfId="0" applyAlignment="1">
      <alignment horizontal="center"/>
    </xf>
    <xf numFmtId="0" fontId="5" fillId="0" borderId="0" xfId="0" applyFont="1" applyAlignment="1">
      <alignment horizontal="center"/>
    </xf>
    <xf numFmtId="0" fontId="0" fillId="2" borderId="0" xfId="0" applyFill="1" applyAlignment="1">
      <alignment horizontal="center"/>
    </xf>
    <xf numFmtId="0" fontId="0" fillId="4" borderId="0" xfId="0" applyFill="1" applyAlignment="1">
      <alignment horizontal="center"/>
    </xf>
    <xf numFmtId="0" fontId="0" fillId="0" borderId="0" xfId="0" applyAlignment="1">
      <alignment horizontal="center" vertical="center" wrapText="1"/>
    </xf>
    <xf numFmtId="0" fontId="0" fillId="0" borderId="0" xfId="0" applyAlignment="1">
      <alignment horizontal="center" vertical="center"/>
    </xf>
  </cellXfs>
  <cellStyles count="3">
    <cellStyle name="Link" xfId="1" builtinId="8"/>
    <cellStyle name="Prozent" xfId="2"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13</xdr:col>
      <xdr:colOff>304800</xdr:colOff>
      <xdr:row>1</xdr:row>
      <xdr:rowOff>129540</xdr:rowOff>
    </xdr:from>
    <xdr:to>
      <xdr:col>21</xdr:col>
      <xdr:colOff>53340</xdr:colOff>
      <xdr:row>21</xdr:row>
      <xdr:rowOff>114300</xdr:rowOff>
    </xdr:to>
    <xdr:sp macro="" textlink="">
      <xdr:nvSpPr>
        <xdr:cNvPr id="2" name="Textfeld 1">
          <a:extLst>
            <a:ext uri="{FF2B5EF4-FFF2-40B4-BE49-F238E27FC236}">
              <a16:creationId xmlns:a16="http://schemas.microsoft.com/office/drawing/2014/main" id="{6C03F7EB-D48D-4508-97A1-AD8AF2D02991}"/>
            </a:ext>
          </a:extLst>
        </xdr:cNvPr>
        <xdr:cNvSpPr txBox="1"/>
      </xdr:nvSpPr>
      <xdr:spPr>
        <a:xfrm>
          <a:off x="11010900" y="312420"/>
          <a:ext cx="4625340" cy="3276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Todo:</a:t>
          </a:r>
        </a:p>
        <a:p>
          <a:r>
            <a:rPr lang="de-DE" sz="1100"/>
            <a:t>X Windungszahlen haupt</a:t>
          </a:r>
          <a:r>
            <a:rPr lang="de-DE" sz="1100" baseline="0"/>
            <a:t> trafo und weitere berechnungen</a:t>
          </a:r>
        </a:p>
        <a:p>
          <a:r>
            <a:rPr lang="de-DE" sz="1100" baseline="0"/>
            <a:t>X Eimgamngspannungen</a:t>
          </a:r>
        </a:p>
        <a:p>
          <a:r>
            <a:rPr lang="de-DE" sz="1100" baseline="0"/>
            <a:t>X Ausgangsspannungen</a:t>
          </a:r>
        </a:p>
        <a:p>
          <a:r>
            <a:rPr lang="de-DE" sz="1100" baseline="0"/>
            <a:t>X Output inductor</a:t>
          </a:r>
        </a:p>
        <a:p>
          <a:r>
            <a:rPr lang="de-DE" sz="1100" baseline="0"/>
            <a:t>X output capacitance</a:t>
          </a:r>
        </a:p>
        <a:p>
          <a:r>
            <a:rPr lang="de-DE" sz="1100" baseline="0"/>
            <a:t>X F_Osc decision &amp; resistor setting</a:t>
          </a:r>
        </a:p>
        <a:p>
          <a:r>
            <a:rPr lang="de-DE" sz="1100" baseline="0"/>
            <a:t>X Höhere F_osc prüfen und output Induct und Cap verkleinern</a:t>
          </a:r>
        </a:p>
        <a:p>
          <a:r>
            <a:rPr lang="de-DE" sz="1100" baseline="0"/>
            <a:t>Sonder wiederstände durch Wiederstandsnetzwerke ersetzten (Kosten) und 	BOM klein halten</a:t>
          </a:r>
        </a:p>
        <a:p>
          <a:r>
            <a:rPr lang="de-DE" sz="1100" baseline="0"/>
            <a:t>Soft start Cap dimensionierung</a:t>
          </a:r>
        </a:p>
        <a:p>
          <a:r>
            <a:rPr lang="de-DE" sz="1100" baseline="0"/>
            <a:t>Ein und ausschaltverhalten betrachten, Herunterfahren des Chips vor 	trennung von HV- sicher stellen</a:t>
          </a:r>
        </a:p>
        <a:p>
          <a:r>
            <a:rPr lang="de-DE" sz="1100" baseline="0"/>
            <a:t>Komoensationsnetzwerk im Betrieb ausfahren und nachrechnen</a:t>
          </a:r>
        </a:p>
        <a:p>
          <a:r>
            <a:rPr lang="de-DE" sz="1100" baseline="0"/>
            <a:t>Testdaten aufnehmen und mit berechnung vergleichen</a:t>
          </a:r>
        </a:p>
        <a:p>
          <a:r>
            <a:rPr lang="de-DE" sz="1100" baseline="0"/>
            <a:t>Y-Kondensator auslegen</a:t>
          </a:r>
        </a:p>
        <a:p>
          <a:endParaRPr lang="de-DE" sz="1100" baseline="0"/>
        </a:p>
      </xdr:txBody>
    </xdr:sp>
    <xdr:clientData/>
  </xdr:twoCellAnchor>
  <xdr:twoCellAnchor editAs="oneCell">
    <xdr:from>
      <xdr:col>9</xdr:col>
      <xdr:colOff>525780</xdr:colOff>
      <xdr:row>43</xdr:row>
      <xdr:rowOff>0</xdr:rowOff>
    </xdr:from>
    <xdr:to>
      <xdr:col>12</xdr:col>
      <xdr:colOff>516254</xdr:colOff>
      <xdr:row>51</xdr:row>
      <xdr:rowOff>95560</xdr:rowOff>
    </xdr:to>
    <xdr:pic>
      <xdr:nvPicPr>
        <xdr:cNvPr id="3" name="Grafik 2">
          <a:extLst>
            <a:ext uri="{FF2B5EF4-FFF2-40B4-BE49-F238E27FC236}">
              <a16:creationId xmlns:a16="http://schemas.microsoft.com/office/drawing/2014/main" id="{118C68DD-80E5-4E59-A5F2-51E928DB7271}"/>
            </a:ext>
          </a:extLst>
        </xdr:cNvPr>
        <xdr:cNvPicPr>
          <a:picLocks noChangeAspect="1"/>
        </xdr:cNvPicPr>
      </xdr:nvPicPr>
      <xdr:blipFill>
        <a:blip xmlns:r="http://schemas.openxmlformats.org/officeDocument/2006/relationships" r:embed="rId1"/>
        <a:stretch>
          <a:fillRect/>
        </a:stretch>
      </xdr:blipFill>
      <xdr:spPr>
        <a:xfrm>
          <a:off x="6469380" y="6217920"/>
          <a:ext cx="1828800" cy="1558599"/>
        </a:xfrm>
        <a:prstGeom prst="rect">
          <a:avLst/>
        </a:prstGeom>
      </xdr:spPr>
    </xdr:pic>
    <xdr:clientData/>
  </xdr:twoCellAnchor>
  <xdr:twoCellAnchor editAs="oneCell">
    <xdr:from>
      <xdr:col>9</xdr:col>
      <xdr:colOff>518161</xdr:colOff>
      <xdr:row>48</xdr:row>
      <xdr:rowOff>114301</xdr:rowOff>
    </xdr:from>
    <xdr:to>
      <xdr:col>12</xdr:col>
      <xdr:colOff>190499</xdr:colOff>
      <xdr:row>51</xdr:row>
      <xdr:rowOff>174232</xdr:rowOff>
    </xdr:to>
    <xdr:pic>
      <xdr:nvPicPr>
        <xdr:cNvPr id="4" name="Grafik 3">
          <a:extLst>
            <a:ext uri="{FF2B5EF4-FFF2-40B4-BE49-F238E27FC236}">
              <a16:creationId xmlns:a16="http://schemas.microsoft.com/office/drawing/2014/main" id="{8126807F-5DD6-4D17-9E3B-26C45A88F7DE}"/>
            </a:ext>
          </a:extLst>
        </xdr:cNvPr>
        <xdr:cNvPicPr>
          <a:picLocks noChangeAspect="1"/>
        </xdr:cNvPicPr>
      </xdr:nvPicPr>
      <xdr:blipFill>
        <a:blip xmlns:r="http://schemas.openxmlformats.org/officeDocument/2006/relationships" r:embed="rId2"/>
        <a:stretch>
          <a:fillRect/>
        </a:stretch>
      </xdr:blipFill>
      <xdr:spPr>
        <a:xfrm>
          <a:off x="6461761" y="7795261"/>
          <a:ext cx="1501139" cy="608570"/>
        </a:xfrm>
        <a:prstGeom prst="rect">
          <a:avLst/>
        </a:prstGeom>
      </xdr:spPr>
    </xdr:pic>
    <xdr:clientData/>
  </xdr:twoCellAnchor>
  <xdr:twoCellAnchor editAs="oneCell">
    <xdr:from>
      <xdr:col>9</xdr:col>
      <xdr:colOff>487681</xdr:colOff>
      <xdr:row>52</xdr:row>
      <xdr:rowOff>15240</xdr:rowOff>
    </xdr:from>
    <xdr:to>
      <xdr:col>11</xdr:col>
      <xdr:colOff>551093</xdr:colOff>
      <xdr:row>56</xdr:row>
      <xdr:rowOff>60959</xdr:rowOff>
    </xdr:to>
    <xdr:pic>
      <xdr:nvPicPr>
        <xdr:cNvPr id="5" name="Grafik 4">
          <a:extLst>
            <a:ext uri="{FF2B5EF4-FFF2-40B4-BE49-F238E27FC236}">
              <a16:creationId xmlns:a16="http://schemas.microsoft.com/office/drawing/2014/main" id="{4970B79B-CDF5-42AD-BF91-199D23C5A6CC}"/>
            </a:ext>
          </a:extLst>
        </xdr:cNvPr>
        <xdr:cNvPicPr>
          <a:picLocks noChangeAspect="1"/>
        </xdr:cNvPicPr>
      </xdr:nvPicPr>
      <xdr:blipFill>
        <a:blip xmlns:r="http://schemas.openxmlformats.org/officeDocument/2006/relationships" r:embed="rId3"/>
        <a:stretch>
          <a:fillRect/>
        </a:stretch>
      </xdr:blipFill>
      <xdr:spPr>
        <a:xfrm>
          <a:off x="6431281" y="8427720"/>
          <a:ext cx="1294043" cy="777240"/>
        </a:xfrm>
        <a:prstGeom prst="rect">
          <a:avLst/>
        </a:prstGeom>
      </xdr:spPr>
    </xdr:pic>
    <xdr:clientData/>
  </xdr:twoCellAnchor>
  <xdr:twoCellAnchor editAs="oneCell">
    <xdr:from>
      <xdr:col>9</xdr:col>
      <xdr:colOff>82505</xdr:colOff>
      <xdr:row>56</xdr:row>
      <xdr:rowOff>119029</xdr:rowOff>
    </xdr:from>
    <xdr:to>
      <xdr:col>14</xdr:col>
      <xdr:colOff>18721</xdr:colOff>
      <xdr:row>59</xdr:row>
      <xdr:rowOff>168485</xdr:rowOff>
    </xdr:to>
    <xdr:pic>
      <xdr:nvPicPr>
        <xdr:cNvPr id="6" name="Grafik 5">
          <a:extLst>
            <a:ext uri="{FF2B5EF4-FFF2-40B4-BE49-F238E27FC236}">
              <a16:creationId xmlns:a16="http://schemas.microsoft.com/office/drawing/2014/main" id="{6E472B45-A7C6-4078-9C06-C0647939DED3}"/>
            </a:ext>
          </a:extLst>
        </xdr:cNvPr>
        <xdr:cNvPicPr>
          <a:picLocks noChangeAspect="1"/>
        </xdr:cNvPicPr>
      </xdr:nvPicPr>
      <xdr:blipFill>
        <a:blip xmlns:r="http://schemas.openxmlformats.org/officeDocument/2006/relationships" r:embed="rId4"/>
        <a:stretch>
          <a:fillRect/>
        </a:stretch>
      </xdr:blipFill>
      <xdr:spPr>
        <a:xfrm>
          <a:off x="6835402" y="10629374"/>
          <a:ext cx="2888440" cy="613335"/>
        </a:xfrm>
        <a:prstGeom prst="rect">
          <a:avLst/>
        </a:prstGeom>
      </xdr:spPr>
    </xdr:pic>
    <xdr:clientData/>
  </xdr:twoCellAnchor>
  <xdr:twoCellAnchor editAs="oneCell">
    <xdr:from>
      <xdr:col>3</xdr:col>
      <xdr:colOff>99890</xdr:colOff>
      <xdr:row>16</xdr:row>
      <xdr:rowOff>60463</xdr:rowOff>
    </xdr:from>
    <xdr:to>
      <xdr:col>3</xdr:col>
      <xdr:colOff>1184221</xdr:colOff>
      <xdr:row>17</xdr:row>
      <xdr:rowOff>18571</xdr:rowOff>
    </xdr:to>
    <xdr:pic>
      <xdr:nvPicPr>
        <xdr:cNvPr id="7" name="Grafik 6">
          <a:extLst>
            <a:ext uri="{FF2B5EF4-FFF2-40B4-BE49-F238E27FC236}">
              <a16:creationId xmlns:a16="http://schemas.microsoft.com/office/drawing/2014/main" id="{361EF41D-D43D-4A34-B7A7-A6DE4DADBD71}"/>
            </a:ext>
          </a:extLst>
        </xdr:cNvPr>
        <xdr:cNvPicPr>
          <a:picLocks noChangeAspect="1"/>
        </xdr:cNvPicPr>
      </xdr:nvPicPr>
      <xdr:blipFill>
        <a:blip xmlns:r="http://schemas.openxmlformats.org/officeDocument/2006/relationships" r:embed="rId5"/>
        <a:stretch>
          <a:fillRect/>
        </a:stretch>
      </xdr:blipFill>
      <xdr:spPr>
        <a:xfrm>
          <a:off x="3611716" y="3028950"/>
          <a:ext cx="1082940" cy="147448"/>
        </a:xfrm>
        <a:prstGeom prst="rect">
          <a:avLst/>
        </a:prstGeom>
      </xdr:spPr>
    </xdr:pic>
    <xdr:clientData/>
  </xdr:twoCellAnchor>
  <xdr:twoCellAnchor editAs="oneCell">
    <xdr:from>
      <xdr:col>13</xdr:col>
      <xdr:colOff>173180</xdr:colOff>
      <xdr:row>47</xdr:row>
      <xdr:rowOff>57098</xdr:rowOff>
    </xdr:from>
    <xdr:to>
      <xdr:col>15</xdr:col>
      <xdr:colOff>571324</xdr:colOff>
      <xdr:row>55</xdr:row>
      <xdr:rowOff>111916</xdr:rowOff>
    </xdr:to>
    <xdr:pic>
      <xdr:nvPicPr>
        <xdr:cNvPr id="8" name="Grafik 7">
          <a:extLst>
            <a:ext uri="{FF2B5EF4-FFF2-40B4-BE49-F238E27FC236}">
              <a16:creationId xmlns:a16="http://schemas.microsoft.com/office/drawing/2014/main" id="{5F139117-58F5-471D-ABCC-43BB333FBF66}"/>
            </a:ext>
          </a:extLst>
        </xdr:cNvPr>
        <xdr:cNvPicPr>
          <a:picLocks noChangeAspect="1"/>
        </xdr:cNvPicPr>
      </xdr:nvPicPr>
      <xdr:blipFill>
        <a:blip xmlns:r="http://schemas.openxmlformats.org/officeDocument/2006/relationships" r:embed="rId6"/>
        <a:stretch>
          <a:fillRect/>
        </a:stretch>
      </xdr:blipFill>
      <xdr:spPr>
        <a:xfrm>
          <a:off x="10970134" y="8233944"/>
          <a:ext cx="1617344" cy="1508480"/>
        </a:xfrm>
        <a:prstGeom prst="rect">
          <a:avLst/>
        </a:prstGeom>
      </xdr:spPr>
    </xdr:pic>
    <xdr:clientData/>
  </xdr:twoCellAnchor>
  <xdr:twoCellAnchor editAs="oneCell">
    <xdr:from>
      <xdr:col>14</xdr:col>
      <xdr:colOff>205513</xdr:colOff>
      <xdr:row>56</xdr:row>
      <xdr:rowOff>32070</xdr:rowOff>
    </xdr:from>
    <xdr:to>
      <xdr:col>17</xdr:col>
      <xdr:colOff>17043</xdr:colOff>
      <xdr:row>62</xdr:row>
      <xdr:rowOff>131037</xdr:rowOff>
    </xdr:to>
    <xdr:pic>
      <xdr:nvPicPr>
        <xdr:cNvPr id="11" name="Grafik 10">
          <a:extLst>
            <a:ext uri="{FF2B5EF4-FFF2-40B4-BE49-F238E27FC236}">
              <a16:creationId xmlns:a16="http://schemas.microsoft.com/office/drawing/2014/main" id="{916E48D5-96A5-41B0-9958-0884FEFD4D92}"/>
            </a:ext>
          </a:extLst>
        </xdr:cNvPr>
        <xdr:cNvPicPr>
          <a:picLocks noChangeAspect="1"/>
        </xdr:cNvPicPr>
      </xdr:nvPicPr>
      <xdr:blipFill>
        <a:blip xmlns:r="http://schemas.openxmlformats.org/officeDocument/2006/relationships" r:embed="rId7"/>
        <a:stretch>
          <a:fillRect/>
        </a:stretch>
      </xdr:blipFill>
      <xdr:spPr>
        <a:xfrm>
          <a:off x="11612067" y="9844285"/>
          <a:ext cx="1632710" cy="1185404"/>
        </a:xfrm>
        <a:prstGeom prst="rect">
          <a:avLst/>
        </a:prstGeom>
      </xdr:spPr>
    </xdr:pic>
    <xdr:clientData/>
  </xdr:twoCellAnchor>
  <xdr:twoCellAnchor editAs="oneCell">
    <xdr:from>
      <xdr:col>4</xdr:col>
      <xdr:colOff>406200</xdr:colOff>
      <xdr:row>106</xdr:row>
      <xdr:rowOff>174061</xdr:rowOff>
    </xdr:from>
    <xdr:to>
      <xdr:col>5</xdr:col>
      <xdr:colOff>572682</xdr:colOff>
      <xdr:row>108</xdr:row>
      <xdr:rowOff>173647</xdr:rowOff>
    </xdr:to>
    <xdr:pic>
      <xdr:nvPicPr>
        <xdr:cNvPr id="14" name="Grafik 13">
          <a:extLst>
            <a:ext uri="{FF2B5EF4-FFF2-40B4-BE49-F238E27FC236}">
              <a16:creationId xmlns:a16="http://schemas.microsoft.com/office/drawing/2014/main" id="{ED011A99-3CB5-4E7C-9C04-9A5E843DF227}"/>
            </a:ext>
          </a:extLst>
        </xdr:cNvPr>
        <xdr:cNvPicPr>
          <a:picLocks noChangeAspect="1"/>
        </xdr:cNvPicPr>
      </xdr:nvPicPr>
      <xdr:blipFill>
        <a:blip xmlns:r="http://schemas.openxmlformats.org/officeDocument/2006/relationships" r:embed="rId8"/>
        <a:stretch>
          <a:fillRect/>
        </a:stretch>
      </xdr:blipFill>
      <xdr:spPr>
        <a:xfrm>
          <a:off x="3782648" y="11827406"/>
          <a:ext cx="957714" cy="376778"/>
        </a:xfrm>
        <a:prstGeom prst="rect">
          <a:avLst/>
        </a:prstGeom>
      </xdr:spPr>
    </xdr:pic>
    <xdr:clientData/>
  </xdr:twoCellAnchor>
  <xdr:twoCellAnchor editAs="oneCell">
    <xdr:from>
      <xdr:col>17</xdr:col>
      <xdr:colOff>20508</xdr:colOff>
      <xdr:row>42</xdr:row>
      <xdr:rowOff>140818</xdr:rowOff>
    </xdr:from>
    <xdr:to>
      <xdr:col>33</xdr:col>
      <xdr:colOff>22007</xdr:colOff>
      <xdr:row>55</xdr:row>
      <xdr:rowOff>464</xdr:rowOff>
    </xdr:to>
    <xdr:pic>
      <xdr:nvPicPr>
        <xdr:cNvPr id="16" name="Grafik 15">
          <a:extLst>
            <a:ext uri="{FF2B5EF4-FFF2-40B4-BE49-F238E27FC236}">
              <a16:creationId xmlns:a16="http://schemas.microsoft.com/office/drawing/2014/main" id="{4C3598E1-E06D-410A-9B99-742B0C0201C2}"/>
            </a:ext>
          </a:extLst>
        </xdr:cNvPr>
        <xdr:cNvPicPr>
          <a:picLocks noChangeAspect="1"/>
        </xdr:cNvPicPr>
      </xdr:nvPicPr>
      <xdr:blipFill>
        <a:blip xmlns:r="http://schemas.openxmlformats.org/officeDocument/2006/relationships" r:embed="rId9"/>
        <a:stretch>
          <a:fillRect/>
        </a:stretch>
      </xdr:blipFill>
      <xdr:spPr>
        <a:xfrm>
          <a:off x="11517743" y="6673847"/>
          <a:ext cx="9500278" cy="2331482"/>
        </a:xfrm>
        <a:prstGeom prst="rect">
          <a:avLst/>
        </a:prstGeom>
      </xdr:spPr>
    </xdr:pic>
    <xdr:clientData/>
  </xdr:twoCellAnchor>
  <xdr:twoCellAnchor editAs="oneCell">
    <xdr:from>
      <xdr:col>17</xdr:col>
      <xdr:colOff>61912</xdr:colOff>
      <xdr:row>56</xdr:row>
      <xdr:rowOff>2930</xdr:rowOff>
    </xdr:from>
    <xdr:to>
      <xdr:col>33</xdr:col>
      <xdr:colOff>137158</xdr:colOff>
      <xdr:row>68</xdr:row>
      <xdr:rowOff>171530</xdr:rowOff>
    </xdr:to>
    <xdr:pic>
      <xdr:nvPicPr>
        <xdr:cNvPr id="17" name="Grafik 16">
          <a:extLst>
            <a:ext uri="{FF2B5EF4-FFF2-40B4-BE49-F238E27FC236}">
              <a16:creationId xmlns:a16="http://schemas.microsoft.com/office/drawing/2014/main" id="{8CB52EBC-D531-4CE7-B291-475050183A5B}"/>
            </a:ext>
          </a:extLst>
        </xdr:cNvPr>
        <xdr:cNvPicPr>
          <a:picLocks noChangeAspect="1"/>
        </xdr:cNvPicPr>
      </xdr:nvPicPr>
      <xdr:blipFill>
        <a:blip xmlns:r="http://schemas.openxmlformats.org/officeDocument/2006/relationships" r:embed="rId10"/>
        <a:stretch>
          <a:fillRect/>
        </a:stretch>
      </xdr:blipFill>
      <xdr:spPr>
        <a:xfrm>
          <a:off x="12985432" y="9878450"/>
          <a:ext cx="9828846" cy="2363160"/>
        </a:xfrm>
        <a:prstGeom prst="rect">
          <a:avLst/>
        </a:prstGeom>
      </xdr:spPr>
    </xdr:pic>
    <xdr:clientData/>
  </xdr:twoCellAnchor>
  <xdr:twoCellAnchor>
    <xdr:from>
      <xdr:col>20</xdr:col>
      <xdr:colOff>254149</xdr:colOff>
      <xdr:row>73</xdr:row>
      <xdr:rowOff>164502</xdr:rowOff>
    </xdr:from>
    <xdr:to>
      <xdr:col>29</xdr:col>
      <xdr:colOff>163830</xdr:colOff>
      <xdr:row>96</xdr:row>
      <xdr:rowOff>65554</xdr:rowOff>
    </xdr:to>
    <xdr:sp macro="" textlink="">
      <xdr:nvSpPr>
        <xdr:cNvPr id="9" name="Textfeld 8">
          <a:extLst>
            <a:ext uri="{FF2B5EF4-FFF2-40B4-BE49-F238E27FC236}">
              <a16:creationId xmlns:a16="http://schemas.microsoft.com/office/drawing/2014/main" id="{AB6785CC-788D-4636-B4F7-50F48215D98C}"/>
            </a:ext>
          </a:extLst>
        </xdr:cNvPr>
        <xdr:cNvSpPr txBox="1"/>
      </xdr:nvSpPr>
      <xdr:spPr>
        <a:xfrm>
          <a:off x="15332784" y="12894384"/>
          <a:ext cx="5396081" cy="40248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Conclusion:</a:t>
          </a:r>
        </a:p>
        <a:p>
          <a:endParaRPr lang="en-GB" sz="1100" b="0" i="0" u="none" strike="noStrike">
            <a:solidFill>
              <a:schemeClr val="dk1"/>
            </a:solidFill>
            <a:effectLst/>
            <a:latin typeface="+mn-lt"/>
            <a:ea typeface="+mn-ea"/>
            <a:cs typeface="+mn-cs"/>
          </a:endParaRPr>
        </a:p>
        <a:p>
          <a:r>
            <a:rPr lang="en-GB" sz="1100" b="0" i="0" u="none" strike="noStrike">
              <a:solidFill>
                <a:schemeClr val="dk1"/>
              </a:solidFill>
              <a:effectLst/>
              <a:latin typeface="+mn-lt"/>
              <a:ea typeface="+mn-ea"/>
              <a:cs typeface="+mn-cs"/>
            </a:rPr>
            <a:t>The leakage Inductance ist over 1000 times smaller thatn the magnetizing inductance this would never couse such a difference. Leakage inductance will be ignoreed by setting the K factor to 1</a:t>
          </a:r>
          <a:r>
            <a:rPr lang="en-GB"/>
            <a:t> </a:t>
          </a:r>
          <a:endParaRPr lang="en-GB" sz="1100"/>
        </a:p>
      </xdr:txBody>
    </xdr:sp>
    <xdr:clientData/>
  </xdr:twoCellAnchor>
  <xdr:twoCellAnchor>
    <xdr:from>
      <xdr:col>5</xdr:col>
      <xdr:colOff>699246</xdr:colOff>
      <xdr:row>6</xdr:row>
      <xdr:rowOff>170328</xdr:rowOff>
    </xdr:from>
    <xdr:to>
      <xdr:col>12</xdr:col>
      <xdr:colOff>376517</xdr:colOff>
      <xdr:row>10</xdr:row>
      <xdr:rowOff>71717</xdr:rowOff>
    </xdr:to>
    <xdr:sp macro="" textlink="">
      <xdr:nvSpPr>
        <xdr:cNvPr id="10" name="Textfeld 9">
          <a:extLst>
            <a:ext uri="{FF2B5EF4-FFF2-40B4-BE49-F238E27FC236}">
              <a16:creationId xmlns:a16="http://schemas.microsoft.com/office/drawing/2014/main" id="{10CF803F-2A10-8EB4-E575-7B5DDD43E7A7}"/>
            </a:ext>
          </a:extLst>
        </xdr:cNvPr>
        <xdr:cNvSpPr txBox="1"/>
      </xdr:nvSpPr>
      <xdr:spPr>
        <a:xfrm>
          <a:off x="4778187" y="1246093"/>
          <a:ext cx="4374777" cy="6185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In</a:t>
          </a:r>
          <a:r>
            <a:rPr lang="de-DE" sz="1100" baseline="0"/>
            <a:t> zukunft definitiv potential vorhanden die schaltfrequenz zu vergrößern und den wandler damit kleiner zu halten. Aber hier nur Proof of Concept und damit so wenig wie möglich zum example Circuit ändern</a:t>
          </a:r>
          <a:endParaRPr lang="de-DE" sz="1100"/>
        </a:p>
      </xdr:txBody>
    </xdr:sp>
    <xdr:clientData/>
  </xdr:twoCellAnchor>
  <xdr:twoCellAnchor editAs="oneCell">
    <xdr:from>
      <xdr:col>4</xdr:col>
      <xdr:colOff>446689</xdr:colOff>
      <xdr:row>113</xdr:row>
      <xdr:rowOff>141890</xdr:rowOff>
    </xdr:from>
    <xdr:to>
      <xdr:col>6</xdr:col>
      <xdr:colOff>704849</xdr:colOff>
      <xdr:row>116</xdr:row>
      <xdr:rowOff>60099</xdr:rowOff>
    </xdr:to>
    <xdr:pic>
      <xdr:nvPicPr>
        <xdr:cNvPr id="12" name="Grafik 11">
          <a:extLst>
            <a:ext uri="{FF2B5EF4-FFF2-40B4-BE49-F238E27FC236}">
              <a16:creationId xmlns:a16="http://schemas.microsoft.com/office/drawing/2014/main" id="{A69A582D-F5B8-4251-7270-906201BA4C15}"/>
            </a:ext>
          </a:extLst>
        </xdr:cNvPr>
        <xdr:cNvPicPr>
          <a:picLocks noChangeAspect="1"/>
        </xdr:cNvPicPr>
      </xdr:nvPicPr>
      <xdr:blipFill>
        <a:blip xmlns:r="http://schemas.openxmlformats.org/officeDocument/2006/relationships" r:embed="rId11"/>
        <a:stretch>
          <a:fillRect/>
        </a:stretch>
      </xdr:blipFill>
      <xdr:spPr>
        <a:xfrm>
          <a:off x="4882055" y="21845752"/>
          <a:ext cx="1902372" cy="462382"/>
        </a:xfrm>
        <a:prstGeom prst="rect">
          <a:avLst/>
        </a:prstGeom>
      </xdr:spPr>
    </xdr:pic>
    <xdr:clientData/>
  </xdr:twoCellAnchor>
  <xdr:twoCellAnchor editAs="oneCell">
    <xdr:from>
      <xdr:col>7</xdr:col>
      <xdr:colOff>58070</xdr:colOff>
      <xdr:row>36</xdr:row>
      <xdr:rowOff>134993</xdr:rowOff>
    </xdr:from>
    <xdr:to>
      <xdr:col>13</xdr:col>
      <xdr:colOff>36655</xdr:colOff>
      <xdr:row>39</xdr:row>
      <xdr:rowOff>131591</xdr:rowOff>
    </xdr:to>
    <xdr:pic>
      <xdr:nvPicPr>
        <xdr:cNvPr id="13" name="Grafik 12">
          <a:extLst>
            <a:ext uri="{FF2B5EF4-FFF2-40B4-BE49-F238E27FC236}">
              <a16:creationId xmlns:a16="http://schemas.microsoft.com/office/drawing/2014/main" id="{5BC82539-6593-54BB-2781-1D1C156A1E81}"/>
            </a:ext>
          </a:extLst>
        </xdr:cNvPr>
        <xdr:cNvPicPr>
          <a:picLocks noChangeAspect="1"/>
        </xdr:cNvPicPr>
      </xdr:nvPicPr>
      <xdr:blipFill>
        <a:blip xmlns:r="http://schemas.openxmlformats.org/officeDocument/2006/relationships" r:embed="rId12"/>
        <a:stretch>
          <a:fillRect/>
        </a:stretch>
      </xdr:blipFill>
      <xdr:spPr>
        <a:xfrm>
          <a:off x="7323346" y="6756510"/>
          <a:ext cx="3834568" cy="5522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coilcraft.com/en-us/products/power/shielded-inductors/high-current-flat-wire/agp-ver/agm2222/?skuId=3043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68"/>
  <sheetViews>
    <sheetView tabSelected="1" topLeftCell="A15" zoomScaleNormal="100" workbookViewId="0">
      <selection activeCell="K33" sqref="K33"/>
    </sheetView>
  </sheetViews>
  <sheetFormatPr baseColWidth="10" defaultColWidth="8.88671875" defaultRowHeight="14.4" x14ac:dyDescent="0.3"/>
  <cols>
    <col min="1" max="1" width="17" customWidth="1"/>
    <col min="2" max="2" width="25.33203125" bestFit="1" customWidth="1"/>
    <col min="4" max="4" width="18.5546875" bestFit="1" customWidth="1"/>
    <col min="5" max="6" width="12" bestFit="1" customWidth="1"/>
    <col min="7" max="7" width="18.6640625" bestFit="1" customWidth="1"/>
    <col min="9" max="9" width="11.6640625" bestFit="1" customWidth="1"/>
  </cols>
  <sheetData>
    <row r="1" spans="1:9" x14ac:dyDescent="0.3">
      <c r="A1" s="38" t="s">
        <v>151</v>
      </c>
      <c r="B1" s="38"/>
      <c r="C1" s="38"/>
      <c r="D1" s="38"/>
      <c r="E1" s="38"/>
      <c r="F1" s="38"/>
      <c r="G1" s="38"/>
      <c r="H1" s="38"/>
      <c r="I1" s="38"/>
    </row>
    <row r="2" spans="1:9" x14ac:dyDescent="0.3">
      <c r="A2" t="s">
        <v>0</v>
      </c>
      <c r="G2" s="6" t="s">
        <v>91</v>
      </c>
    </row>
    <row r="3" spans="1:9" x14ac:dyDescent="0.3">
      <c r="A3" t="s">
        <v>1</v>
      </c>
      <c r="B3" s="12">
        <v>24</v>
      </c>
      <c r="C3" t="s">
        <v>9</v>
      </c>
      <c r="G3" s="12" t="s">
        <v>92</v>
      </c>
    </row>
    <row r="4" spans="1:9" x14ac:dyDescent="0.3">
      <c r="A4" t="s">
        <v>19</v>
      </c>
      <c r="B4" s="12">
        <v>960</v>
      </c>
      <c r="C4" t="s">
        <v>18</v>
      </c>
      <c r="G4" s="27" t="s">
        <v>170</v>
      </c>
    </row>
    <row r="5" spans="1:9" x14ac:dyDescent="0.3">
      <c r="A5" t="s">
        <v>26</v>
      </c>
      <c r="B5" s="12">
        <v>230</v>
      </c>
      <c r="C5" t="s">
        <v>9</v>
      </c>
      <c r="D5" t="s">
        <v>152</v>
      </c>
    </row>
    <row r="6" spans="1:9" x14ac:dyDescent="0.3">
      <c r="A6" t="s">
        <v>27</v>
      </c>
      <c r="B6" s="12">
        <v>630</v>
      </c>
      <c r="C6" t="s">
        <v>9</v>
      </c>
      <c r="D6" t="s">
        <v>153</v>
      </c>
    </row>
    <row r="7" spans="1:9" x14ac:dyDescent="0.3">
      <c r="A7" t="s">
        <v>17</v>
      </c>
      <c r="B7" s="12">
        <f>B4/B3</f>
        <v>40</v>
      </c>
      <c r="C7" t="s">
        <v>20</v>
      </c>
    </row>
    <row r="9" spans="1:9" x14ac:dyDescent="0.3">
      <c r="A9" t="s">
        <v>3</v>
      </c>
      <c r="B9" s="12">
        <v>100000</v>
      </c>
      <c r="C9" t="s">
        <v>22</v>
      </c>
      <c r="D9" t="s">
        <v>4</v>
      </c>
    </row>
    <row r="10" spans="1:9" x14ac:dyDescent="0.3">
      <c r="A10" t="s">
        <v>58</v>
      </c>
      <c r="B10" s="12">
        <v>2</v>
      </c>
      <c r="C10" t="s">
        <v>59</v>
      </c>
    </row>
    <row r="11" spans="1:9" x14ac:dyDescent="0.3">
      <c r="A11" t="s">
        <v>103</v>
      </c>
      <c r="B11" s="12">
        <v>10</v>
      </c>
      <c r="C11" t="s">
        <v>9</v>
      </c>
    </row>
    <row r="13" spans="1:9" x14ac:dyDescent="0.3">
      <c r="A13" t="s">
        <v>125</v>
      </c>
      <c r="B13" s="12">
        <v>50</v>
      </c>
      <c r="C13" t="s">
        <v>126</v>
      </c>
    </row>
    <row r="14" spans="1:9" x14ac:dyDescent="0.3">
      <c r="A14" t="s">
        <v>128</v>
      </c>
      <c r="B14" s="12">
        <v>125</v>
      </c>
      <c r="C14" t="s">
        <v>126</v>
      </c>
    </row>
    <row r="15" spans="1:9" x14ac:dyDescent="0.3">
      <c r="A15" s="38" t="s">
        <v>90</v>
      </c>
      <c r="B15" s="38"/>
      <c r="C15" s="38"/>
      <c r="D15" s="38"/>
      <c r="E15" s="38"/>
      <c r="F15" s="38"/>
      <c r="G15" s="38"/>
      <c r="H15" s="38"/>
      <c r="I15" s="38"/>
    </row>
    <row r="16" spans="1:9" x14ac:dyDescent="0.3">
      <c r="A16" t="s">
        <v>5</v>
      </c>
      <c r="B16" s="12">
        <v>0.6</v>
      </c>
      <c r="C16" t="s">
        <v>10</v>
      </c>
      <c r="D16" s="12">
        <v>0.7</v>
      </c>
      <c r="E16" t="s">
        <v>6</v>
      </c>
    </row>
    <row r="17" spans="1:13" x14ac:dyDescent="0.3">
      <c r="A17" t="s">
        <v>7</v>
      </c>
      <c r="B17" s="6">
        <f>(B3/B6)*B23</f>
        <v>0.20931449502878077</v>
      </c>
    </row>
    <row r="18" spans="1:13" x14ac:dyDescent="0.3">
      <c r="A18" t="s">
        <v>5</v>
      </c>
      <c r="B18" s="10">
        <f>(B3/B5)*B23</f>
        <v>0.5733397037744864</v>
      </c>
    </row>
    <row r="19" spans="1:13" x14ac:dyDescent="0.3">
      <c r="A19" t="s">
        <v>172</v>
      </c>
      <c r="B19" s="6">
        <f>(B17+B18)/2</f>
        <v>0.39132709940163357</v>
      </c>
    </row>
    <row r="21" spans="1:13" x14ac:dyDescent="0.3">
      <c r="A21" t="s">
        <v>14</v>
      </c>
      <c r="B21" s="28">
        <f>(B5/B3)*B16</f>
        <v>5.75</v>
      </c>
      <c r="C21" t="s">
        <v>2</v>
      </c>
      <c r="D21" s="28">
        <f>(B5/B3)*D16</f>
        <v>6.708333333333333</v>
      </c>
      <c r="M21" s="26"/>
    </row>
    <row r="22" spans="1:13" x14ac:dyDescent="0.3">
      <c r="A22" t="s">
        <v>15</v>
      </c>
      <c r="B22" s="13">
        <f>I25</f>
        <v>10.989010989010989</v>
      </c>
    </row>
    <row r="23" spans="1:13" x14ac:dyDescent="0.3">
      <c r="A23" t="s">
        <v>31</v>
      </c>
      <c r="B23" s="7">
        <f>I25/I27</f>
        <v>5.4945054945054945</v>
      </c>
      <c r="C23" t="s">
        <v>110</v>
      </c>
      <c r="D23" s="15">
        <f>1/B23</f>
        <v>0.182</v>
      </c>
      <c r="E23" t="s">
        <v>111</v>
      </c>
    </row>
    <row r="24" spans="1:13" x14ac:dyDescent="0.3">
      <c r="E24" t="s">
        <v>16</v>
      </c>
      <c r="F24" t="s">
        <v>29</v>
      </c>
      <c r="I24" s="3" t="s">
        <v>29</v>
      </c>
    </row>
    <row r="25" spans="1:13" x14ac:dyDescent="0.3">
      <c r="A25" t="s">
        <v>11</v>
      </c>
      <c r="B25" s="12">
        <f>I26</f>
        <v>3900</v>
      </c>
      <c r="C25" t="s">
        <v>13</v>
      </c>
      <c r="E25" t="s">
        <v>8</v>
      </c>
      <c r="F25" s="12">
        <f>1/0.083</f>
        <v>12.048192771084336</v>
      </c>
      <c r="G25" s="12">
        <f>1/0.182</f>
        <v>5.4945054945054945</v>
      </c>
      <c r="H25" s="12">
        <f>1/0.363</f>
        <v>2.7548209366391188</v>
      </c>
      <c r="I25" s="12">
        <f>1/0.091</f>
        <v>10.989010989010989</v>
      </c>
    </row>
    <row r="26" spans="1:13" x14ac:dyDescent="0.3">
      <c r="A26" t="s">
        <v>12</v>
      </c>
      <c r="B26" s="7">
        <f>B25/(B22^2)</f>
        <v>32.295899999999996</v>
      </c>
      <c r="C26" t="s">
        <v>13</v>
      </c>
      <c r="E26" t="s">
        <v>11</v>
      </c>
      <c r="F26" s="12">
        <v>3100</v>
      </c>
      <c r="G26" s="12">
        <v>2600</v>
      </c>
      <c r="H26" s="12">
        <v>2600</v>
      </c>
      <c r="I26" s="12">
        <v>3900</v>
      </c>
    </row>
    <row r="27" spans="1:13" x14ac:dyDescent="0.3">
      <c r="E27" t="s">
        <v>30</v>
      </c>
      <c r="F27" s="12">
        <v>2</v>
      </c>
      <c r="G27" s="12">
        <v>1</v>
      </c>
      <c r="H27" s="12">
        <v>1</v>
      </c>
      <c r="I27" s="12">
        <v>2</v>
      </c>
    </row>
    <row r="28" spans="1:13" x14ac:dyDescent="0.3">
      <c r="A28" t="s">
        <v>35</v>
      </c>
      <c r="B28" s="12">
        <v>3</v>
      </c>
      <c r="C28" t="s">
        <v>13</v>
      </c>
    </row>
    <row r="29" spans="1:13" x14ac:dyDescent="0.3">
      <c r="A29" t="s">
        <v>34</v>
      </c>
      <c r="B29" s="11">
        <f>1-(B28/B25)</f>
        <v>0.99923076923076926</v>
      </c>
    </row>
    <row r="31" spans="1:13" x14ac:dyDescent="0.3">
      <c r="A31" s="38" t="s">
        <v>89</v>
      </c>
      <c r="B31" s="38"/>
      <c r="C31" s="38"/>
      <c r="D31" s="38"/>
      <c r="E31" s="38"/>
      <c r="F31" s="38"/>
      <c r="G31" s="38"/>
      <c r="H31" s="38"/>
      <c r="I31" s="38"/>
    </row>
    <row r="32" spans="1:13" x14ac:dyDescent="0.3">
      <c r="A32" t="s">
        <v>164</v>
      </c>
      <c r="B32" s="12">
        <v>4</v>
      </c>
      <c r="C32" t="s">
        <v>20</v>
      </c>
      <c r="D32" t="s">
        <v>155</v>
      </c>
    </row>
    <row r="33" spans="1:9" x14ac:dyDescent="0.3">
      <c r="A33" t="s">
        <v>156</v>
      </c>
      <c r="B33" s="29">
        <f>B32/B7</f>
        <v>0.1</v>
      </c>
    </row>
    <row r="34" spans="1:9" x14ac:dyDescent="0.3">
      <c r="A34" t="s">
        <v>24</v>
      </c>
      <c r="B34" s="8">
        <f>(1-((1/B5)*B23*B3))*1/B32*B3*1/B9</f>
        <v>2.5599617773530817E-5</v>
      </c>
      <c r="C34" t="s">
        <v>23</v>
      </c>
      <c r="D34" s="10">
        <f>B34*10^6</f>
        <v>25.599617773530817</v>
      </c>
      <c r="E34" t="s">
        <v>13</v>
      </c>
      <c r="G34" t="s">
        <v>28</v>
      </c>
    </row>
    <row r="35" spans="1:9" x14ac:dyDescent="0.3">
      <c r="A35" t="s">
        <v>25</v>
      </c>
      <c r="B35" s="8">
        <f>(1-((1/B6)*B23*B3))*1/B32*B3*1/B9</f>
        <v>4.7441130298273156E-5</v>
      </c>
      <c r="C35" t="s">
        <v>23</v>
      </c>
      <c r="D35" s="28">
        <f>B35*10^6</f>
        <v>47.441130298273158</v>
      </c>
      <c r="E35" t="s">
        <v>13</v>
      </c>
      <c r="F35" t="s">
        <v>160</v>
      </c>
      <c r="G35" s="2" t="s">
        <v>32</v>
      </c>
      <c r="H35" t="s">
        <v>33</v>
      </c>
      <c r="I35" t="s">
        <v>161</v>
      </c>
    </row>
    <row r="36" spans="1:9" x14ac:dyDescent="0.3">
      <c r="A36" t="s">
        <v>21</v>
      </c>
      <c r="B36" s="12">
        <v>11.2</v>
      </c>
      <c r="C36" t="s">
        <v>13</v>
      </c>
      <c r="D36" s="2"/>
      <c r="F36" t="s">
        <v>162</v>
      </c>
      <c r="G36" t="s">
        <v>163</v>
      </c>
      <c r="H36" t="s">
        <v>191</v>
      </c>
      <c r="I36" s="22" t="s">
        <v>124</v>
      </c>
    </row>
    <row r="37" spans="1:9" x14ac:dyDescent="0.3">
      <c r="A37" t="s">
        <v>171</v>
      </c>
      <c r="B37" s="27">
        <f>B3/(B36*10^-6*B9)*(1-(B3/B6)*B23)</f>
        <v>16.943260820811844</v>
      </c>
      <c r="C37" t="s">
        <v>20</v>
      </c>
      <c r="D37" s="2"/>
      <c r="I37" s="22"/>
    </row>
    <row r="38" spans="1:9" x14ac:dyDescent="0.3">
      <c r="D38" s="2"/>
      <c r="F38" t="s">
        <v>174</v>
      </c>
      <c r="I38" s="22"/>
    </row>
    <row r="39" spans="1:9" x14ac:dyDescent="0.3">
      <c r="D39" s="2"/>
    </row>
    <row r="40" spans="1:9" x14ac:dyDescent="0.3">
      <c r="A40" t="s">
        <v>52</v>
      </c>
      <c r="B40" s="14">
        <v>0.01</v>
      </c>
      <c r="C40" t="s">
        <v>53</v>
      </c>
      <c r="D40" s="9">
        <f>B3*B40</f>
        <v>0.24</v>
      </c>
      <c r="E40" t="s">
        <v>54</v>
      </c>
    </row>
    <row r="41" spans="1:9" x14ac:dyDescent="0.3">
      <c r="A41" t="s">
        <v>55</v>
      </c>
      <c r="B41" s="12">
        <f>F41*10^-3</f>
        <v>1.6021949078138715E-3</v>
      </c>
      <c r="D41" t="s">
        <v>157</v>
      </c>
      <c r="F41" s="12">
        <f>1/((1/55.3)+(1/3.3)+(1/3.3))</f>
        <v>1.6021949078138715</v>
      </c>
      <c r="G41" t="s">
        <v>38</v>
      </c>
      <c r="H41" t="s">
        <v>158</v>
      </c>
    </row>
    <row r="42" spans="1:9" x14ac:dyDescent="0.3">
      <c r="A42" t="s">
        <v>56</v>
      </c>
      <c r="B42" s="8">
        <f>B37/(8*B9*(D40-B32*B41))</f>
        <v>9.0667260492846224E-5</v>
      </c>
      <c r="C42" t="s">
        <v>48</v>
      </c>
      <c r="D42" s="28">
        <f>B42*10^6</f>
        <v>90.667260492846225</v>
      </c>
      <c r="E42" t="s">
        <v>57</v>
      </c>
    </row>
    <row r="44" spans="1:9" x14ac:dyDescent="0.3">
      <c r="A44" t="s">
        <v>36</v>
      </c>
      <c r="B44" s="11">
        <f>(B23*96*10^-3)/(0.5*B32*B7*1.3)</f>
        <v>5.0718512256973788E-3</v>
      </c>
      <c r="C44" t="s">
        <v>37</v>
      </c>
      <c r="D44" s="28">
        <f>B44*10^3</f>
        <v>5.0718512256973787</v>
      </c>
      <c r="E44" t="s">
        <v>38</v>
      </c>
    </row>
    <row r="46" spans="1:9" x14ac:dyDescent="0.3">
      <c r="A46" t="s">
        <v>40</v>
      </c>
      <c r="B46" s="12">
        <v>1</v>
      </c>
      <c r="C46" t="s">
        <v>41</v>
      </c>
      <c r="D46" s="6">
        <f>B46*10^6</f>
        <v>1000000</v>
      </c>
      <c r="E46" t="s">
        <v>37</v>
      </c>
    </row>
    <row r="47" spans="1:9" x14ac:dyDescent="0.3">
      <c r="A47" t="s">
        <v>42</v>
      </c>
      <c r="B47" s="30">
        <f>(D46*((1/((B5/1.25)-1))+1))/(B6/1.25)</f>
        <v>1994.9692080839623</v>
      </c>
      <c r="C47" t="s">
        <v>37</v>
      </c>
    </row>
    <row r="48" spans="1:9" x14ac:dyDescent="0.3">
      <c r="A48" t="s">
        <v>43</v>
      </c>
      <c r="B48" s="30">
        <f>B47*((B6/1.25)-1)-D46</f>
        <v>3469.5116662330693</v>
      </c>
      <c r="C48" t="s">
        <v>37</v>
      </c>
    </row>
    <row r="49" spans="1:24" x14ac:dyDescent="0.3">
      <c r="A49" t="s">
        <v>44</v>
      </c>
      <c r="B49" s="6">
        <f>(B5/D46)/((1/(B47+B48))+(1/D46))</f>
        <v>1.2500000000000209</v>
      </c>
      <c r="C49" t="s">
        <v>9</v>
      </c>
      <c r="D49" t="s">
        <v>45</v>
      </c>
      <c r="E49" s="10">
        <f>(B6/D46)/((1/(B47+B48))+(1/D46))</f>
        <v>3.423913043478318</v>
      </c>
      <c r="F49" t="s">
        <v>9</v>
      </c>
      <c r="R49" t="s">
        <v>75</v>
      </c>
      <c r="S49">
        <v>32.799999999999997</v>
      </c>
      <c r="T49" t="s">
        <v>20</v>
      </c>
      <c r="U49" t="s">
        <v>80</v>
      </c>
      <c r="V49" t="s">
        <v>74</v>
      </c>
      <c r="W49" t="s">
        <v>81</v>
      </c>
    </row>
    <row r="50" spans="1:24" x14ac:dyDescent="0.3">
      <c r="A50" t="s">
        <v>39</v>
      </c>
      <c r="B50" s="31">
        <f>(D16/(0.725*((B9/1000)/300)*(1.25/B49)))*51.1*10^3</f>
        <v>148013.79310345076</v>
      </c>
      <c r="C50" t="s">
        <v>46</v>
      </c>
      <c r="D50" s="30">
        <f>B50*10^-3</f>
        <v>148.01379310345078</v>
      </c>
      <c r="E50" t="s">
        <v>46</v>
      </c>
      <c r="F50" s="5"/>
      <c r="R50" t="s">
        <v>76</v>
      </c>
      <c r="S50">
        <v>3</v>
      </c>
      <c r="T50" t="s">
        <v>20</v>
      </c>
      <c r="V50" t="s">
        <v>82</v>
      </c>
      <c r="W50">
        <v>39.85</v>
      </c>
      <c r="X50" t="s">
        <v>83</v>
      </c>
    </row>
    <row r="51" spans="1:24" x14ac:dyDescent="0.3">
      <c r="A51" s="38" t="s">
        <v>88</v>
      </c>
      <c r="B51" s="38"/>
      <c r="C51" s="38"/>
      <c r="D51" s="38"/>
      <c r="E51" s="38"/>
      <c r="F51" s="38"/>
      <c r="G51" s="38"/>
      <c r="H51" s="38"/>
      <c r="I51" s="38"/>
      <c r="R51" t="s">
        <v>77</v>
      </c>
      <c r="S51">
        <v>1043</v>
      </c>
      <c r="T51" t="s">
        <v>18</v>
      </c>
      <c r="V51" t="s">
        <v>86</v>
      </c>
    </row>
    <row r="52" spans="1:24" x14ac:dyDescent="0.3">
      <c r="A52" t="s">
        <v>7</v>
      </c>
      <c r="B52" s="10">
        <f>B17</f>
        <v>0.20931449502878077</v>
      </c>
      <c r="D52" t="s">
        <v>159</v>
      </c>
      <c r="R52" t="s">
        <v>78</v>
      </c>
      <c r="S52">
        <v>953</v>
      </c>
      <c r="T52" t="s">
        <v>18</v>
      </c>
    </row>
    <row r="53" spans="1:24" x14ac:dyDescent="0.3">
      <c r="A53" t="s">
        <v>47</v>
      </c>
      <c r="B53" s="8">
        <f>(10*(1-B17)^2)/(B25*(2*PI()*(B9/1000))^2)</f>
        <v>4.0605345564331669E-9</v>
      </c>
      <c r="C53" t="s">
        <v>48</v>
      </c>
      <c r="D53" s="32">
        <f>B53*10^9</f>
        <v>4.0605345564331667</v>
      </c>
      <c r="E53" t="s">
        <v>49</v>
      </c>
      <c r="G53" s="1"/>
      <c r="R53" t="s">
        <v>79</v>
      </c>
      <c r="S53" s="4">
        <f>(S52/S51)*100</f>
        <v>91.371045062320235</v>
      </c>
      <c r="T53" t="s">
        <v>85</v>
      </c>
    </row>
    <row r="54" spans="1:24" x14ac:dyDescent="0.3">
      <c r="A54" t="s">
        <v>50</v>
      </c>
      <c r="B54" s="8">
        <f>6*B53</f>
        <v>2.4363207338599E-8</v>
      </c>
      <c r="C54" t="s">
        <v>48</v>
      </c>
      <c r="D54" s="32">
        <f>B54*10^9</f>
        <v>24.363207338599</v>
      </c>
      <c r="E54" t="s">
        <v>49</v>
      </c>
      <c r="R54" t="s">
        <v>84</v>
      </c>
      <c r="S54">
        <v>1.6E-2</v>
      </c>
      <c r="T54" t="s">
        <v>9</v>
      </c>
    </row>
    <row r="56" spans="1:24" x14ac:dyDescent="0.3">
      <c r="A56" t="s">
        <v>51</v>
      </c>
      <c r="B56" s="30">
        <f>(1/(1-B18))*SQRT(B25*10^-6/B53)</f>
        <v>2296.9866312323384</v>
      </c>
      <c r="C56" t="s">
        <v>37</v>
      </c>
    </row>
    <row r="58" spans="1:24" x14ac:dyDescent="0.3">
      <c r="A58" t="s">
        <v>60</v>
      </c>
      <c r="B58" s="27">
        <f>(1.2/(B9/B10))*22.1*10^6</f>
        <v>530.40000000000009</v>
      </c>
      <c r="C58" t="s">
        <v>46</v>
      </c>
    </row>
    <row r="59" spans="1:24" x14ac:dyDescent="0.3">
      <c r="A59" s="38" t="s">
        <v>93</v>
      </c>
      <c r="B59" s="38"/>
      <c r="C59" s="38"/>
      <c r="D59" s="38"/>
      <c r="E59" s="38"/>
      <c r="F59" s="38"/>
      <c r="G59" s="38"/>
      <c r="H59" s="38"/>
      <c r="I59" s="38"/>
    </row>
    <row r="60" spans="1:24" x14ac:dyDescent="0.3">
      <c r="A60" t="s">
        <v>95</v>
      </c>
      <c r="B60" s="18">
        <f>0.5*B23*(B3/(B25*10^-6))*(1/B9)*2</f>
        <v>0.33812341504649202</v>
      </c>
      <c r="C60" t="s">
        <v>20</v>
      </c>
      <c r="F60" s="41" t="s">
        <v>113</v>
      </c>
      <c r="G60" s="41"/>
    </row>
    <row r="61" spans="1:24" x14ac:dyDescent="0.3">
      <c r="A61" t="s">
        <v>96</v>
      </c>
      <c r="B61" s="18">
        <f>B78</f>
        <v>956.13236267372599</v>
      </c>
      <c r="D61" t="s">
        <v>97</v>
      </c>
      <c r="F61" s="41"/>
      <c r="G61" s="41"/>
      <c r="H61" t="s">
        <v>143</v>
      </c>
    </row>
    <row r="62" spans="1:24" x14ac:dyDescent="0.3">
      <c r="A62" t="s">
        <v>145</v>
      </c>
      <c r="B62" s="18">
        <f>(1/B23)*(B7+(B37/2))</f>
        <v>8.8218367346938784</v>
      </c>
      <c r="C62" t="s">
        <v>20</v>
      </c>
      <c r="F62" s="41"/>
      <c r="G62" s="41"/>
    </row>
    <row r="63" spans="1:24" x14ac:dyDescent="0.3">
      <c r="B63" s="18"/>
      <c r="F63" s="23"/>
      <c r="G63" s="23"/>
    </row>
    <row r="64" spans="1:24" x14ac:dyDescent="0.3">
      <c r="A64" t="s">
        <v>61</v>
      </c>
      <c r="B64" s="18">
        <f>1*1.5</f>
        <v>1.5</v>
      </c>
      <c r="C64" t="s">
        <v>37</v>
      </c>
      <c r="F64" s="23"/>
      <c r="G64" s="23"/>
    </row>
    <row r="65" spans="1:24" x14ac:dyDescent="0.3">
      <c r="B65" s="18"/>
      <c r="F65" s="23"/>
      <c r="G65" s="23"/>
    </row>
    <row r="66" spans="1:24" x14ac:dyDescent="0.3">
      <c r="A66" t="s">
        <v>100</v>
      </c>
      <c r="B66" s="4">
        <f>B60^2*B64</f>
        <v>0.17149116570405346</v>
      </c>
      <c r="C66" t="s">
        <v>18</v>
      </c>
      <c r="F66" s="23"/>
      <c r="G66" s="23"/>
    </row>
    <row r="67" spans="1:24" x14ac:dyDescent="0.3">
      <c r="A67" t="s">
        <v>147</v>
      </c>
      <c r="B67" s="4">
        <v>2</v>
      </c>
      <c r="F67" s="23"/>
      <c r="G67" s="23"/>
    </row>
    <row r="68" spans="1:24" x14ac:dyDescent="0.3">
      <c r="A68" t="s">
        <v>146</v>
      </c>
      <c r="B68" s="4">
        <f>B66*B67</f>
        <v>0.34298233140810691</v>
      </c>
      <c r="C68" t="s">
        <v>18</v>
      </c>
      <c r="F68" s="23"/>
      <c r="G68" s="23"/>
    </row>
    <row r="69" spans="1:24" x14ac:dyDescent="0.3">
      <c r="B69" s="4"/>
      <c r="F69" s="23"/>
      <c r="G69" s="23"/>
      <c r="R69" t="s">
        <v>75</v>
      </c>
      <c r="S69">
        <v>31.3</v>
      </c>
      <c r="T69" t="s">
        <v>20</v>
      </c>
      <c r="U69" t="s">
        <v>80</v>
      </c>
      <c r="V69" t="s">
        <v>74</v>
      </c>
      <c r="W69" t="s">
        <v>81</v>
      </c>
    </row>
    <row r="70" spans="1:24" x14ac:dyDescent="0.3">
      <c r="B70" s="17"/>
      <c r="D70" s="4"/>
      <c r="E70" s="39" t="s">
        <v>136</v>
      </c>
      <c r="F70" s="39"/>
      <c r="G70" s="23"/>
      <c r="R70" t="s">
        <v>76</v>
      </c>
      <c r="S70">
        <v>2.84</v>
      </c>
      <c r="T70" t="s">
        <v>20</v>
      </c>
      <c r="V70" t="s">
        <v>82</v>
      </c>
      <c r="W70">
        <v>39.85</v>
      </c>
      <c r="X70" t="s">
        <v>83</v>
      </c>
    </row>
    <row r="71" spans="1:24" x14ac:dyDescent="0.3">
      <c r="A71" t="s">
        <v>127</v>
      </c>
      <c r="B71" s="17">
        <f>(B14-B13)/B68</f>
        <v>218.67015624999993</v>
      </c>
      <c r="C71" t="s">
        <v>129</v>
      </c>
      <c r="D71" s="4"/>
      <c r="E71" s="12">
        <v>0.35</v>
      </c>
      <c r="F71" t="s">
        <v>137</v>
      </c>
      <c r="G71" s="23"/>
      <c r="R71" t="s">
        <v>77</v>
      </c>
      <c r="S71">
        <v>1001</v>
      </c>
      <c r="T71" t="s">
        <v>18</v>
      </c>
      <c r="V71" t="s">
        <v>86</v>
      </c>
    </row>
    <row r="72" spans="1:24" x14ac:dyDescent="0.3">
      <c r="A72" t="s">
        <v>130</v>
      </c>
      <c r="B72" s="20">
        <v>0.6</v>
      </c>
      <c r="C72" t="s">
        <v>129</v>
      </c>
      <c r="D72" s="4"/>
      <c r="E72">
        <f>E71*B74</f>
        <v>21.91</v>
      </c>
      <c r="F72" t="s">
        <v>138</v>
      </c>
      <c r="G72" s="23" t="s">
        <v>165</v>
      </c>
      <c r="R72" t="s">
        <v>78</v>
      </c>
      <c r="S72">
        <v>953</v>
      </c>
      <c r="T72" t="s">
        <v>18</v>
      </c>
    </row>
    <row r="73" spans="1:24" x14ac:dyDescent="0.3">
      <c r="A73" t="s">
        <v>131</v>
      </c>
      <c r="B73" s="20">
        <v>62</v>
      </c>
      <c r="C73" t="s">
        <v>129</v>
      </c>
      <c r="D73" s="4" t="s">
        <v>139</v>
      </c>
      <c r="E73">
        <f>1/E72</f>
        <v>4.5641259698767686E-2</v>
      </c>
      <c r="F73" t="s">
        <v>129</v>
      </c>
      <c r="G73" s="23"/>
      <c r="R73" t="s">
        <v>79</v>
      </c>
      <c r="S73" s="4">
        <f>(S72/S71)*100</f>
        <v>95.204795204795204</v>
      </c>
      <c r="T73" t="s">
        <v>85</v>
      </c>
    </row>
    <row r="74" spans="1:24" x14ac:dyDescent="0.3">
      <c r="A74" t="s">
        <v>148</v>
      </c>
      <c r="B74" s="17">
        <f>B72+B73</f>
        <v>62.6</v>
      </c>
      <c r="D74" s="4"/>
      <c r="G74" s="23"/>
      <c r="R74" t="s">
        <v>84</v>
      </c>
      <c r="S74">
        <v>1.7999999999999999E-2</v>
      </c>
      <c r="T74" t="s">
        <v>9</v>
      </c>
    </row>
    <row r="75" spans="1:24" x14ac:dyDescent="0.3">
      <c r="A75" t="s">
        <v>149</v>
      </c>
      <c r="B75" s="17">
        <f>(B68*B74)+B13</f>
        <v>71.470693946147492</v>
      </c>
      <c r="C75" t="s">
        <v>126</v>
      </c>
      <c r="D75" s="4"/>
      <c r="G75" s="23"/>
    </row>
    <row r="76" spans="1:24" x14ac:dyDescent="0.3">
      <c r="B76" s="17"/>
      <c r="D76" s="4"/>
      <c r="G76" s="23"/>
    </row>
    <row r="77" spans="1:24" x14ac:dyDescent="0.3">
      <c r="A77" s="38" t="s">
        <v>94</v>
      </c>
      <c r="B77" s="38"/>
      <c r="C77" s="38"/>
      <c r="D77" s="38"/>
      <c r="E77" s="38"/>
      <c r="F77" s="38"/>
      <c r="G77" s="38"/>
      <c r="H77" s="38"/>
      <c r="I77" s="38"/>
    </row>
    <row r="78" spans="1:24" x14ac:dyDescent="0.3">
      <c r="A78" t="s">
        <v>98</v>
      </c>
      <c r="B78" s="4">
        <f>((B6^2)/(B6-(B3*B23)))*1.2</f>
        <v>956.13236267372599</v>
      </c>
      <c r="C78" t="s">
        <v>9</v>
      </c>
    </row>
    <row r="79" spans="1:24" x14ac:dyDescent="0.3">
      <c r="A79" t="s">
        <v>99</v>
      </c>
      <c r="B79" s="4">
        <f>SQRT(B84/B80)</f>
        <v>5.5123576586177476</v>
      </c>
      <c r="C79" t="s">
        <v>20</v>
      </c>
    </row>
    <row r="80" spans="1:24" x14ac:dyDescent="0.3">
      <c r="A80" t="s">
        <v>61</v>
      </c>
      <c r="B80">
        <f>0.15*1.5</f>
        <v>0.22499999999999998</v>
      </c>
      <c r="C80" t="s">
        <v>37</v>
      </c>
      <c r="F80" s="41" t="s">
        <v>112</v>
      </c>
      <c r="G80" s="41"/>
    </row>
    <row r="81" spans="1:8" x14ac:dyDescent="0.3">
      <c r="A81" t="s">
        <v>102</v>
      </c>
      <c r="B81" s="1">
        <f>D81*10^-9</f>
        <v>3.0000000000000004E-8</v>
      </c>
      <c r="C81" t="s">
        <v>105</v>
      </c>
      <c r="D81" s="12">
        <v>30</v>
      </c>
      <c r="E81" t="s">
        <v>104</v>
      </c>
      <c r="F81" s="41"/>
      <c r="G81" s="41"/>
      <c r="H81" t="s">
        <v>140</v>
      </c>
    </row>
    <row r="82" spans="1:8" x14ac:dyDescent="0.3">
      <c r="A82" t="s">
        <v>108</v>
      </c>
      <c r="B82" s="1">
        <f>D82*10^-9</f>
        <v>6.0000000000000008E-9</v>
      </c>
      <c r="C82" t="s">
        <v>105</v>
      </c>
      <c r="D82">
        <v>6</v>
      </c>
      <c r="E82" t="s">
        <v>104</v>
      </c>
      <c r="F82" s="41"/>
      <c r="G82" s="41"/>
    </row>
    <row r="84" spans="1:8" x14ac:dyDescent="0.3">
      <c r="A84" t="s">
        <v>100</v>
      </c>
      <c r="B84" s="4">
        <f>B23*(B3/B5)*((1/B23)*B7)^2*B80</f>
        <v>6.8368695652173894</v>
      </c>
      <c r="C84" t="s">
        <v>18</v>
      </c>
    </row>
    <row r="85" spans="1:8" x14ac:dyDescent="0.3">
      <c r="A85" t="s">
        <v>101</v>
      </c>
      <c r="B85" s="4">
        <f>B81*B11*B9</f>
        <v>3.0000000000000002E-2</v>
      </c>
      <c r="C85" t="s">
        <v>18</v>
      </c>
    </row>
    <row r="86" spans="1:8" x14ac:dyDescent="0.3">
      <c r="A86" t="s">
        <v>106</v>
      </c>
      <c r="B86" s="4">
        <f>0.5*B7*D23*(B6/(1-B18))*(B82/2)*B9</f>
        <v>1.6124303247480403</v>
      </c>
      <c r="C86" t="s">
        <v>18</v>
      </c>
    </row>
    <row r="87" spans="1:8" x14ac:dyDescent="0.3">
      <c r="A87" t="s">
        <v>107</v>
      </c>
      <c r="B87" s="4">
        <f>0.5*B7*D23*B78*(B82/2)*B9</f>
        <v>1.0440965400397089</v>
      </c>
      <c r="C87" t="s">
        <v>18</v>
      </c>
    </row>
    <row r="88" spans="1:8" x14ac:dyDescent="0.3">
      <c r="A88" t="s">
        <v>109</v>
      </c>
      <c r="B88" s="4">
        <f>B84+B85+B86+B87</f>
        <v>9.523396430005139</v>
      </c>
      <c r="C88" t="s">
        <v>18</v>
      </c>
    </row>
    <row r="89" spans="1:8" x14ac:dyDescent="0.3">
      <c r="B89" s="4"/>
      <c r="E89" s="25" t="s">
        <v>136</v>
      </c>
      <c r="F89" s="25"/>
    </row>
    <row r="90" spans="1:8" x14ac:dyDescent="0.3">
      <c r="B90" s="17"/>
      <c r="D90" s="4"/>
      <c r="E90" s="12">
        <v>0.35</v>
      </c>
      <c r="F90" t="s">
        <v>137</v>
      </c>
    </row>
    <row r="91" spans="1:8" x14ac:dyDescent="0.3">
      <c r="A91" t="s">
        <v>127</v>
      </c>
      <c r="B91" s="17">
        <f>(B14-B13)/B88</f>
        <v>7.8753415917559915</v>
      </c>
      <c r="C91" t="s">
        <v>129</v>
      </c>
      <c r="D91" s="4"/>
      <c r="E91">
        <f>E90*B94</f>
        <v>112.84</v>
      </c>
      <c r="F91" t="s">
        <v>138</v>
      </c>
    </row>
    <row r="92" spans="1:8" x14ac:dyDescent="0.3">
      <c r="A92" t="s">
        <v>130</v>
      </c>
      <c r="B92" s="20">
        <v>0.9</v>
      </c>
      <c r="C92" t="s">
        <v>129</v>
      </c>
      <c r="D92" s="4"/>
      <c r="E92">
        <f>1/E91</f>
        <v>8.8621056362991838E-3</v>
      </c>
      <c r="F92" t="s">
        <v>129</v>
      </c>
    </row>
    <row r="93" spans="1:8" x14ac:dyDescent="0.3">
      <c r="B93" s="20"/>
      <c r="D93" s="4"/>
    </row>
    <row r="94" spans="1:8" x14ac:dyDescent="0.3">
      <c r="A94" t="s">
        <v>132</v>
      </c>
      <c r="B94" s="17">
        <f>15.5*20.8</f>
        <v>322.40000000000003</v>
      </c>
      <c r="C94" t="s">
        <v>133</v>
      </c>
      <c r="D94" s="4" t="s">
        <v>167</v>
      </c>
    </row>
    <row r="95" spans="1:8" x14ac:dyDescent="0.3">
      <c r="A95" t="s">
        <v>131</v>
      </c>
      <c r="B95" s="17">
        <f>E92</f>
        <v>8.8621056362991838E-3</v>
      </c>
      <c r="C95" t="s">
        <v>129</v>
      </c>
      <c r="D95" s="4" t="s">
        <v>166</v>
      </c>
    </row>
    <row r="96" spans="1:8" x14ac:dyDescent="0.3">
      <c r="A96" t="s">
        <v>135</v>
      </c>
      <c r="B96" s="17"/>
      <c r="D96" s="4" t="s">
        <v>168</v>
      </c>
    </row>
    <row r="97" spans="1:10" x14ac:dyDescent="0.3">
      <c r="B97" s="17"/>
      <c r="D97" s="4"/>
    </row>
    <row r="98" spans="1:10" x14ac:dyDescent="0.3">
      <c r="A98" t="s">
        <v>141</v>
      </c>
      <c r="B98">
        <v>3.9</v>
      </c>
      <c r="C98" t="s">
        <v>129</v>
      </c>
      <c r="D98" s="4"/>
    </row>
    <row r="99" spans="1:10" x14ac:dyDescent="0.3">
      <c r="A99" t="s">
        <v>169</v>
      </c>
      <c r="B99" s="16">
        <f>B92+B95+B98</f>
        <v>4.8088621056362992</v>
      </c>
      <c r="C99" t="s">
        <v>129</v>
      </c>
      <c r="D99" s="4"/>
    </row>
    <row r="100" spans="1:10" x14ac:dyDescent="0.3">
      <c r="D100" s="4"/>
    </row>
    <row r="101" spans="1:10" x14ac:dyDescent="0.3">
      <c r="A101" t="s">
        <v>149</v>
      </c>
      <c r="B101">
        <f>B13+B88*B99</f>
        <v>95.796700209203721</v>
      </c>
      <c r="C101" t="s">
        <v>126</v>
      </c>
    </row>
    <row r="102" spans="1:10" x14ac:dyDescent="0.3">
      <c r="A102" s="38" t="s">
        <v>87</v>
      </c>
      <c r="B102" s="38"/>
      <c r="C102" s="38"/>
      <c r="D102" s="38"/>
      <c r="E102" s="38"/>
      <c r="F102" s="38"/>
      <c r="G102" s="38"/>
      <c r="H102" s="38"/>
      <c r="I102" s="38"/>
    </row>
    <row r="103" spans="1:10" x14ac:dyDescent="0.3">
      <c r="A103" t="s">
        <v>68</v>
      </c>
      <c r="B103" s="6">
        <f>B6*(1/B23)*2</f>
        <v>229.32</v>
      </c>
      <c r="C103" t="s">
        <v>9</v>
      </c>
      <c r="D103" t="s">
        <v>69</v>
      </c>
    </row>
    <row r="105" spans="1:10" x14ac:dyDescent="0.3">
      <c r="A105" t="s">
        <v>61</v>
      </c>
      <c r="B105" s="20">
        <f>D105*10^-3</f>
        <v>8.0000000000000002E-3</v>
      </c>
      <c r="C105" t="s">
        <v>37</v>
      </c>
      <c r="D105" s="12">
        <f>5*1.6</f>
        <v>8</v>
      </c>
      <c r="E105" t="s">
        <v>38</v>
      </c>
    </row>
    <row r="106" spans="1:10" x14ac:dyDescent="0.3">
      <c r="G106" s="40" t="s">
        <v>123</v>
      </c>
      <c r="H106" s="41"/>
      <c r="I106" s="41"/>
    </row>
    <row r="107" spans="1:10" x14ac:dyDescent="0.3">
      <c r="A107" t="s">
        <v>64</v>
      </c>
      <c r="B107" s="12">
        <v>2000</v>
      </c>
      <c r="C107" t="s">
        <v>66</v>
      </c>
      <c r="D107" t="s">
        <v>154</v>
      </c>
      <c r="G107" s="41"/>
      <c r="H107" s="41"/>
      <c r="I107" s="41"/>
    </row>
    <row r="108" spans="1:10" x14ac:dyDescent="0.3">
      <c r="A108" t="s">
        <v>65</v>
      </c>
      <c r="B108" s="12">
        <v>300</v>
      </c>
      <c r="C108" t="s">
        <v>9</v>
      </c>
      <c r="G108" s="41"/>
      <c r="H108" s="41"/>
      <c r="I108" s="41"/>
      <c r="J108" t="s">
        <v>142</v>
      </c>
    </row>
    <row r="109" spans="1:10" x14ac:dyDescent="0.3">
      <c r="A109" t="s">
        <v>63</v>
      </c>
      <c r="B109" s="28">
        <f>B105*SQRT(2*B107*10^-3*((1.3*B108-B3)/(1.3*B108*B36*10^-6)))</f>
        <v>4.6314737881747163</v>
      </c>
      <c r="C109" t="s">
        <v>9</v>
      </c>
      <c r="D109" s="33">
        <f>B109*10^3</f>
        <v>4631.473788174716</v>
      </c>
      <c r="E109" t="s">
        <v>62</v>
      </c>
      <c r="G109" s="41"/>
      <c r="H109" s="41"/>
      <c r="I109" s="41"/>
    </row>
    <row r="110" spans="1:10" x14ac:dyDescent="0.3">
      <c r="A110" t="s">
        <v>183</v>
      </c>
      <c r="B110" s="28">
        <f>B109/B105</f>
        <v>578.9342235218395</v>
      </c>
      <c r="C110" t="s">
        <v>20</v>
      </c>
      <c r="D110" s="12">
        <v>120</v>
      </c>
      <c r="E110" t="s">
        <v>20</v>
      </c>
      <c r="F110" t="s">
        <v>122</v>
      </c>
    </row>
    <row r="111" spans="1:10" x14ac:dyDescent="0.3">
      <c r="B111" t="s">
        <v>173</v>
      </c>
    </row>
    <row r="112" spans="1:10" x14ac:dyDescent="0.3">
      <c r="A112" t="s">
        <v>67</v>
      </c>
      <c r="B112" s="12">
        <v>0</v>
      </c>
      <c r="C112" t="s">
        <v>37</v>
      </c>
      <c r="D112" t="s">
        <v>71</v>
      </c>
    </row>
    <row r="113" spans="1:10" x14ac:dyDescent="0.3">
      <c r="A113" t="s">
        <v>70</v>
      </c>
      <c r="B113" s="34">
        <f>(((0.066/(40*10^-3))-B112)*40*10^-3)/D110</f>
        <v>5.5000000000000003E-4</v>
      </c>
      <c r="C113" t="s">
        <v>37</v>
      </c>
      <c r="D113" s="28">
        <f>B113*10^3</f>
        <v>0.55000000000000004</v>
      </c>
      <c r="E113" t="s">
        <v>38</v>
      </c>
      <c r="F113" s="12">
        <v>0.55000000000000004</v>
      </c>
      <c r="G113" t="s">
        <v>72</v>
      </c>
      <c r="H113" t="s">
        <v>73</v>
      </c>
    </row>
    <row r="114" spans="1:10" x14ac:dyDescent="0.3">
      <c r="D114" s="4"/>
    </row>
    <row r="115" spans="1:10" x14ac:dyDescent="0.3">
      <c r="A115" t="s">
        <v>118</v>
      </c>
      <c r="B115" s="28">
        <f>SQRT((1-B17)*(B7^2+(B37^2/12)))</f>
        <v>35.833116683549576</v>
      </c>
      <c r="C115" t="s">
        <v>20</v>
      </c>
      <c r="D115" s="4"/>
      <c r="I115">
        <f>D113*10^-3*D110</f>
        <v>6.6000000000000003E-2</v>
      </c>
      <c r="J115" t="s">
        <v>175</v>
      </c>
    </row>
    <row r="116" spans="1:10" x14ac:dyDescent="0.3">
      <c r="A116" t="s">
        <v>102</v>
      </c>
      <c r="B116" s="21">
        <f>D116*10^-9</f>
        <v>3.4500000000000003E-7</v>
      </c>
      <c r="C116" t="s">
        <v>105</v>
      </c>
      <c r="D116" s="19">
        <v>345</v>
      </c>
      <c r="E116" t="s">
        <v>104</v>
      </c>
    </row>
    <row r="117" spans="1:10" x14ac:dyDescent="0.3">
      <c r="A117" t="s">
        <v>120</v>
      </c>
      <c r="B117" s="17">
        <f>(B115^2*B105)+(B11*B9*B116)</f>
        <v>10.617098010055033</v>
      </c>
      <c r="C117" t="s">
        <v>18</v>
      </c>
      <c r="D117" s="4"/>
      <c r="I117">
        <f>(0.066-I115)/(40*10^-6)</f>
        <v>0</v>
      </c>
    </row>
    <row r="118" spans="1:10" x14ac:dyDescent="0.3">
      <c r="B118" s="17"/>
      <c r="D118" s="4"/>
      <c r="E118" s="39" t="s">
        <v>136</v>
      </c>
      <c r="F118" s="39"/>
    </row>
    <row r="119" spans="1:10" x14ac:dyDescent="0.3">
      <c r="A119" t="s">
        <v>127</v>
      </c>
      <c r="B119" s="17">
        <f>(B14-B13)/B117</f>
        <v>7.0640772016016502</v>
      </c>
      <c r="C119" t="s">
        <v>129</v>
      </c>
      <c r="D119" s="4"/>
      <c r="E119" s="12">
        <v>0.35</v>
      </c>
      <c r="F119" t="s">
        <v>137</v>
      </c>
    </row>
    <row r="120" spans="1:10" x14ac:dyDescent="0.3">
      <c r="A120" t="s">
        <v>130</v>
      </c>
      <c r="B120" s="20">
        <v>0.1</v>
      </c>
      <c r="C120" t="s">
        <v>129</v>
      </c>
      <c r="D120" s="4"/>
      <c r="E120" s="15">
        <f>E119*B122</f>
        <v>177.20149999999998</v>
      </c>
      <c r="F120" t="s">
        <v>138</v>
      </c>
    </row>
    <row r="121" spans="1:10" x14ac:dyDescent="0.3">
      <c r="A121" t="s">
        <v>131</v>
      </c>
      <c r="B121" s="20">
        <v>0.15</v>
      </c>
      <c r="C121" t="s">
        <v>129</v>
      </c>
      <c r="D121" s="4"/>
      <c r="E121" s="15">
        <f>1/E120</f>
        <v>5.6432930872481329E-3</v>
      </c>
      <c r="F121" t="s">
        <v>129</v>
      </c>
    </row>
    <row r="122" spans="1:10" x14ac:dyDescent="0.3">
      <c r="A122" t="s">
        <v>132</v>
      </c>
      <c r="B122" s="17">
        <f>19.7*25.7</f>
        <v>506.28999999999996</v>
      </c>
      <c r="C122" t="s">
        <v>133</v>
      </c>
      <c r="D122" s="4"/>
    </row>
    <row r="123" spans="1:10" x14ac:dyDescent="0.3">
      <c r="A123" t="s">
        <v>134</v>
      </c>
      <c r="B123" s="17">
        <f>E121</f>
        <v>5.6432930872481329E-3</v>
      </c>
      <c r="C123" t="s">
        <v>129</v>
      </c>
      <c r="D123" s="4"/>
    </row>
    <row r="124" spans="1:10" x14ac:dyDescent="0.3">
      <c r="A124" t="s">
        <v>135</v>
      </c>
      <c r="B124" s="17">
        <f>B119-B120-B121-B123</f>
        <v>6.8084339085144023</v>
      </c>
      <c r="C124" t="s">
        <v>129</v>
      </c>
    </row>
    <row r="125" spans="1:10" x14ac:dyDescent="0.3">
      <c r="B125" s="17"/>
      <c r="D125" s="35"/>
    </row>
    <row r="126" spans="1:10" x14ac:dyDescent="0.3">
      <c r="A126" t="s">
        <v>150</v>
      </c>
      <c r="B126" s="12">
        <v>4.7</v>
      </c>
      <c r="C126" t="s">
        <v>129</v>
      </c>
      <c r="D126" s="4"/>
    </row>
    <row r="127" spans="1:10" x14ac:dyDescent="0.3">
      <c r="A127" t="s">
        <v>148</v>
      </c>
      <c r="B127" s="17">
        <f>B120+B121+B123+B126</f>
        <v>4.955643293087248</v>
      </c>
      <c r="D127" s="4"/>
    </row>
    <row r="128" spans="1:10" x14ac:dyDescent="0.3">
      <c r="D128" s="4"/>
    </row>
    <row r="129" spans="1:9" x14ac:dyDescent="0.3">
      <c r="A129" t="s">
        <v>149</v>
      </c>
      <c r="B129" s="27">
        <f>B13+B117*B127</f>
        <v>102.61455054557919</v>
      </c>
      <c r="C129" t="s">
        <v>126</v>
      </c>
    </row>
    <row r="130" spans="1:9" x14ac:dyDescent="0.3">
      <c r="A130" s="38" t="s">
        <v>114</v>
      </c>
      <c r="B130" s="38"/>
      <c r="C130" s="38"/>
      <c r="D130" s="38"/>
      <c r="E130" s="38"/>
      <c r="F130" s="38"/>
      <c r="G130" s="38"/>
      <c r="H130" s="38"/>
      <c r="I130" s="38"/>
    </row>
    <row r="131" spans="1:9" x14ac:dyDescent="0.3">
      <c r="A131" t="s">
        <v>115</v>
      </c>
      <c r="B131" s="4">
        <f>(B3/(1-(B3/(B5*D23))))*1.2</f>
        <v>67.501007838745792</v>
      </c>
      <c r="C131" t="s">
        <v>9</v>
      </c>
      <c r="D131" t="s">
        <v>117</v>
      </c>
    </row>
    <row r="132" spans="1:9" x14ac:dyDescent="0.3">
      <c r="A132" t="s">
        <v>115</v>
      </c>
      <c r="B132" s="4">
        <f>(B3/(B9*2*SQRT(B25*10^-6*B53)))</f>
        <v>30.154861431004125</v>
      </c>
      <c r="C132" t="s">
        <v>9</v>
      </c>
      <c r="D132" t="s">
        <v>116</v>
      </c>
    </row>
    <row r="133" spans="1:9" x14ac:dyDescent="0.3">
      <c r="A133" t="s">
        <v>118</v>
      </c>
      <c r="B133">
        <f>SQRT(B18*(B7^2+(B37^2/12)))</f>
        <v>30.513266629193211</v>
      </c>
      <c r="C133" t="s">
        <v>20</v>
      </c>
    </row>
    <row r="134" spans="1:9" x14ac:dyDescent="0.3">
      <c r="F134" s="41" t="s">
        <v>121</v>
      </c>
      <c r="G134" s="41"/>
    </row>
    <row r="135" spans="1:9" x14ac:dyDescent="0.3">
      <c r="A135" t="s">
        <v>61</v>
      </c>
      <c r="B135" s="16">
        <f>D135*10^-3</f>
        <v>2.0400000000000001E-3</v>
      </c>
      <c r="C135" t="s">
        <v>37</v>
      </c>
      <c r="D135">
        <f>1.7*1.2</f>
        <v>2.04</v>
      </c>
      <c r="E135" t="s">
        <v>38</v>
      </c>
      <c r="F135" s="41"/>
      <c r="G135" s="41"/>
      <c r="H135" t="s">
        <v>143</v>
      </c>
    </row>
    <row r="136" spans="1:9" x14ac:dyDescent="0.3">
      <c r="A136" t="s">
        <v>102</v>
      </c>
      <c r="B136" s="1">
        <f>D136*10^-9</f>
        <v>1.24E-7</v>
      </c>
      <c r="C136" t="s">
        <v>105</v>
      </c>
      <c r="D136">
        <v>124</v>
      </c>
      <c r="E136" t="s">
        <v>104</v>
      </c>
      <c r="F136" s="41"/>
      <c r="G136" s="41"/>
    </row>
    <row r="138" spans="1:9" x14ac:dyDescent="0.3">
      <c r="A138" t="s">
        <v>119</v>
      </c>
      <c r="B138" s="24">
        <f>(B133^2*B135)+(B11*B136*B9)</f>
        <v>2.0233612583838418</v>
      </c>
      <c r="C138" t="s">
        <v>18</v>
      </c>
    </row>
    <row r="139" spans="1:9" x14ac:dyDescent="0.3">
      <c r="B139" s="4"/>
    </row>
    <row r="140" spans="1:9" x14ac:dyDescent="0.3">
      <c r="B140" s="17"/>
      <c r="D140" s="4"/>
      <c r="E140" s="39" t="s">
        <v>136</v>
      </c>
      <c r="F140" s="39"/>
    </row>
    <row r="141" spans="1:9" x14ac:dyDescent="0.3">
      <c r="A141" t="s">
        <v>127</v>
      </c>
      <c r="B141" s="17">
        <f>(B14-B13)/B138</f>
        <v>37.067033723827542</v>
      </c>
      <c r="C141" t="s">
        <v>129</v>
      </c>
      <c r="D141" s="4"/>
      <c r="E141" s="12">
        <v>0.35</v>
      </c>
      <c r="F141" t="s">
        <v>137</v>
      </c>
    </row>
    <row r="142" spans="1:9" x14ac:dyDescent="0.3">
      <c r="A142" t="s">
        <v>130</v>
      </c>
      <c r="B142" s="20">
        <v>0.6</v>
      </c>
      <c r="C142" t="s">
        <v>129</v>
      </c>
      <c r="D142" s="4"/>
      <c r="E142">
        <f>E141*B144</f>
        <v>59.005099999999999</v>
      </c>
      <c r="F142" t="s">
        <v>138</v>
      </c>
    </row>
    <row r="143" spans="1:9" x14ac:dyDescent="0.3">
      <c r="B143" s="20"/>
      <c r="D143" s="4"/>
      <c r="E143">
        <f>1/E142</f>
        <v>1.6947687572769134E-2</v>
      </c>
      <c r="F143" t="s">
        <v>129</v>
      </c>
    </row>
    <row r="144" spans="1:9" x14ac:dyDescent="0.3">
      <c r="A144" t="s">
        <v>132</v>
      </c>
      <c r="B144" s="17">
        <f>10.67*15.8</f>
        <v>168.58600000000001</v>
      </c>
      <c r="C144" t="s">
        <v>133</v>
      </c>
      <c r="D144" s="4"/>
    </row>
    <row r="145" spans="1:9" x14ac:dyDescent="0.3">
      <c r="A145" t="s">
        <v>131</v>
      </c>
      <c r="B145" s="17">
        <f>E143</f>
        <v>1.6947687572769134E-2</v>
      </c>
      <c r="C145" t="s">
        <v>129</v>
      </c>
      <c r="D145" s="4"/>
    </row>
    <row r="146" spans="1:9" x14ac:dyDescent="0.3">
      <c r="A146" t="s">
        <v>135</v>
      </c>
      <c r="B146" s="17">
        <f>B141-B142-B143-B145</f>
        <v>36.450086036254774</v>
      </c>
      <c r="C146" t="s">
        <v>129</v>
      </c>
      <c r="D146" s="4"/>
    </row>
    <row r="147" spans="1:9" x14ac:dyDescent="0.3">
      <c r="B147" s="17"/>
      <c r="D147" s="4"/>
    </row>
    <row r="148" spans="1:9" x14ac:dyDescent="0.3">
      <c r="A148" t="s">
        <v>144</v>
      </c>
      <c r="B148">
        <v>12</v>
      </c>
      <c r="C148" t="s">
        <v>129</v>
      </c>
      <c r="D148" s="4"/>
    </row>
    <row r="149" spans="1:9" x14ac:dyDescent="0.3">
      <c r="A149" t="s">
        <v>148</v>
      </c>
      <c r="B149" s="16">
        <f>B142+B143+B145+B148</f>
        <v>12.616947687572768</v>
      </c>
      <c r="C149" t="s">
        <v>129</v>
      </c>
      <c r="D149" s="4"/>
    </row>
    <row r="150" spans="1:9" x14ac:dyDescent="0.3">
      <c r="D150" s="4"/>
    </row>
    <row r="151" spans="1:9" x14ac:dyDescent="0.3">
      <c r="A151" t="s">
        <v>149</v>
      </c>
      <c r="B151">
        <f>B13+B138*B149</f>
        <v>75.528643150090346</v>
      </c>
      <c r="C151" t="s">
        <v>126</v>
      </c>
    </row>
    <row r="152" spans="1:9" x14ac:dyDescent="0.3">
      <c r="A152" s="38" t="s">
        <v>176</v>
      </c>
      <c r="B152" s="38"/>
      <c r="C152" s="38"/>
      <c r="D152" s="38"/>
      <c r="E152" s="38"/>
      <c r="F152" s="38"/>
      <c r="G152" s="38"/>
      <c r="H152" s="38"/>
      <c r="I152" s="38"/>
    </row>
    <row r="153" spans="1:9" x14ac:dyDescent="0.3">
      <c r="A153" s="37" t="s">
        <v>177</v>
      </c>
      <c r="B153" s="37"/>
      <c r="C153" t="s">
        <v>181</v>
      </c>
      <c r="D153" t="s">
        <v>182</v>
      </c>
      <c r="E153" t="s">
        <v>189</v>
      </c>
      <c r="F153" t="s">
        <v>190</v>
      </c>
    </row>
    <row r="154" spans="1:9" x14ac:dyDescent="0.3">
      <c r="A154" t="s">
        <v>95</v>
      </c>
      <c r="B154" s="4">
        <f>B60</f>
        <v>0.33812341504649202</v>
      </c>
    </row>
    <row r="155" spans="1:9" x14ac:dyDescent="0.3">
      <c r="A155" t="s">
        <v>96</v>
      </c>
      <c r="B155" s="4">
        <f t="shared" ref="B155:B156" si="0">B61</f>
        <v>956.13236267372599</v>
      </c>
    </row>
    <row r="156" spans="1:9" x14ac:dyDescent="0.3">
      <c r="A156" t="s">
        <v>145</v>
      </c>
      <c r="B156" s="4">
        <f t="shared" si="0"/>
        <v>8.8218367346938784</v>
      </c>
    </row>
    <row r="157" spans="1:9" x14ac:dyDescent="0.3">
      <c r="A157" s="37" t="s">
        <v>178</v>
      </c>
      <c r="B157" s="37"/>
    </row>
    <row r="158" spans="1:9" x14ac:dyDescent="0.3">
      <c r="A158" t="s">
        <v>99</v>
      </c>
      <c r="B158" s="4">
        <f>B79</f>
        <v>5.5123576586177476</v>
      </c>
    </row>
    <row r="159" spans="1:9" x14ac:dyDescent="0.3">
      <c r="A159" s="37" t="s">
        <v>179</v>
      </c>
      <c r="B159" s="37"/>
    </row>
    <row r="160" spans="1:9" x14ac:dyDescent="0.3">
      <c r="A160" t="s">
        <v>68</v>
      </c>
      <c r="B160">
        <f>B103</f>
        <v>229.32</v>
      </c>
    </row>
    <row r="161" spans="1:4" x14ac:dyDescent="0.3">
      <c r="A161" t="s">
        <v>183</v>
      </c>
      <c r="B161" s="4">
        <f>B110</f>
        <v>578.9342235218395</v>
      </c>
      <c r="C161" t="s">
        <v>184</v>
      </c>
      <c r="D161" t="s">
        <v>184</v>
      </c>
    </row>
    <row r="162" spans="1:4" x14ac:dyDescent="0.3">
      <c r="A162" s="37" t="s">
        <v>180</v>
      </c>
      <c r="B162" s="37"/>
    </row>
    <row r="163" spans="1:4" x14ac:dyDescent="0.3">
      <c r="A163" t="s">
        <v>115</v>
      </c>
      <c r="B163" s="4">
        <f>B131</f>
        <v>67.501007838745792</v>
      </c>
    </row>
    <row r="164" spans="1:4" x14ac:dyDescent="0.3">
      <c r="A164" t="s">
        <v>118</v>
      </c>
      <c r="B164">
        <f>B133</f>
        <v>30.513266629193211</v>
      </c>
    </row>
    <row r="165" spans="1:4" x14ac:dyDescent="0.3">
      <c r="A165" s="36" t="s">
        <v>185</v>
      </c>
      <c r="B165" s="36"/>
    </row>
    <row r="166" spans="1:4" x14ac:dyDescent="0.3">
      <c r="A166" t="s">
        <v>186</v>
      </c>
    </row>
    <row r="167" spans="1:4" x14ac:dyDescent="0.3">
      <c r="A167" t="s">
        <v>187</v>
      </c>
    </row>
    <row r="168" spans="1:4" x14ac:dyDescent="0.3">
      <c r="A168" t="s">
        <v>188</v>
      </c>
      <c r="C168" t="e">
        <f>C167/C166</f>
        <v>#DIV/0!</v>
      </c>
    </row>
  </sheetData>
  <mergeCells count="21">
    <mergeCell ref="A1:I1"/>
    <mergeCell ref="G106:I109"/>
    <mergeCell ref="A130:I130"/>
    <mergeCell ref="F134:G136"/>
    <mergeCell ref="A59:I59"/>
    <mergeCell ref="A77:I77"/>
    <mergeCell ref="F80:G82"/>
    <mergeCell ref="F60:G62"/>
    <mergeCell ref="E70:F70"/>
    <mergeCell ref="A152:I152"/>
    <mergeCell ref="A51:I51"/>
    <mergeCell ref="A15:I15"/>
    <mergeCell ref="A31:I31"/>
    <mergeCell ref="A102:I102"/>
    <mergeCell ref="E118:F118"/>
    <mergeCell ref="E140:F140"/>
    <mergeCell ref="A165:B165"/>
    <mergeCell ref="A153:B153"/>
    <mergeCell ref="A157:B157"/>
    <mergeCell ref="A159:B159"/>
    <mergeCell ref="A162:B162"/>
  </mergeCells>
  <phoneticPr fontId="2" type="noConversion"/>
  <hyperlinks>
    <hyperlink ref="I36" r:id="rId1" display="https://www.coilcraft.com/en-us/products/power/shielded-inductors/high-current-flat-wire/agp-ver/agm2222/?skuId=30439" xr:uid="{65A06BCB-7F4F-4354-B81C-D2D05E16C3B9}"/>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Lukas Deeken</dc:creator>
  <cp:lastModifiedBy>Lukas Deeken</cp:lastModifiedBy>
  <dcterms:created xsi:type="dcterms:W3CDTF">2015-06-05T18:19:34Z</dcterms:created>
  <dcterms:modified xsi:type="dcterms:W3CDTF">2023-03-01T14:04:13Z</dcterms:modified>
</cp:coreProperties>
</file>